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77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198" i="14"/>
  <c r="D290" i="14"/>
  <c r="D191" i="14"/>
  <c r="D264" i="14"/>
  <c r="D189" i="14"/>
  <c r="D278" i="14"/>
  <c r="D188" i="14"/>
  <c r="D261" i="14"/>
  <c r="D206" i="14"/>
  <c r="D180" i="14"/>
  <c r="D181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17" i="14"/>
  <c r="E97" i="19"/>
  <c r="D97" i="19"/>
  <c r="C97" i="19"/>
  <c r="C98" i="19"/>
  <c r="E96" i="19"/>
  <c r="E98" i="19"/>
  <c r="D96" i="19"/>
  <c r="D98" i="19"/>
  <c r="C96" i="19"/>
  <c r="E92" i="19"/>
  <c r="D92" i="19"/>
  <c r="C92" i="19"/>
  <c r="E91" i="19"/>
  <c r="E93" i="19"/>
  <c r="D91" i="19"/>
  <c r="D93" i="19"/>
  <c r="C91" i="19"/>
  <c r="C93" i="19"/>
  <c r="E87" i="19"/>
  <c r="E88" i="19"/>
  <c r="D87" i="19"/>
  <c r="C87" i="19"/>
  <c r="E86" i="19"/>
  <c r="D86" i="19"/>
  <c r="D88" i="19"/>
  <c r="C86" i="19"/>
  <c r="C88" i="19"/>
  <c r="E83" i="19"/>
  <c r="E102" i="19"/>
  <c r="D83" i="19"/>
  <c r="D102" i="19"/>
  <c r="C83" i="19"/>
  <c r="E76" i="19"/>
  <c r="E77" i="19"/>
  <c r="D76" i="19"/>
  <c r="C76" i="19"/>
  <c r="C102" i="19"/>
  <c r="E75" i="19"/>
  <c r="D75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4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D41" i="17"/>
  <c r="C25" i="17"/>
  <c r="E24" i="17"/>
  <c r="F24" i="17"/>
  <c r="E23" i="17"/>
  <c r="F23" i="17"/>
  <c r="E22" i="17"/>
  <c r="F22" i="17"/>
  <c r="D19" i="17"/>
  <c r="D20" i="17"/>
  <c r="C19" i="17"/>
  <c r="E19" i="17"/>
  <c r="E18" i="17"/>
  <c r="F18" i="17"/>
  <c r="D16" i="17"/>
  <c r="E16" i="17"/>
  <c r="F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36" i="16"/>
  <c r="C32" i="16"/>
  <c r="C33" i="16"/>
  <c r="C21" i="16"/>
  <c r="E328" i="15"/>
  <c r="E325" i="15"/>
  <c r="D324" i="15"/>
  <c r="D326" i="15"/>
  <c r="D330" i="15"/>
  <c r="C324" i="15"/>
  <c r="E324" i="15"/>
  <c r="E318" i="15"/>
  <c r="E315" i="15"/>
  <c r="D314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E293" i="15"/>
  <c r="C293" i="15"/>
  <c r="D292" i="15"/>
  <c r="C292" i="15"/>
  <c r="E292" i="15"/>
  <c r="D291" i="15"/>
  <c r="E291" i="15"/>
  <c r="C291" i="15"/>
  <c r="D290" i="15"/>
  <c r="C290" i="15"/>
  <c r="E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C280" i="15"/>
  <c r="E280" i="15"/>
  <c r="D279" i="15"/>
  <c r="E279" i="15"/>
  <c r="C279" i="15"/>
  <c r="D278" i="15"/>
  <c r="C278" i="15"/>
  <c r="E278" i="15"/>
  <c r="D277" i="15"/>
  <c r="E277" i="15"/>
  <c r="C277" i="15"/>
  <c r="D276" i="15"/>
  <c r="C276" i="15"/>
  <c r="E276" i="15"/>
  <c r="E270" i="15"/>
  <c r="D265" i="15"/>
  <c r="E265" i="15"/>
  <c r="C265" i="15"/>
  <c r="C302" i="15"/>
  <c r="D262" i="15"/>
  <c r="C262" i="15"/>
  <c r="E262" i="15"/>
  <c r="D251" i="15"/>
  <c r="C251" i="15"/>
  <c r="D233" i="15"/>
  <c r="C233" i="15"/>
  <c r="E233" i="15"/>
  <c r="D232" i="15"/>
  <c r="E232" i="15"/>
  <c r="C232" i="15"/>
  <c r="D231" i="15"/>
  <c r="C231" i="15"/>
  <c r="D230" i="15"/>
  <c r="C230" i="15"/>
  <c r="D228" i="15"/>
  <c r="C228" i="15"/>
  <c r="D227" i="15"/>
  <c r="E227" i="15"/>
  <c r="C227" i="15"/>
  <c r="D221" i="15"/>
  <c r="C221" i="15"/>
  <c r="C245" i="15"/>
  <c r="D220" i="15"/>
  <c r="C220" i="15"/>
  <c r="C244" i="15"/>
  <c r="D219" i="15"/>
  <c r="C219" i="15"/>
  <c r="D218" i="15"/>
  <c r="D242" i="15"/>
  <c r="C218" i="15"/>
  <c r="D216" i="15"/>
  <c r="D240" i="15"/>
  <c r="C216" i="15"/>
  <c r="C240" i="15"/>
  <c r="D215" i="15"/>
  <c r="E215" i="15"/>
  <c r="C215" i="15"/>
  <c r="E209" i="15"/>
  <c r="E208" i="15"/>
  <c r="E207" i="15"/>
  <c r="E206" i="15"/>
  <c r="D205" i="15"/>
  <c r="C205" i="15"/>
  <c r="C210" i="15"/>
  <c r="C234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9" i="15"/>
  <c r="D188" i="15"/>
  <c r="C188" i="15"/>
  <c r="E186" i="15"/>
  <c r="E185" i="15"/>
  <c r="D179" i="15"/>
  <c r="C179" i="15"/>
  <c r="D178" i="15"/>
  <c r="C178" i="15"/>
  <c r="E178" i="15"/>
  <c r="D177" i="15"/>
  <c r="C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E164" i="15"/>
  <c r="C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44" i="15"/>
  <c r="C139" i="15"/>
  <c r="E138" i="15"/>
  <c r="E137" i="15"/>
  <c r="D75" i="15"/>
  <c r="C75" i="15"/>
  <c r="D74" i="15"/>
  <c r="C74" i="15"/>
  <c r="E74" i="15"/>
  <c r="D73" i="15"/>
  <c r="C73" i="15"/>
  <c r="D72" i="15"/>
  <c r="C72" i="15"/>
  <c r="E72" i="15"/>
  <c r="D71" i="15"/>
  <c r="D70" i="15"/>
  <c r="C70" i="15"/>
  <c r="D69" i="15"/>
  <c r="E69" i="15"/>
  <c r="C69" i="15"/>
  <c r="D65" i="15"/>
  <c r="E64" i="15"/>
  <c r="E63" i="15"/>
  <c r="E62" i="15"/>
  <c r="E61" i="15"/>
  <c r="D60" i="15"/>
  <c r="D289" i="15"/>
  <c r="C60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C40" i="15"/>
  <c r="E40" i="15"/>
  <c r="D39" i="15"/>
  <c r="E39" i="15"/>
  <c r="C39" i="15"/>
  <c r="D38" i="15"/>
  <c r="C38" i="15"/>
  <c r="D37" i="15"/>
  <c r="E37" i="15"/>
  <c r="C37" i="15"/>
  <c r="C43" i="15"/>
  <c r="D36" i="15"/>
  <c r="E36" i="15"/>
  <c r="C36" i="15"/>
  <c r="D33" i="15"/>
  <c r="E33" i="15"/>
  <c r="E32" i="15"/>
  <c r="D32" i="15"/>
  <c r="D294" i="15"/>
  <c r="C32" i="15"/>
  <c r="C33" i="15"/>
  <c r="E31" i="15"/>
  <c r="E30" i="15"/>
  <c r="E29" i="15"/>
  <c r="E28" i="15"/>
  <c r="E27" i="15"/>
  <c r="E26" i="15"/>
  <c r="E25" i="15"/>
  <c r="C22" i="15"/>
  <c r="C284" i="15"/>
  <c r="D21" i="15"/>
  <c r="C21" i="15"/>
  <c r="C283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C311" i="14"/>
  <c r="E311" i="14"/>
  <c r="F308" i="14"/>
  <c r="E308" i="14"/>
  <c r="C307" i="14"/>
  <c r="E307" i="14"/>
  <c r="C299" i="14"/>
  <c r="F298" i="14"/>
  <c r="C298" i="14"/>
  <c r="E298" i="14"/>
  <c r="C297" i="14"/>
  <c r="E297" i="14"/>
  <c r="C296" i="14"/>
  <c r="C295" i="14"/>
  <c r="E295" i="14"/>
  <c r="E294" i="14"/>
  <c r="C294" i="14"/>
  <c r="C267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E237" i="14"/>
  <c r="C237" i="14"/>
  <c r="E234" i="14"/>
  <c r="F234" i="14"/>
  <c r="E233" i="14"/>
  <c r="F233" i="14"/>
  <c r="C230" i="14"/>
  <c r="E230" i="14"/>
  <c r="C229" i="14"/>
  <c r="E228" i="14"/>
  <c r="F228" i="14"/>
  <c r="C227" i="14"/>
  <c r="C226" i="14"/>
  <c r="E226" i="14"/>
  <c r="E225" i="14"/>
  <c r="F225" i="14"/>
  <c r="E224" i="14"/>
  <c r="F224" i="14"/>
  <c r="C223" i="14"/>
  <c r="E223" i="14"/>
  <c r="F223" i="14"/>
  <c r="E222" i="14"/>
  <c r="F222" i="14"/>
  <c r="E221" i="14"/>
  <c r="F221" i="14"/>
  <c r="C204" i="14"/>
  <c r="E204" i="14"/>
  <c r="C203" i="14"/>
  <c r="C283" i="14"/>
  <c r="E203" i="14"/>
  <c r="F203" i="14"/>
  <c r="C198" i="14"/>
  <c r="E198" i="14"/>
  <c r="C191" i="14"/>
  <c r="E191" i="14"/>
  <c r="C189" i="14"/>
  <c r="C278" i="14"/>
  <c r="C188" i="14"/>
  <c r="E188" i="14"/>
  <c r="C180" i="14"/>
  <c r="E180" i="14"/>
  <c r="C179" i="14"/>
  <c r="E179" i="14"/>
  <c r="C171" i="14"/>
  <c r="F170" i="14"/>
  <c r="C170" i="14"/>
  <c r="E170" i="14"/>
  <c r="F169" i="14"/>
  <c r="E169" i="14"/>
  <c r="F168" i="14"/>
  <c r="E168" i="14"/>
  <c r="E165" i="14"/>
  <c r="C165" i="14"/>
  <c r="F165" i="14"/>
  <c r="E164" i="14"/>
  <c r="C164" i="14"/>
  <c r="F164" i="14"/>
  <c r="F163" i="14"/>
  <c r="E163" i="14"/>
  <c r="F158" i="14"/>
  <c r="C158" i="14"/>
  <c r="F157" i="14"/>
  <c r="E157" i="14"/>
  <c r="F156" i="14"/>
  <c r="E156" i="14"/>
  <c r="C155" i="14"/>
  <c r="F154" i="14"/>
  <c r="E154" i="14"/>
  <c r="F153" i="14"/>
  <c r="E153" i="14"/>
  <c r="C145" i="14"/>
  <c r="E145" i="14"/>
  <c r="E144" i="14"/>
  <c r="C144" i="14"/>
  <c r="C146" i="14"/>
  <c r="C136" i="14"/>
  <c r="C137" i="14"/>
  <c r="E137" i="14"/>
  <c r="C135" i="14"/>
  <c r="E135" i="14"/>
  <c r="E134" i="14"/>
  <c r="F134" i="14"/>
  <c r="E133" i="14"/>
  <c r="F133" i="14"/>
  <c r="E130" i="14"/>
  <c r="C130" i="14"/>
  <c r="F130" i="14"/>
  <c r="C129" i="14"/>
  <c r="E129" i="14"/>
  <c r="E128" i="14"/>
  <c r="F128" i="14"/>
  <c r="E123" i="14"/>
  <c r="C123" i="14"/>
  <c r="C124" i="14"/>
  <c r="C192" i="14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E109" i="14"/>
  <c r="C101" i="14"/>
  <c r="C102" i="14"/>
  <c r="E100" i="14"/>
  <c r="C100" i="14"/>
  <c r="F100" i="14"/>
  <c r="E99" i="14"/>
  <c r="F99" i="14"/>
  <c r="E98" i="14"/>
  <c r="F98" i="14"/>
  <c r="C95" i="14"/>
  <c r="E95" i="14"/>
  <c r="F94" i="14"/>
  <c r="C94" i="14"/>
  <c r="E94" i="14"/>
  <c r="F93" i="14"/>
  <c r="E93" i="14"/>
  <c r="C88" i="14"/>
  <c r="E88" i="14"/>
  <c r="E87" i="14"/>
  <c r="F87" i="14"/>
  <c r="E86" i="14"/>
  <c r="F86" i="14"/>
  <c r="C85" i="14"/>
  <c r="E85" i="14"/>
  <c r="E84" i="14"/>
  <c r="F84" i="14"/>
  <c r="E83" i="14"/>
  <c r="F83" i="14"/>
  <c r="C76" i="14"/>
  <c r="E76" i="14"/>
  <c r="E74" i="14"/>
  <c r="F74" i="14"/>
  <c r="E73" i="14"/>
  <c r="F73" i="14"/>
  <c r="C67" i="14"/>
  <c r="E67" i="14"/>
  <c r="C66" i="14"/>
  <c r="E66" i="14"/>
  <c r="E59" i="14"/>
  <c r="C59" i="14"/>
  <c r="C58" i="14"/>
  <c r="E58" i="14"/>
  <c r="E57" i="14"/>
  <c r="F57" i="14"/>
  <c r="E56" i="14"/>
  <c r="F56" i="14"/>
  <c r="C53" i="14"/>
  <c r="C52" i="14"/>
  <c r="E52" i="14"/>
  <c r="E51" i="14"/>
  <c r="F51" i="14"/>
  <c r="C47" i="14"/>
  <c r="C48" i="14"/>
  <c r="E46" i="14"/>
  <c r="F46" i="14"/>
  <c r="E45" i="14"/>
  <c r="F45" i="14"/>
  <c r="E44" i="14"/>
  <c r="C44" i="14"/>
  <c r="F43" i="14"/>
  <c r="E43" i="14"/>
  <c r="F42" i="14"/>
  <c r="E42" i="14"/>
  <c r="E36" i="14"/>
  <c r="C36" i="14"/>
  <c r="C35" i="14"/>
  <c r="E30" i="14"/>
  <c r="C30" i="14"/>
  <c r="C29" i="14"/>
  <c r="E29" i="14"/>
  <c r="E28" i="14"/>
  <c r="F28" i="14"/>
  <c r="E27" i="14"/>
  <c r="F27" i="14"/>
  <c r="C24" i="14"/>
  <c r="C23" i="14"/>
  <c r="E23" i="14"/>
  <c r="E22" i="14"/>
  <c r="F22" i="14"/>
  <c r="C20" i="14"/>
  <c r="E19" i="14"/>
  <c r="F19" i="14"/>
  <c r="E18" i="14"/>
  <c r="F18" i="14"/>
  <c r="F17" i="14"/>
  <c r="C17" i="14"/>
  <c r="E17" i="14"/>
  <c r="F16" i="14"/>
  <c r="E16" i="14"/>
  <c r="F15" i="14"/>
  <c r="E15" i="14"/>
  <c r="D21" i="13"/>
  <c r="E21" i="13"/>
  <c r="F21" i="13"/>
  <c r="C21" i="13"/>
  <c r="F20" i="13"/>
  <c r="E20" i="13"/>
  <c r="D17" i="13"/>
  <c r="E17" i="13"/>
  <c r="F17" i="13"/>
  <c r="C17" i="13"/>
  <c r="F16" i="13"/>
  <c r="E16" i="13"/>
  <c r="D13" i="13"/>
  <c r="E13" i="13"/>
  <c r="F13" i="13"/>
  <c r="C13" i="13"/>
  <c r="F12" i="13"/>
  <c r="E12" i="13"/>
  <c r="D99" i="12"/>
  <c r="E99" i="12"/>
  <c r="F99" i="12"/>
  <c r="C99" i="12"/>
  <c r="F98" i="12"/>
  <c r="E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F84" i="12"/>
  <c r="D84" i="12"/>
  <c r="E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5" i="12"/>
  <c r="F75" i="12"/>
  <c r="F73" i="12"/>
  <c r="E73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59" i="12"/>
  <c r="E59" i="12"/>
  <c r="E60" i="12"/>
  <c r="F60" i="12"/>
  <c r="F58" i="12"/>
  <c r="E58" i="12"/>
  <c r="D55" i="12"/>
  <c r="E55" i="12"/>
  <c r="F55" i="12"/>
  <c r="C55" i="12"/>
  <c r="F54" i="12"/>
  <c r="E54" i="12"/>
  <c r="F53" i="12"/>
  <c r="E53" i="12"/>
  <c r="D50" i="12"/>
  <c r="E50" i="12"/>
  <c r="F50" i="12"/>
  <c r="C50" i="12"/>
  <c r="F49" i="12"/>
  <c r="E49" i="12"/>
  <c r="F48" i="12"/>
  <c r="E48" i="12"/>
  <c r="F45" i="12"/>
  <c r="D45" i="12"/>
  <c r="E45" i="12"/>
  <c r="C45" i="12"/>
  <c r="F44" i="12"/>
  <c r="E44" i="12"/>
  <c r="F43" i="12"/>
  <c r="E43" i="12"/>
  <c r="F37" i="12"/>
  <c r="D37" i="12"/>
  <c r="E37" i="12"/>
  <c r="C37" i="12"/>
  <c r="F36" i="12"/>
  <c r="E36" i="12"/>
  <c r="F35" i="12"/>
  <c r="E35" i="12"/>
  <c r="F34" i="12"/>
  <c r="E34" i="12"/>
  <c r="F33" i="12"/>
  <c r="E33" i="12"/>
  <c r="F30" i="12"/>
  <c r="D30" i="12"/>
  <c r="E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D17" i="11"/>
  <c r="F17" i="11"/>
  <c r="D31" i="11"/>
  <c r="C17" i="11"/>
  <c r="C33" i="11"/>
  <c r="C36" i="11"/>
  <c r="C38" i="11"/>
  <c r="C40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C78" i="10"/>
  <c r="C80" i="10"/>
  <c r="C77" i="10"/>
  <c r="D77" i="10"/>
  <c r="C75" i="10"/>
  <c r="E73" i="10"/>
  <c r="E75" i="10"/>
  <c r="D73" i="10"/>
  <c r="D75" i="10"/>
  <c r="C73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C50" i="10"/>
  <c r="E54" i="10"/>
  <c r="D54" i="10"/>
  <c r="C54" i="10"/>
  <c r="D50" i="10"/>
  <c r="E46" i="10"/>
  <c r="E48" i="10"/>
  <c r="E42" i="10"/>
  <c r="D46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/>
  <c r="E27" i="10"/>
  <c r="E21" i="10"/>
  <c r="D13" i="10"/>
  <c r="C13" i="10"/>
  <c r="D46" i="9"/>
  <c r="C46" i="9"/>
  <c r="F46" i="9"/>
  <c r="F45" i="9"/>
  <c r="E45" i="9"/>
  <c r="F44" i="9"/>
  <c r="E44" i="9"/>
  <c r="D39" i="9"/>
  <c r="E39" i="9"/>
  <c r="C39" i="9"/>
  <c r="F38" i="9"/>
  <c r="E38" i="9"/>
  <c r="E37" i="9"/>
  <c r="F37" i="9"/>
  <c r="E36" i="9"/>
  <c r="F36" i="9"/>
  <c r="D31" i="9"/>
  <c r="E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C16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C61" i="8"/>
  <c r="E61" i="8"/>
  <c r="F60" i="8"/>
  <c r="E60" i="8"/>
  <c r="F59" i="8"/>
  <c r="E59" i="8"/>
  <c r="D56" i="8"/>
  <c r="E56" i="8"/>
  <c r="F56" i="8"/>
  <c r="C56" i="8"/>
  <c r="F55" i="8"/>
  <c r="E55" i="8"/>
  <c r="E54" i="8"/>
  <c r="F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F40" i="8"/>
  <c r="E40" i="8"/>
  <c r="D38" i="8"/>
  <c r="E38" i="8"/>
  <c r="F38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F28" i="8"/>
  <c r="E28" i="8"/>
  <c r="F27" i="8"/>
  <c r="E27" i="8"/>
  <c r="F26" i="8"/>
  <c r="E26" i="8"/>
  <c r="E25" i="8"/>
  <c r="F25" i="8"/>
  <c r="D22" i="8"/>
  <c r="C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E114" i="7"/>
  <c r="F114" i="7"/>
  <c r="C114" i="7"/>
  <c r="D113" i="7"/>
  <c r="E113" i="7"/>
  <c r="F113" i="7"/>
  <c r="C113" i="7"/>
  <c r="C122" i="7"/>
  <c r="D112" i="7"/>
  <c r="C112" i="7"/>
  <c r="E112" i="7"/>
  <c r="D108" i="7"/>
  <c r="E108" i="7"/>
  <c r="F108" i="7"/>
  <c r="C108" i="7"/>
  <c r="D107" i="7"/>
  <c r="E107" i="7"/>
  <c r="F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/>
  <c r="F96" i="7"/>
  <c r="C96" i="7"/>
  <c r="D95" i="7"/>
  <c r="E95" i="7"/>
  <c r="F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0" i="7"/>
  <c r="D60" i="7"/>
  <c r="E60" i="7"/>
  <c r="C60" i="7"/>
  <c r="F59" i="7"/>
  <c r="D59" i="7"/>
  <c r="E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D24" i="7"/>
  <c r="E24" i="7"/>
  <c r="F24" i="7"/>
  <c r="C24" i="7"/>
  <c r="D23" i="7"/>
  <c r="E23" i="7"/>
  <c r="F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06" i="6"/>
  <c r="D206" i="6"/>
  <c r="E206" i="6"/>
  <c r="C206" i="6"/>
  <c r="F205" i="6"/>
  <c r="D205" i="6"/>
  <c r="E205" i="6"/>
  <c r="C205" i="6"/>
  <c r="F204" i="6"/>
  <c r="D204" i="6"/>
  <c r="E204" i="6"/>
  <c r="C204" i="6"/>
  <c r="F203" i="6"/>
  <c r="D203" i="6"/>
  <c r="E203" i="6"/>
  <c r="C203" i="6"/>
  <c r="F202" i="6"/>
  <c r="D202" i="6"/>
  <c r="E202" i="6"/>
  <c r="C202" i="6"/>
  <c r="F201" i="6"/>
  <c r="D201" i="6"/>
  <c r="E201" i="6"/>
  <c r="C201" i="6"/>
  <c r="F200" i="6"/>
  <c r="D200" i="6"/>
  <c r="E200" i="6"/>
  <c r="C200" i="6"/>
  <c r="F199" i="6"/>
  <c r="D199" i="6"/>
  <c r="E199" i="6"/>
  <c r="C199" i="6"/>
  <c r="C208" i="6"/>
  <c r="F208" i="6"/>
  <c r="F198" i="6"/>
  <c r="D198" i="6"/>
  <c r="E198" i="6"/>
  <c r="C198" i="6"/>
  <c r="C207" i="6"/>
  <c r="F207" i="6"/>
  <c r="F193" i="6"/>
  <c r="D193" i="6"/>
  <c r="E193" i="6"/>
  <c r="C193" i="6"/>
  <c r="F192" i="6"/>
  <c r="D192" i="6"/>
  <c r="E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E102" i="6"/>
  <c r="D101" i="6"/>
  <c r="C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6" i="6"/>
  <c r="D76" i="6"/>
  <c r="E76" i="6"/>
  <c r="C76" i="6"/>
  <c r="F75" i="6"/>
  <c r="D75" i="6"/>
  <c r="E75" i="6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3" i="6"/>
  <c r="D63" i="6"/>
  <c r="E63" i="6"/>
  <c r="C63" i="6"/>
  <c r="D62" i="6"/>
  <c r="E62" i="6"/>
  <c r="C62" i="6"/>
  <c r="F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0" i="6"/>
  <c r="D50" i="6"/>
  <c r="E50" i="6"/>
  <c r="C50" i="6"/>
  <c r="F49" i="6"/>
  <c r="D49" i="6"/>
  <c r="E49" i="6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F24" i="6"/>
  <c r="D23" i="6"/>
  <c r="E23" i="6"/>
  <c r="C23" i="6"/>
  <c r="F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D166" i="5"/>
  <c r="C164" i="5"/>
  <c r="E162" i="5"/>
  <c r="D162" i="5"/>
  <c r="C162" i="5"/>
  <c r="E161" i="5"/>
  <c r="D161" i="5"/>
  <c r="C161" i="5"/>
  <c r="E160" i="5"/>
  <c r="E166" i="5"/>
  <c r="C160" i="5"/>
  <c r="C166" i="5"/>
  <c r="C152" i="5"/>
  <c r="E147" i="5"/>
  <c r="E143" i="5"/>
  <c r="E149" i="5"/>
  <c r="D147" i="5"/>
  <c r="D143" i="5"/>
  <c r="D149" i="5"/>
  <c r="C147" i="5"/>
  <c r="C143" i="5"/>
  <c r="C149" i="5"/>
  <c r="C135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C95" i="5"/>
  <c r="C94" i="5"/>
  <c r="E94" i="5"/>
  <c r="D94" i="5"/>
  <c r="E89" i="5"/>
  <c r="D89" i="5"/>
  <c r="C89" i="5"/>
  <c r="E87" i="5"/>
  <c r="D87" i="5"/>
  <c r="C87" i="5"/>
  <c r="E84" i="5"/>
  <c r="D84" i="5"/>
  <c r="D79" i="5"/>
  <c r="C84" i="5"/>
  <c r="C79" i="5"/>
  <c r="E83" i="5"/>
  <c r="D83" i="5"/>
  <c r="C83" i="5"/>
  <c r="E79" i="5"/>
  <c r="C77" i="5"/>
  <c r="C71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C53" i="5"/>
  <c r="E43" i="5"/>
  <c r="E38" i="5"/>
  <c r="E53" i="5"/>
  <c r="E57" i="5"/>
  <c r="E62" i="5"/>
  <c r="D38" i="5"/>
  <c r="D57" i="5"/>
  <c r="D62" i="5"/>
  <c r="C38" i="5"/>
  <c r="C49" i="5"/>
  <c r="E33" i="5"/>
  <c r="E34" i="5"/>
  <c r="D33" i="5"/>
  <c r="D34" i="5"/>
  <c r="E26" i="5"/>
  <c r="D26" i="5"/>
  <c r="C26" i="5"/>
  <c r="D25" i="5"/>
  <c r="D27" i="5"/>
  <c r="C25" i="5"/>
  <c r="C27" i="5"/>
  <c r="C21" i="5"/>
  <c r="E13" i="5"/>
  <c r="E25" i="5"/>
  <c r="E27" i="5"/>
  <c r="D13" i="5"/>
  <c r="D15" i="5"/>
  <c r="C13" i="5"/>
  <c r="C15" i="5"/>
  <c r="E174" i="4"/>
  <c r="F174" i="4"/>
  <c r="D171" i="4"/>
  <c r="C171" i="4"/>
  <c r="C176" i="4"/>
  <c r="F170" i="4"/>
  <c r="E170" i="4"/>
  <c r="E169" i="4"/>
  <c r="F169" i="4"/>
  <c r="F168" i="4"/>
  <c r="E168" i="4"/>
  <c r="E167" i="4"/>
  <c r="F167" i="4"/>
  <c r="F166" i="4"/>
  <c r="E166" i="4"/>
  <c r="E165" i="4"/>
  <c r="F165" i="4"/>
  <c r="F164" i="4"/>
  <c r="E164" i="4"/>
  <c r="F163" i="4"/>
  <c r="E163" i="4"/>
  <c r="F162" i="4"/>
  <c r="E162" i="4"/>
  <c r="F161" i="4"/>
  <c r="E161" i="4"/>
  <c r="F160" i="4"/>
  <c r="E160" i="4"/>
  <c r="E159" i="4"/>
  <c r="F159" i="4"/>
  <c r="F158" i="4"/>
  <c r="E158" i="4"/>
  <c r="D155" i="4"/>
  <c r="D176" i="4"/>
  <c r="E176" i="4"/>
  <c r="C155" i="4"/>
  <c r="E155" i="4"/>
  <c r="E154" i="4"/>
  <c r="F154" i="4"/>
  <c r="F153" i="4"/>
  <c r="E153" i="4"/>
  <c r="E152" i="4"/>
  <c r="F152" i="4"/>
  <c r="F151" i="4"/>
  <c r="E151" i="4"/>
  <c r="F150" i="4"/>
  <c r="E150" i="4"/>
  <c r="F149" i="4"/>
  <c r="E149" i="4"/>
  <c r="E148" i="4"/>
  <c r="F148" i="4"/>
  <c r="F147" i="4"/>
  <c r="E147" i="4"/>
  <c r="F146" i="4"/>
  <c r="E146" i="4"/>
  <c r="F145" i="4"/>
  <c r="E145" i="4"/>
  <c r="E144" i="4"/>
  <c r="F144" i="4"/>
  <c r="F143" i="4"/>
  <c r="E143" i="4"/>
  <c r="E142" i="4"/>
  <c r="F142" i="4"/>
  <c r="F141" i="4"/>
  <c r="E141" i="4"/>
  <c r="F140" i="4"/>
  <c r="E140" i="4"/>
  <c r="F139" i="4"/>
  <c r="E139" i="4"/>
  <c r="E138" i="4"/>
  <c r="F138" i="4"/>
  <c r="F137" i="4"/>
  <c r="E137" i="4"/>
  <c r="E136" i="4"/>
  <c r="F136" i="4"/>
  <c r="F135" i="4"/>
  <c r="E135" i="4"/>
  <c r="E134" i="4"/>
  <c r="F134" i="4"/>
  <c r="F133" i="4"/>
  <c r="E133" i="4"/>
  <c r="E132" i="4"/>
  <c r="F132" i="4"/>
  <c r="F131" i="4"/>
  <c r="E131" i="4"/>
  <c r="E130" i="4"/>
  <c r="F130" i="4"/>
  <c r="F129" i="4"/>
  <c r="E129" i="4"/>
  <c r="F128" i="4"/>
  <c r="E128" i="4"/>
  <c r="F127" i="4"/>
  <c r="E127" i="4"/>
  <c r="E126" i="4"/>
  <c r="F126" i="4"/>
  <c r="F125" i="4"/>
  <c r="E125" i="4"/>
  <c r="F124" i="4"/>
  <c r="E124" i="4"/>
  <c r="F123" i="4"/>
  <c r="E123" i="4"/>
  <c r="F122" i="4"/>
  <c r="E122" i="4"/>
  <c r="F121" i="4"/>
  <c r="E121" i="4"/>
  <c r="D118" i="4"/>
  <c r="C118" i="4"/>
  <c r="E118" i="4"/>
  <c r="F117" i="4"/>
  <c r="E117" i="4"/>
  <c r="F116" i="4"/>
  <c r="E116" i="4"/>
  <c r="E115" i="4"/>
  <c r="F115" i="4"/>
  <c r="F114" i="4"/>
  <c r="E114" i="4"/>
  <c r="E113" i="4"/>
  <c r="F113" i="4"/>
  <c r="F112" i="4"/>
  <c r="E112" i="4"/>
  <c r="D109" i="4"/>
  <c r="C109" i="4"/>
  <c r="E109" i="4"/>
  <c r="E108" i="4"/>
  <c r="F108" i="4"/>
  <c r="F107" i="4"/>
  <c r="E107" i="4"/>
  <c r="E106" i="4"/>
  <c r="F106" i="4"/>
  <c r="F105" i="4"/>
  <c r="E105" i="4"/>
  <c r="E104" i="4"/>
  <c r="F104" i="4"/>
  <c r="F103" i="4"/>
  <c r="E103" i="4"/>
  <c r="E102" i="4"/>
  <c r="F102" i="4"/>
  <c r="F101" i="4"/>
  <c r="E101" i="4"/>
  <c r="E100" i="4"/>
  <c r="F100" i="4"/>
  <c r="F99" i="4"/>
  <c r="E99" i="4"/>
  <c r="E98" i="4"/>
  <c r="F98" i="4"/>
  <c r="F97" i="4"/>
  <c r="E97" i="4"/>
  <c r="E96" i="4"/>
  <c r="F96" i="4"/>
  <c r="F95" i="4"/>
  <c r="E95" i="4"/>
  <c r="E94" i="4"/>
  <c r="F94" i="4"/>
  <c r="F93" i="4"/>
  <c r="E93" i="4"/>
  <c r="E92" i="4"/>
  <c r="F92" i="4"/>
  <c r="F91" i="4"/>
  <c r="E91" i="4"/>
  <c r="E81" i="4"/>
  <c r="F81" i="4"/>
  <c r="D78" i="4"/>
  <c r="D83" i="4"/>
  <c r="E83" i="4"/>
  <c r="F83" i="4"/>
  <c r="C78" i="4"/>
  <c r="F77" i="4"/>
  <c r="E77" i="4"/>
  <c r="E76" i="4"/>
  <c r="F76" i="4"/>
  <c r="F75" i="4"/>
  <c r="E75" i="4"/>
  <c r="E74" i="4"/>
  <c r="F74" i="4"/>
  <c r="F73" i="4"/>
  <c r="E73" i="4"/>
  <c r="E72" i="4"/>
  <c r="F72" i="4"/>
  <c r="F71" i="4"/>
  <c r="E71" i="4"/>
  <c r="E70" i="4"/>
  <c r="F70" i="4"/>
  <c r="F69" i="4"/>
  <c r="E69" i="4"/>
  <c r="E68" i="4"/>
  <c r="F68" i="4"/>
  <c r="F67" i="4"/>
  <c r="E67" i="4"/>
  <c r="E66" i="4"/>
  <c r="F66" i="4"/>
  <c r="F65" i="4"/>
  <c r="E65" i="4"/>
  <c r="E64" i="4"/>
  <c r="F64" i="4"/>
  <c r="F63" i="4"/>
  <c r="E63" i="4"/>
  <c r="E62" i="4"/>
  <c r="F62" i="4"/>
  <c r="D59" i="4"/>
  <c r="C59" i="4"/>
  <c r="E59" i="4"/>
  <c r="E58" i="4"/>
  <c r="F58" i="4"/>
  <c r="E57" i="4"/>
  <c r="F57" i="4"/>
  <c r="E56" i="4"/>
  <c r="F56" i="4"/>
  <c r="F55" i="4"/>
  <c r="E55" i="4"/>
  <c r="E54" i="4"/>
  <c r="F54" i="4"/>
  <c r="E53" i="4"/>
  <c r="F53" i="4"/>
  <c r="E50" i="4"/>
  <c r="F50" i="4"/>
  <c r="E47" i="4"/>
  <c r="F47" i="4"/>
  <c r="E44" i="4"/>
  <c r="F44" i="4"/>
  <c r="D41" i="4"/>
  <c r="E41" i="4"/>
  <c r="C41" i="4"/>
  <c r="E40" i="4"/>
  <c r="F40" i="4"/>
  <c r="F39" i="4"/>
  <c r="E39" i="4"/>
  <c r="E38" i="4"/>
  <c r="F38" i="4"/>
  <c r="D35" i="4"/>
  <c r="C35" i="4"/>
  <c r="E35" i="4"/>
  <c r="E34" i="4"/>
  <c r="F34" i="4"/>
  <c r="E33" i="4"/>
  <c r="F33" i="4"/>
  <c r="D30" i="4"/>
  <c r="C30" i="4"/>
  <c r="E30" i="4"/>
  <c r="F29" i="4"/>
  <c r="E29" i="4"/>
  <c r="E28" i="4"/>
  <c r="F28" i="4"/>
  <c r="F27" i="4"/>
  <c r="E27" i="4"/>
  <c r="D24" i="4"/>
  <c r="C24" i="4"/>
  <c r="E24" i="4"/>
  <c r="E23" i="4"/>
  <c r="F23" i="4"/>
  <c r="F22" i="4"/>
  <c r="E22" i="4"/>
  <c r="E21" i="4"/>
  <c r="F21" i="4"/>
  <c r="D18" i="4"/>
  <c r="C18" i="4"/>
  <c r="E18" i="4"/>
  <c r="E17" i="4"/>
  <c r="F17" i="4"/>
  <c r="F16" i="4"/>
  <c r="E16" i="4"/>
  <c r="E15" i="4"/>
  <c r="F15" i="4"/>
  <c r="D179" i="3"/>
  <c r="E179" i="3"/>
  <c r="F179" i="3"/>
  <c r="C179" i="3"/>
  <c r="F178" i="3"/>
  <c r="E178" i="3"/>
  <c r="F177" i="3"/>
  <c r="E177" i="3"/>
  <c r="E176" i="3"/>
  <c r="F176" i="3"/>
  <c r="F175" i="3"/>
  <c r="E175" i="3"/>
  <c r="E174" i="3"/>
  <c r="F174" i="3"/>
  <c r="F173" i="3"/>
  <c r="E173" i="3"/>
  <c r="E172" i="3"/>
  <c r="F172" i="3"/>
  <c r="E171" i="3"/>
  <c r="F171" i="3"/>
  <c r="E170" i="3"/>
  <c r="F170" i="3"/>
  <c r="F169" i="3"/>
  <c r="E169" i="3"/>
  <c r="E168" i="3"/>
  <c r="F168" i="3"/>
  <c r="D166" i="3"/>
  <c r="C166" i="3"/>
  <c r="F165" i="3"/>
  <c r="E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E158" i="3"/>
  <c r="F158" i="3"/>
  <c r="E157" i="3"/>
  <c r="F157" i="3"/>
  <c r="F156" i="3"/>
  <c r="E156" i="3"/>
  <c r="E155" i="3"/>
  <c r="F155" i="3"/>
  <c r="D153" i="3"/>
  <c r="E153" i="3"/>
  <c r="F153" i="3"/>
  <c r="C153" i="3"/>
  <c r="F152" i="3"/>
  <c r="E152" i="3"/>
  <c r="F151" i="3"/>
  <c r="E151" i="3"/>
  <c r="E150" i="3"/>
  <c r="F150" i="3"/>
  <c r="F149" i="3"/>
  <c r="E149" i="3"/>
  <c r="E148" i="3"/>
  <c r="F148" i="3"/>
  <c r="F147" i="3"/>
  <c r="E147" i="3"/>
  <c r="E146" i="3"/>
  <c r="F146" i="3"/>
  <c r="E145" i="3"/>
  <c r="F145" i="3"/>
  <c r="E144" i="3"/>
  <c r="F144" i="3"/>
  <c r="F143" i="3"/>
  <c r="E143" i="3"/>
  <c r="E142" i="3"/>
  <c r="F142" i="3"/>
  <c r="D137" i="3"/>
  <c r="C137" i="3"/>
  <c r="F136" i="3"/>
  <c r="E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E129" i="3"/>
  <c r="F129" i="3"/>
  <c r="E128" i="3"/>
  <c r="F128" i="3"/>
  <c r="F127" i="3"/>
  <c r="E127" i="3"/>
  <c r="E126" i="3"/>
  <c r="F126" i="3"/>
  <c r="D124" i="3"/>
  <c r="E124" i="3"/>
  <c r="F124" i="3"/>
  <c r="C124" i="3"/>
  <c r="F123" i="3"/>
  <c r="E123" i="3"/>
  <c r="F122" i="3"/>
  <c r="E122" i="3"/>
  <c r="E121" i="3"/>
  <c r="F121" i="3"/>
  <c r="F120" i="3"/>
  <c r="E120" i="3"/>
  <c r="E119" i="3"/>
  <c r="F119" i="3"/>
  <c r="F118" i="3"/>
  <c r="E118" i="3"/>
  <c r="E117" i="3"/>
  <c r="F117" i="3"/>
  <c r="E116" i="3"/>
  <c r="F116" i="3"/>
  <c r="E115" i="3"/>
  <c r="F115" i="3"/>
  <c r="F114" i="3"/>
  <c r="E114" i="3"/>
  <c r="E113" i="3"/>
  <c r="F113" i="3"/>
  <c r="D111" i="3"/>
  <c r="C111" i="3"/>
  <c r="F110" i="3"/>
  <c r="E110" i="3"/>
  <c r="F109" i="3"/>
  <c r="E109" i="3"/>
  <c r="E108" i="3"/>
  <c r="F108" i="3"/>
  <c r="F107" i="3"/>
  <c r="E107" i="3"/>
  <c r="E106" i="3"/>
  <c r="F106" i="3"/>
  <c r="F105" i="3"/>
  <c r="E105" i="3"/>
  <c r="E104" i="3"/>
  <c r="F104" i="3"/>
  <c r="E103" i="3"/>
  <c r="F103" i="3"/>
  <c r="E102" i="3"/>
  <c r="F102" i="3"/>
  <c r="F101" i="3"/>
  <c r="E101" i="3"/>
  <c r="E100" i="3"/>
  <c r="F100" i="3"/>
  <c r="D94" i="3"/>
  <c r="E94" i="3"/>
  <c r="C94" i="3"/>
  <c r="F94" i="3"/>
  <c r="D93" i="3"/>
  <c r="E93" i="3"/>
  <c r="C93" i="3"/>
  <c r="F93" i="3"/>
  <c r="D92" i="3"/>
  <c r="E92" i="3"/>
  <c r="F92" i="3"/>
  <c r="C92" i="3"/>
  <c r="D91" i="3"/>
  <c r="E91" i="3"/>
  <c r="C91" i="3"/>
  <c r="F91" i="3"/>
  <c r="D90" i="3"/>
  <c r="E90" i="3"/>
  <c r="F90" i="3"/>
  <c r="C90" i="3"/>
  <c r="D89" i="3"/>
  <c r="E89" i="3"/>
  <c r="C89" i="3"/>
  <c r="F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C85" i="3"/>
  <c r="F85" i="3"/>
  <c r="D84" i="3"/>
  <c r="E84" i="3"/>
  <c r="C84" i="3"/>
  <c r="F84" i="3"/>
  <c r="D81" i="3"/>
  <c r="C81" i="3"/>
  <c r="E81" i="3"/>
  <c r="F80" i="3"/>
  <c r="E80" i="3"/>
  <c r="F79" i="3"/>
  <c r="E79" i="3"/>
  <c r="E78" i="3"/>
  <c r="F78" i="3"/>
  <c r="F77" i="3"/>
  <c r="E77" i="3"/>
  <c r="E76" i="3"/>
  <c r="F76" i="3"/>
  <c r="F75" i="3"/>
  <c r="E75" i="3"/>
  <c r="E74" i="3"/>
  <c r="F74" i="3"/>
  <c r="F73" i="3"/>
  <c r="E73" i="3"/>
  <c r="E72" i="3"/>
  <c r="F72" i="3"/>
  <c r="F71" i="3"/>
  <c r="E71" i="3"/>
  <c r="E70" i="3"/>
  <c r="F70" i="3"/>
  <c r="D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E60" i="3"/>
  <c r="F60" i="3"/>
  <c r="F59" i="3"/>
  <c r="E59" i="3"/>
  <c r="F58" i="3"/>
  <c r="E58" i="3"/>
  <c r="F57" i="3"/>
  <c r="E57" i="3"/>
  <c r="D51" i="3"/>
  <c r="C51" i="3"/>
  <c r="E51" i="3"/>
  <c r="D50" i="3"/>
  <c r="C50" i="3"/>
  <c r="E50" i="3"/>
  <c r="D49" i="3"/>
  <c r="C49" i="3"/>
  <c r="E49" i="3"/>
  <c r="D48" i="3"/>
  <c r="C48" i="3"/>
  <c r="E48" i="3"/>
  <c r="D47" i="3"/>
  <c r="C47" i="3"/>
  <c r="E47" i="3"/>
  <c r="D46" i="3"/>
  <c r="C46" i="3"/>
  <c r="E46" i="3"/>
  <c r="D45" i="3"/>
  <c r="C45" i="3"/>
  <c r="E45" i="3"/>
  <c r="D44" i="3"/>
  <c r="C44" i="3"/>
  <c r="E44" i="3"/>
  <c r="D43" i="3"/>
  <c r="C43" i="3"/>
  <c r="D42" i="3"/>
  <c r="C42" i="3"/>
  <c r="F42" i="3"/>
  <c r="E41" i="3"/>
  <c r="D41" i="3"/>
  <c r="D52" i="3"/>
  <c r="C41" i="3"/>
  <c r="F41" i="3"/>
  <c r="D38" i="3"/>
  <c r="E38" i="3"/>
  <c r="C38" i="3"/>
  <c r="F38" i="3"/>
  <c r="F37" i="3"/>
  <c r="E37" i="3"/>
  <c r="F36" i="3"/>
  <c r="E36" i="3"/>
  <c r="E35" i="3"/>
  <c r="F35" i="3"/>
  <c r="F34" i="3"/>
  <c r="E34" i="3"/>
  <c r="E33" i="3"/>
  <c r="F33" i="3"/>
  <c r="F32" i="3"/>
  <c r="E32" i="3"/>
  <c r="E31" i="3"/>
  <c r="F31" i="3"/>
  <c r="E30" i="3"/>
  <c r="F30" i="3"/>
  <c r="E29" i="3"/>
  <c r="F29" i="3"/>
  <c r="F28" i="3"/>
  <c r="E28" i="3"/>
  <c r="E27" i="3"/>
  <c r="F27" i="3"/>
  <c r="D25" i="3"/>
  <c r="C25" i="3"/>
  <c r="F25" i="3"/>
  <c r="F24" i="3"/>
  <c r="E24" i="3"/>
  <c r="F23" i="3"/>
  <c r="E23" i="3"/>
  <c r="E22" i="3"/>
  <c r="F22" i="3"/>
  <c r="F21" i="3"/>
  <c r="E21" i="3"/>
  <c r="E20" i="3"/>
  <c r="F20" i="3"/>
  <c r="F19" i="3"/>
  <c r="E19" i="3"/>
  <c r="E18" i="3"/>
  <c r="F18" i="3"/>
  <c r="E17" i="3"/>
  <c r="F17" i="3"/>
  <c r="E16" i="3"/>
  <c r="F16" i="3"/>
  <c r="F15" i="3"/>
  <c r="E15" i="3"/>
  <c r="E14" i="3"/>
  <c r="F14" i="3"/>
  <c r="E49" i="2"/>
  <c r="F49" i="2"/>
  <c r="D46" i="2"/>
  <c r="C46" i="2"/>
  <c r="F46" i="2"/>
  <c r="F45" i="2"/>
  <c r="E45" i="2"/>
  <c r="F44" i="2"/>
  <c r="E44" i="2"/>
  <c r="D39" i="2"/>
  <c r="E39" i="2"/>
  <c r="F39" i="2"/>
  <c r="C39" i="2"/>
  <c r="F38" i="2"/>
  <c r="E38" i="2"/>
  <c r="E37" i="2"/>
  <c r="F37" i="2"/>
  <c r="F36" i="2"/>
  <c r="E36" i="2"/>
  <c r="D31" i="2"/>
  <c r="C31" i="2"/>
  <c r="E30" i="2"/>
  <c r="F30" i="2"/>
  <c r="F29" i="2"/>
  <c r="E29" i="2"/>
  <c r="E28" i="2"/>
  <c r="F28" i="2"/>
  <c r="F27" i="2"/>
  <c r="E27" i="2"/>
  <c r="E26" i="2"/>
  <c r="F26" i="2"/>
  <c r="F25" i="2"/>
  <c r="E25" i="2"/>
  <c r="E24" i="2"/>
  <c r="F24" i="2"/>
  <c r="F23" i="2"/>
  <c r="E23" i="2"/>
  <c r="E22" i="2"/>
  <c r="F22" i="2"/>
  <c r="F18" i="2"/>
  <c r="E18" i="2"/>
  <c r="E17" i="2"/>
  <c r="F17" i="2"/>
  <c r="D16" i="2"/>
  <c r="D19" i="2"/>
  <c r="C16" i="2"/>
  <c r="F15" i="2"/>
  <c r="E15" i="2"/>
  <c r="E14" i="2"/>
  <c r="F14" i="2"/>
  <c r="E13" i="2"/>
  <c r="F13" i="2"/>
  <c r="E12" i="2"/>
  <c r="F12" i="2"/>
  <c r="D73" i="1"/>
  <c r="C73" i="1"/>
  <c r="F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F60" i="1"/>
  <c r="E60" i="1"/>
  <c r="E59" i="1"/>
  <c r="F59" i="1"/>
  <c r="D56" i="1"/>
  <c r="D75" i="1"/>
  <c r="C56" i="1"/>
  <c r="F55" i="1"/>
  <c r="E55" i="1"/>
  <c r="F54" i="1"/>
  <c r="E54" i="1"/>
  <c r="E53" i="1"/>
  <c r="F53" i="1"/>
  <c r="F52" i="1"/>
  <c r="E52" i="1"/>
  <c r="F51" i="1"/>
  <c r="E51" i="1"/>
  <c r="F50" i="1"/>
  <c r="E50" i="1"/>
  <c r="A50" i="1"/>
  <c r="A51" i="1"/>
  <c r="A52" i="1"/>
  <c r="A53" i="1"/>
  <c r="A54" i="1"/>
  <c r="A55" i="1"/>
  <c r="E49" i="1"/>
  <c r="F49" i="1"/>
  <c r="C41" i="1"/>
  <c r="E40" i="1"/>
  <c r="F40" i="1"/>
  <c r="D38" i="1"/>
  <c r="C38" i="1"/>
  <c r="E37" i="1"/>
  <c r="F37" i="1"/>
  <c r="E36" i="1"/>
  <c r="F36" i="1"/>
  <c r="E33" i="1"/>
  <c r="F33" i="1"/>
  <c r="F32" i="1"/>
  <c r="E32" i="1"/>
  <c r="E31" i="1"/>
  <c r="F31" i="1"/>
  <c r="D29" i="1"/>
  <c r="C29" i="1"/>
  <c r="E29" i="1"/>
  <c r="F28" i="1"/>
  <c r="E28" i="1"/>
  <c r="F27" i="1"/>
  <c r="E27" i="1"/>
  <c r="F26" i="1"/>
  <c r="E26" i="1"/>
  <c r="E25" i="1"/>
  <c r="F25" i="1"/>
  <c r="D22" i="1"/>
  <c r="C22" i="1"/>
  <c r="C43" i="1"/>
  <c r="F21" i="1"/>
  <c r="E21" i="1"/>
  <c r="E20" i="1"/>
  <c r="F20" i="1"/>
  <c r="E19" i="1"/>
  <c r="F19" i="1"/>
  <c r="F18" i="1"/>
  <c r="E18" i="1"/>
  <c r="E17" i="1"/>
  <c r="F17" i="1"/>
  <c r="E16" i="1"/>
  <c r="F16" i="1"/>
  <c r="E15" i="1"/>
  <c r="F15" i="1"/>
  <c r="F14" i="1"/>
  <c r="E14" i="1"/>
  <c r="E13" i="1"/>
  <c r="F13" i="1"/>
  <c r="F44" i="14"/>
  <c r="F67" i="14"/>
  <c r="D37" i="14"/>
  <c r="D111" i="14"/>
  <c r="D146" i="14"/>
  <c r="D214" i="14"/>
  <c r="D33" i="2"/>
  <c r="E21" i="5"/>
  <c r="E137" i="5"/>
  <c r="E135" i="5"/>
  <c r="E139" i="5"/>
  <c r="E138" i="5"/>
  <c r="E136" i="5"/>
  <c r="E140" i="5"/>
  <c r="D140" i="5"/>
  <c r="D136" i="5"/>
  <c r="D139" i="5"/>
  <c r="D137" i="5"/>
  <c r="D135" i="5"/>
  <c r="D138" i="5"/>
  <c r="D24" i="5"/>
  <c r="D20" i="5"/>
  <c r="D17" i="5"/>
  <c r="C139" i="5"/>
  <c r="C138" i="5"/>
  <c r="C140" i="5"/>
  <c r="E154" i="5"/>
  <c r="E153" i="5"/>
  <c r="E157" i="5"/>
  <c r="E155" i="5"/>
  <c r="E156" i="5"/>
  <c r="E152" i="5"/>
  <c r="D157" i="5"/>
  <c r="D153" i="5"/>
  <c r="D155" i="5"/>
  <c r="D152" i="5"/>
  <c r="D156" i="5"/>
  <c r="D154" i="5"/>
  <c r="F176" i="4"/>
  <c r="C17" i="5"/>
  <c r="C24" i="5"/>
  <c r="D21" i="5"/>
  <c r="C156" i="5"/>
  <c r="C157" i="5"/>
  <c r="C155" i="5"/>
  <c r="D15" i="10"/>
  <c r="D25" i="10"/>
  <c r="D27" i="10"/>
  <c r="E240" i="15"/>
  <c r="C253" i="15"/>
  <c r="C65" i="1"/>
  <c r="F29" i="1"/>
  <c r="F18" i="4"/>
  <c r="F30" i="4"/>
  <c r="F35" i="4"/>
  <c r="F59" i="4"/>
  <c r="E56" i="1"/>
  <c r="F56" i="1"/>
  <c r="E61" i="1"/>
  <c r="F61" i="1"/>
  <c r="E73" i="1"/>
  <c r="E16" i="2"/>
  <c r="F16" i="2"/>
  <c r="E46" i="2"/>
  <c r="E25" i="3"/>
  <c r="C52" i="3"/>
  <c r="E52" i="3"/>
  <c r="E68" i="3"/>
  <c r="F68" i="3"/>
  <c r="C95" i="3"/>
  <c r="E111" i="3"/>
  <c r="F111" i="3"/>
  <c r="E137" i="3"/>
  <c r="F137" i="3"/>
  <c r="E166" i="3"/>
  <c r="F166" i="3"/>
  <c r="E78" i="4"/>
  <c r="F78" i="4"/>
  <c r="C83" i="4"/>
  <c r="E171" i="4"/>
  <c r="F171" i="4"/>
  <c r="C43" i="5"/>
  <c r="D49" i="5"/>
  <c r="D207" i="6"/>
  <c r="E207" i="6"/>
  <c r="D65" i="8"/>
  <c r="E294" i="15"/>
  <c r="C19" i="2"/>
  <c r="E19" i="2"/>
  <c r="E15" i="5"/>
  <c r="E24" i="5"/>
  <c r="D43" i="5"/>
  <c r="C57" i="5"/>
  <c r="C62" i="5"/>
  <c r="D53" i="5"/>
  <c r="D77" i="5"/>
  <c r="D71" i="5"/>
  <c r="E37" i="6"/>
  <c r="E89" i="6"/>
  <c r="E141" i="6"/>
  <c r="D121" i="7"/>
  <c r="D33" i="11"/>
  <c r="D59" i="10"/>
  <c r="D61" i="10"/>
  <c r="D57" i="10"/>
  <c r="D48" i="10"/>
  <c r="D42" i="10"/>
  <c r="E102" i="14"/>
  <c r="F102" i="14"/>
  <c r="C103" i="14"/>
  <c r="E146" i="14"/>
  <c r="F146" i="14"/>
  <c r="D208" i="6"/>
  <c r="E208" i="6"/>
  <c r="D41" i="8"/>
  <c r="E41" i="8"/>
  <c r="F41" i="8"/>
  <c r="C125" i="14"/>
  <c r="C90" i="14"/>
  <c r="E90" i="14"/>
  <c r="E48" i="14"/>
  <c r="F48" i="14"/>
  <c r="E278" i="14"/>
  <c r="F278" i="14"/>
  <c r="D122" i="7"/>
  <c r="E122" i="7"/>
  <c r="F122" i="7"/>
  <c r="D163" i="15"/>
  <c r="D156" i="15"/>
  <c r="D157" i="15"/>
  <c r="E151" i="15"/>
  <c r="D175" i="14"/>
  <c r="D62" i="14"/>
  <c r="D105" i="14"/>
  <c r="D90" i="14"/>
  <c r="D160" i="14"/>
  <c r="D207" i="14"/>
  <c r="D208" i="14"/>
  <c r="D138" i="14"/>
  <c r="D140" i="14"/>
  <c r="F29" i="14"/>
  <c r="C37" i="14"/>
  <c r="F58" i="14"/>
  <c r="F135" i="14"/>
  <c r="F145" i="14"/>
  <c r="C190" i="14"/>
  <c r="F191" i="14"/>
  <c r="C199" i="14"/>
  <c r="F230" i="14"/>
  <c r="C264" i="14"/>
  <c r="E38" i="15"/>
  <c r="C211" i="15"/>
  <c r="C235" i="15"/>
  <c r="D243" i="15"/>
  <c r="D252" i="15"/>
  <c r="D302" i="15"/>
  <c r="E302" i="15"/>
  <c r="D316" i="15"/>
  <c r="D22" i="15"/>
  <c r="E21" i="15"/>
  <c r="C71" i="15"/>
  <c r="C76" i="15"/>
  <c r="C65" i="15"/>
  <c r="C66" i="15"/>
  <c r="C289" i="15"/>
  <c r="E289" i="15"/>
  <c r="C144" i="15"/>
  <c r="C175" i="15"/>
  <c r="D260" i="15"/>
  <c r="E195" i="15"/>
  <c r="C46" i="19"/>
  <c r="C40" i="19"/>
  <c r="C36" i="19"/>
  <c r="C30" i="19"/>
  <c r="C111" i="19"/>
  <c r="C54" i="19"/>
  <c r="E109" i="19"/>
  <c r="E108" i="19"/>
  <c r="C21" i="14"/>
  <c r="E35" i="14"/>
  <c r="F35" i="14"/>
  <c r="E47" i="14"/>
  <c r="F47" i="14"/>
  <c r="C77" i="14"/>
  <c r="E77" i="14"/>
  <c r="C89" i="14"/>
  <c r="E101" i="14"/>
  <c r="F101" i="14"/>
  <c r="C138" i="14"/>
  <c r="E138" i="14"/>
  <c r="C193" i="14"/>
  <c r="C194" i="14"/>
  <c r="F204" i="14"/>
  <c r="C215" i="14"/>
  <c r="C269" i="14"/>
  <c r="C285" i="14"/>
  <c r="C288" i="14"/>
  <c r="F295" i="14"/>
  <c r="F297" i="14"/>
  <c r="F307" i="14"/>
  <c r="D43" i="15"/>
  <c r="D44" i="15"/>
  <c r="D217" i="15"/>
  <c r="D283" i="15"/>
  <c r="E283" i="15"/>
  <c r="C326" i="15"/>
  <c r="C330" i="15"/>
  <c r="E330" i="15"/>
  <c r="C262" i="14"/>
  <c r="C255" i="14"/>
  <c r="E189" i="14"/>
  <c r="F189" i="14"/>
  <c r="C280" i="14"/>
  <c r="C200" i="14"/>
  <c r="C274" i="14"/>
  <c r="F198" i="14"/>
  <c r="D66" i="15"/>
  <c r="E66" i="15"/>
  <c r="E65" i="15"/>
  <c r="D76" i="15"/>
  <c r="E71" i="15"/>
  <c r="D145" i="15"/>
  <c r="E144" i="15"/>
  <c r="C64" i="16"/>
  <c r="C65" i="16"/>
  <c r="C114" i="16"/>
  <c r="C116" i="16"/>
  <c r="C119" i="16"/>
  <c r="C123" i="16"/>
  <c r="C49" i="16"/>
  <c r="C108" i="19"/>
  <c r="C109" i="19"/>
  <c r="F23" i="14"/>
  <c r="F52" i="14"/>
  <c r="F66" i="14"/>
  <c r="C68" i="14"/>
  <c r="F76" i="14"/>
  <c r="F88" i="14"/>
  <c r="F95" i="14"/>
  <c r="F109" i="14"/>
  <c r="C111" i="14"/>
  <c r="F120" i="14"/>
  <c r="F129" i="14"/>
  <c r="F137" i="14"/>
  <c r="C239" i="14"/>
  <c r="C290" i="14"/>
  <c r="E290" i="14"/>
  <c r="E205" i="15"/>
  <c r="C247" i="15"/>
  <c r="E216" i="15"/>
  <c r="E218" i="15"/>
  <c r="C222" i="15"/>
  <c r="C223" i="15"/>
  <c r="C246" i="15"/>
  <c r="C229" i="15"/>
  <c r="E251" i="15"/>
  <c r="C294" i="15"/>
  <c r="D303" i="15"/>
  <c r="D306" i="15"/>
  <c r="C189" i="15"/>
  <c r="E189" i="15"/>
  <c r="C261" i="15"/>
  <c r="E228" i="15"/>
  <c r="D104" i="14"/>
  <c r="D174" i="14"/>
  <c r="D254" i="14"/>
  <c r="G17" i="11"/>
  <c r="E20" i="14"/>
  <c r="F20" i="14"/>
  <c r="F123" i="14"/>
  <c r="F144" i="14"/>
  <c r="C172" i="14"/>
  <c r="F180" i="14"/>
  <c r="C205" i="14"/>
  <c r="C214" i="14"/>
  <c r="F226" i="14"/>
  <c r="E229" i="14"/>
  <c r="F229" i="14"/>
  <c r="F238" i="14"/>
  <c r="F250" i="14"/>
  <c r="E296" i="14"/>
  <c r="F296" i="14"/>
  <c r="C306" i="14"/>
  <c r="C295" i="15"/>
  <c r="E60" i="15"/>
  <c r="E70" i="15"/>
  <c r="E139" i="15"/>
  <c r="C163" i="15"/>
  <c r="E163" i="15"/>
  <c r="D239" i="15"/>
  <c r="C242" i="15"/>
  <c r="E242" i="15"/>
  <c r="C20" i="17"/>
  <c r="E20" i="17"/>
  <c r="F20" i="17"/>
  <c r="E25" i="17"/>
  <c r="F25" i="17"/>
  <c r="C39" i="17"/>
  <c r="C40" i="17"/>
  <c r="E40" i="17"/>
  <c r="C46" i="17"/>
  <c r="E22" i="19"/>
  <c r="C33" i="19"/>
  <c r="D77" i="19"/>
  <c r="C101" i="19"/>
  <c r="C103" i="19"/>
  <c r="D193" i="14"/>
  <c r="D267" i="14"/>
  <c r="D285" i="14"/>
  <c r="E285" i="14"/>
  <c r="D306" i="14"/>
  <c r="E306" i="14"/>
  <c r="D222" i="15"/>
  <c r="C239" i="15"/>
  <c r="E239" i="15"/>
  <c r="F19" i="17"/>
  <c r="F33" i="17"/>
  <c r="F44" i="17"/>
  <c r="F45" i="17"/>
  <c r="D22" i="19"/>
  <c r="E23" i="19"/>
  <c r="C34" i="19"/>
  <c r="D124" i="14"/>
  <c r="E124" i="14"/>
  <c r="F124" i="14"/>
  <c r="D200" i="14"/>
  <c r="E200" i="14"/>
  <c r="D262" i="14"/>
  <c r="D274" i="14"/>
  <c r="E274" i="14"/>
  <c r="D280" i="14"/>
  <c r="E280" i="14"/>
  <c r="C22" i="19"/>
  <c r="E33" i="19"/>
  <c r="E101" i="19"/>
  <c r="E103" i="19"/>
  <c r="D199" i="14"/>
  <c r="D205" i="14"/>
  <c r="E205" i="14"/>
  <c r="D215" i="14"/>
  <c r="D279" i="14"/>
  <c r="D283" i="14"/>
  <c r="E283" i="14"/>
  <c r="D21" i="14"/>
  <c r="D190" i="14"/>
  <c r="E190" i="14"/>
  <c r="C259" i="15"/>
  <c r="C263" i="15"/>
  <c r="D141" i="14"/>
  <c r="C173" i="14"/>
  <c r="E172" i="14"/>
  <c r="F172" i="14"/>
  <c r="E303" i="15"/>
  <c r="F290" i="14"/>
  <c r="C168" i="15"/>
  <c r="C145" i="15"/>
  <c r="C180" i="15"/>
  <c r="D63" i="14"/>
  <c r="E103" i="14"/>
  <c r="F103" i="14"/>
  <c r="D255" i="14"/>
  <c r="E255" i="14"/>
  <c r="E215" i="14"/>
  <c r="C45" i="19"/>
  <c r="C39" i="19"/>
  <c r="C35" i="19"/>
  <c r="C29" i="19"/>
  <c r="C110" i="19"/>
  <c r="C53" i="19"/>
  <c r="E53" i="19"/>
  <c r="E39" i="19"/>
  <c r="E29" i="19"/>
  <c r="E214" i="14"/>
  <c r="E68" i="14"/>
  <c r="C272" i="14"/>
  <c r="D241" i="15"/>
  <c r="E269" i="14"/>
  <c r="F269" i="14"/>
  <c r="E22" i="15"/>
  <c r="C300" i="14"/>
  <c r="E264" i="14"/>
  <c r="E207" i="14"/>
  <c r="E20" i="5"/>
  <c r="D75" i="8"/>
  <c r="D112" i="5"/>
  <c r="D111" i="5"/>
  <c r="D28" i="5"/>
  <c r="D266" i="14"/>
  <c r="F200" i="14"/>
  <c r="F90" i="14"/>
  <c r="D158" i="5"/>
  <c r="E158" i="5"/>
  <c r="F19" i="2"/>
  <c r="C33" i="2"/>
  <c r="D21" i="10"/>
  <c r="C207" i="14"/>
  <c r="F138" i="14"/>
  <c r="E65" i="1"/>
  <c r="F65" i="1"/>
  <c r="E141" i="5"/>
  <c r="C266" i="14"/>
  <c r="D141" i="5"/>
  <c r="D45" i="19"/>
  <c r="D35" i="19"/>
  <c r="D110" i="19"/>
  <c r="E111" i="14"/>
  <c r="F111" i="14"/>
  <c r="C196" i="14"/>
  <c r="C49" i="14"/>
  <c r="E316" i="15"/>
  <c r="D320" i="15"/>
  <c r="E320" i="15"/>
  <c r="E37" i="14"/>
  <c r="E156" i="15"/>
  <c r="E157" i="15"/>
  <c r="D24" i="10"/>
  <c r="D20" i="10"/>
  <c r="D17" i="10"/>
  <c r="D28" i="10"/>
  <c r="D70" i="10"/>
  <c r="D72" i="10"/>
  <c r="D69" i="10"/>
  <c r="D286" i="14"/>
  <c r="F283" i="14"/>
  <c r="E54" i="19"/>
  <c r="E46" i="19"/>
  <c r="E40" i="19"/>
  <c r="E36" i="19"/>
  <c r="E30" i="19"/>
  <c r="E111" i="19"/>
  <c r="D246" i="15"/>
  <c r="E246" i="15"/>
  <c r="E222" i="15"/>
  <c r="D223" i="15"/>
  <c r="D270" i="14"/>
  <c r="E267" i="14"/>
  <c r="F267" i="14"/>
  <c r="D89" i="15"/>
  <c r="D85" i="15"/>
  <c r="D258" i="15"/>
  <c r="D98" i="15"/>
  <c r="D87" i="15"/>
  <c r="D83" i="15"/>
  <c r="D97" i="15"/>
  <c r="D86" i="15"/>
  <c r="D95" i="15"/>
  <c r="D84" i="15"/>
  <c r="D101" i="15"/>
  <c r="D99" i="15"/>
  <c r="D88" i="15"/>
  <c r="E239" i="14"/>
  <c r="F239" i="14"/>
  <c r="E43" i="15"/>
  <c r="D259" i="15"/>
  <c r="C56" i="19"/>
  <c r="C48" i="19"/>
  <c r="C38" i="19"/>
  <c r="C113" i="19"/>
  <c r="D126" i="14"/>
  <c r="D91" i="14"/>
  <c r="D49" i="14"/>
  <c r="D161" i="14"/>
  <c r="E21" i="14"/>
  <c r="F21" i="14"/>
  <c r="D272" i="14"/>
  <c r="E272" i="14"/>
  <c r="F272" i="14"/>
  <c r="D263" i="14"/>
  <c r="E262" i="14"/>
  <c r="F262" i="14"/>
  <c r="D109" i="19"/>
  <c r="D108" i="19"/>
  <c r="F280" i="14"/>
  <c r="E89" i="14"/>
  <c r="F89" i="14"/>
  <c r="E260" i="15"/>
  <c r="D106" i="14"/>
  <c r="D176" i="14"/>
  <c r="D36" i="11"/>
  <c r="D38" i="11"/>
  <c r="D40" i="11"/>
  <c r="F33" i="11"/>
  <c r="F36" i="11"/>
  <c r="F38" i="11"/>
  <c r="F40" i="11"/>
  <c r="C28" i="5"/>
  <c r="C112" i="5"/>
  <c r="C111" i="5"/>
  <c r="D41" i="2"/>
  <c r="E33" i="2"/>
  <c r="F255" i="14"/>
  <c r="F285" i="14"/>
  <c r="C286" i="14"/>
  <c r="E199" i="14"/>
  <c r="F199" i="14"/>
  <c r="F40" i="17"/>
  <c r="D168" i="15"/>
  <c r="E168" i="15"/>
  <c r="D139" i="14"/>
  <c r="D288" i="14"/>
  <c r="E288" i="14"/>
  <c r="F288" i="14"/>
  <c r="D282" i="14"/>
  <c r="D281" i="14"/>
  <c r="E281" i="14"/>
  <c r="F281" i="14"/>
  <c r="F215" i="14"/>
  <c r="C282" i="14"/>
  <c r="D284" i="14"/>
  <c r="D271" i="14"/>
  <c r="F205" i="14"/>
  <c r="D216" i="14"/>
  <c r="D268" i="14"/>
  <c r="D77" i="15"/>
  <c r="C270" i="14"/>
  <c r="D300" i="14"/>
  <c r="E300" i="14"/>
  <c r="D287" i="14"/>
  <c r="D295" i="15"/>
  <c r="E295" i="15"/>
  <c r="F190" i="14"/>
  <c r="D125" i="14"/>
  <c r="E125" i="14"/>
  <c r="F125" i="14"/>
  <c r="D43" i="8"/>
  <c r="F52" i="3"/>
  <c r="C75" i="1"/>
  <c r="D162" i="14"/>
  <c r="D127" i="15"/>
  <c r="D123" i="15"/>
  <c r="D112" i="15"/>
  <c r="D125" i="15"/>
  <c r="D121" i="15"/>
  <c r="D114" i="15"/>
  <c r="D110" i="15"/>
  <c r="D109" i="15"/>
  <c r="D126" i="15"/>
  <c r="D115" i="15"/>
  <c r="D124" i="15"/>
  <c r="D113" i="15"/>
  <c r="D122" i="15"/>
  <c r="D111" i="15"/>
  <c r="E259" i="15"/>
  <c r="E223" i="15"/>
  <c r="D247" i="15"/>
  <c r="E247" i="15"/>
  <c r="E48" i="19"/>
  <c r="E38" i="19"/>
  <c r="E113" i="19"/>
  <c r="E56" i="19"/>
  <c r="C41" i="2"/>
  <c r="F33" i="2"/>
  <c r="D209" i="14"/>
  <c r="D210" i="14"/>
  <c r="E47" i="19"/>
  <c r="E37" i="19"/>
  <c r="E112" i="19"/>
  <c r="E55" i="19"/>
  <c r="C112" i="19"/>
  <c r="C55" i="19"/>
  <c r="C47" i="19"/>
  <c r="C37" i="19"/>
  <c r="E270" i="14"/>
  <c r="C281" i="14"/>
  <c r="D169" i="15"/>
  <c r="E169" i="15"/>
  <c r="E286" i="14"/>
  <c r="F300" i="14"/>
  <c r="D48" i="2"/>
  <c r="E41" i="2"/>
  <c r="D90" i="15"/>
  <c r="C181" i="15"/>
  <c r="C169" i="15"/>
  <c r="D92" i="14"/>
  <c r="C195" i="14"/>
  <c r="D310" i="15"/>
  <c r="E310" i="15"/>
  <c r="E306" i="15"/>
  <c r="F270" i="14"/>
  <c r="D127" i="14"/>
  <c r="D304" i="14"/>
  <c r="D273" i="14"/>
  <c r="D291" i="14"/>
  <c r="D289" i="14"/>
  <c r="C99" i="5"/>
  <c r="C101" i="5"/>
  <c r="C98" i="5"/>
  <c r="C22" i="5"/>
  <c r="D50" i="14"/>
  <c r="E49" i="14"/>
  <c r="F49" i="14"/>
  <c r="C50" i="14"/>
  <c r="F207" i="14"/>
  <c r="C208" i="14"/>
  <c r="E266" i="14"/>
  <c r="F266" i="14"/>
  <c r="D265" i="14"/>
  <c r="D99" i="5"/>
  <c r="D101" i="5"/>
  <c r="D98" i="5"/>
  <c r="D22" i="5"/>
  <c r="F173" i="14"/>
  <c r="E173" i="14"/>
  <c r="D322" i="14"/>
  <c r="E282" i="14"/>
  <c r="F282" i="14"/>
  <c r="F286" i="14"/>
  <c r="E145" i="15"/>
  <c r="D22" i="10"/>
  <c r="C265" i="14"/>
  <c r="D324" i="14"/>
  <c r="D113" i="14"/>
  <c r="D211" i="14"/>
  <c r="D116" i="15"/>
  <c r="D183" i="14"/>
  <c r="D323" i="14"/>
  <c r="D305" i="14"/>
  <c r="F41" i="2"/>
  <c r="C48" i="2"/>
  <c r="E48" i="2"/>
  <c r="F48" i="2"/>
  <c r="D128" i="15"/>
  <c r="D129" i="15"/>
  <c r="D91" i="15"/>
  <c r="D148" i="14"/>
  <c r="D70" i="14"/>
  <c r="E50" i="14"/>
  <c r="F50" i="14"/>
  <c r="E265" i="14"/>
  <c r="F265" i="14"/>
  <c r="E208" i="14"/>
  <c r="F208" i="14"/>
  <c r="D309" i="14"/>
  <c r="D325" i="14"/>
  <c r="D310" i="14"/>
  <c r="D312" i="14"/>
  <c r="D313" i="14"/>
  <c r="D314" i="14"/>
  <c r="D194" i="14"/>
  <c r="E193" i="14"/>
  <c r="F193" i="14"/>
  <c r="E39" i="17"/>
  <c r="C41" i="17"/>
  <c r="C216" i="14"/>
  <c r="E216" i="14"/>
  <c r="F214" i="14"/>
  <c r="C304" i="14"/>
  <c r="F68" i="14"/>
  <c r="F274" i="14"/>
  <c r="D100" i="15"/>
  <c r="D96" i="15"/>
  <c r="C91" i="14"/>
  <c r="C126" i="14"/>
  <c r="C77" i="15"/>
  <c r="E76" i="15"/>
  <c r="E326" i="15"/>
  <c r="F264" i="14"/>
  <c r="F37" i="14"/>
  <c r="E75" i="1"/>
  <c r="F75" i="1"/>
  <c r="D315" i="14"/>
  <c r="D318" i="14"/>
  <c r="D256" i="14"/>
  <c r="D251" i="14"/>
  <c r="D117" i="15"/>
  <c r="D53" i="19"/>
  <c r="D39" i="19"/>
  <c r="D29" i="19"/>
  <c r="E110" i="19"/>
  <c r="E45" i="19"/>
  <c r="E35" i="19"/>
  <c r="E43" i="3"/>
  <c r="F43" i="3"/>
  <c r="E17" i="5"/>
  <c r="C153" i="5"/>
  <c r="C154" i="5"/>
  <c r="C20" i="5"/>
  <c r="C137" i="5"/>
  <c r="C136" i="5"/>
  <c r="C141" i="5"/>
  <c r="E22" i="1"/>
  <c r="F22" i="1"/>
  <c r="E38" i="1"/>
  <c r="F38" i="1"/>
  <c r="D41" i="1"/>
  <c r="E41" i="1"/>
  <c r="F41" i="1"/>
  <c r="E31" i="2"/>
  <c r="F31" i="2"/>
  <c r="E42" i="3"/>
  <c r="F41" i="4"/>
  <c r="F29" i="8"/>
  <c r="F73" i="8"/>
  <c r="F44" i="3"/>
  <c r="F45" i="3"/>
  <c r="F46" i="3"/>
  <c r="F47" i="3"/>
  <c r="F48" i="3"/>
  <c r="F49" i="3"/>
  <c r="F50" i="3"/>
  <c r="F51" i="3"/>
  <c r="F81" i="3"/>
  <c r="D95" i="3"/>
  <c r="E95" i="3"/>
  <c r="F95" i="3"/>
  <c r="F24" i="4"/>
  <c r="F109" i="4"/>
  <c r="F118" i="4"/>
  <c r="F155" i="4"/>
  <c r="E49" i="5"/>
  <c r="E88" i="5"/>
  <c r="E90" i="5"/>
  <c r="E86" i="5"/>
  <c r="F101" i="6"/>
  <c r="F102" i="6"/>
  <c r="C121" i="7"/>
  <c r="F112" i="7"/>
  <c r="C43" i="8"/>
  <c r="F22" i="8"/>
  <c r="C65" i="8"/>
  <c r="F61" i="8"/>
  <c r="C19" i="9"/>
  <c r="F31" i="9"/>
  <c r="F39" i="9"/>
  <c r="E46" i="9"/>
  <c r="E15" i="10"/>
  <c r="E59" i="10"/>
  <c r="E61" i="10"/>
  <c r="E57" i="10"/>
  <c r="E31" i="11"/>
  <c r="E33" i="11"/>
  <c r="F30" i="14"/>
  <c r="C31" i="14"/>
  <c r="F36" i="14"/>
  <c r="C60" i="14"/>
  <c r="F59" i="14"/>
  <c r="C159" i="14"/>
  <c r="E158" i="14"/>
  <c r="E171" i="14"/>
  <c r="F171" i="14"/>
  <c r="F179" i="14"/>
  <c r="C181" i="14"/>
  <c r="F237" i="14"/>
  <c r="F294" i="14"/>
  <c r="E299" i="14"/>
  <c r="F299" i="14"/>
  <c r="F311" i="14"/>
  <c r="C44" i="15"/>
  <c r="D55" i="15"/>
  <c r="E54" i="15"/>
  <c r="D210" i="15"/>
  <c r="D229" i="15"/>
  <c r="E229" i="15"/>
  <c r="D19" i="9"/>
  <c r="E16" i="9"/>
  <c r="F16" i="9"/>
  <c r="C25" i="10"/>
  <c r="C27" i="10"/>
  <c r="C15" i="10"/>
  <c r="C59" i="10"/>
  <c r="C61" i="10"/>
  <c r="C57" i="10"/>
  <c r="C48" i="10"/>
  <c r="C42" i="10"/>
  <c r="C31" i="11"/>
  <c r="F31" i="11"/>
  <c r="E24" i="14"/>
  <c r="F24" i="14"/>
  <c r="E53" i="14"/>
  <c r="F53" i="14"/>
  <c r="F85" i="14"/>
  <c r="E110" i="14"/>
  <c r="F110" i="14"/>
  <c r="F155" i="14"/>
  <c r="E155" i="14"/>
  <c r="C261" i="14"/>
  <c r="C254" i="14"/>
  <c r="F188" i="14"/>
  <c r="C206" i="14"/>
  <c r="C277" i="14"/>
  <c r="C243" i="15"/>
  <c r="E243" i="15"/>
  <c r="C217" i="15"/>
  <c r="C252" i="15"/>
  <c r="E231" i="15"/>
  <c r="E192" i="14"/>
  <c r="F192" i="14"/>
  <c r="E261" i="14"/>
  <c r="E227" i="14"/>
  <c r="F227" i="14"/>
  <c r="E136" i="14"/>
  <c r="F136" i="14"/>
  <c r="E73" i="15"/>
  <c r="E75" i="15"/>
  <c r="D175" i="15"/>
  <c r="E175" i="15"/>
  <c r="E177" i="15"/>
  <c r="E179" i="15"/>
  <c r="D261" i="15"/>
  <c r="E188" i="15"/>
  <c r="E219" i="15"/>
  <c r="E220" i="15"/>
  <c r="D244" i="15"/>
  <c r="E244" i="15"/>
  <c r="D245" i="15"/>
  <c r="E221" i="15"/>
  <c r="E230" i="15"/>
  <c r="E314" i="15"/>
  <c r="C37" i="16"/>
  <c r="C38" i="16"/>
  <c r="C127" i="16"/>
  <c r="C129" i="16"/>
  <c r="C133" i="16"/>
  <c r="C22" i="16"/>
  <c r="E43" i="17"/>
  <c r="D33" i="19"/>
  <c r="D23" i="19"/>
  <c r="D101" i="19"/>
  <c r="D103" i="19"/>
  <c r="E261" i="15"/>
  <c r="D263" i="15"/>
  <c r="C254" i="15"/>
  <c r="E252" i="15"/>
  <c r="E206" i="14"/>
  <c r="F206" i="14"/>
  <c r="C24" i="10"/>
  <c r="C17" i="10"/>
  <c r="C28" i="10"/>
  <c r="C70" i="10"/>
  <c r="C72" i="10"/>
  <c r="C69" i="10"/>
  <c r="C95" i="15"/>
  <c r="C84" i="15"/>
  <c r="C97" i="15"/>
  <c r="E97" i="15"/>
  <c r="C100" i="15"/>
  <c r="C98" i="15"/>
  <c r="E98" i="15"/>
  <c r="C258" i="15"/>
  <c r="C85" i="15"/>
  <c r="E85" i="15"/>
  <c r="C99" i="15"/>
  <c r="E99" i="15"/>
  <c r="C88" i="15"/>
  <c r="E88" i="15"/>
  <c r="C101" i="15"/>
  <c r="E101" i="15"/>
  <c r="C86" i="15"/>
  <c r="E86" i="15"/>
  <c r="C89" i="15"/>
  <c r="E89" i="15"/>
  <c r="C87" i="15"/>
  <c r="E87" i="15"/>
  <c r="C96" i="15"/>
  <c r="C102" i="15"/>
  <c r="C83" i="15"/>
  <c r="E44" i="15"/>
  <c r="F181" i="14"/>
  <c r="E181" i="14"/>
  <c r="G31" i="11"/>
  <c r="C75" i="8"/>
  <c r="F65" i="8"/>
  <c r="E65" i="8"/>
  <c r="C158" i="5"/>
  <c r="E112" i="5"/>
  <c r="E111" i="5"/>
  <c r="E28" i="5"/>
  <c r="E254" i="14"/>
  <c r="F254" i="14"/>
  <c r="D47" i="19"/>
  <c r="D112" i="19"/>
  <c r="D37" i="19"/>
  <c r="D55" i="19"/>
  <c r="D257" i="14"/>
  <c r="C126" i="15"/>
  <c r="E126" i="15"/>
  <c r="C111" i="15"/>
  <c r="E111" i="15"/>
  <c r="C113" i="15"/>
  <c r="E113" i="15"/>
  <c r="C123" i="15"/>
  <c r="E123" i="15"/>
  <c r="C121" i="15"/>
  <c r="C110" i="15"/>
  <c r="C127" i="15"/>
  <c r="E127" i="15"/>
  <c r="C114" i="15"/>
  <c r="E114" i="15"/>
  <c r="E77" i="15"/>
  <c r="C122" i="15"/>
  <c r="C115" i="15"/>
  <c r="E115" i="15"/>
  <c r="C124" i="15"/>
  <c r="E124" i="15"/>
  <c r="C109" i="15"/>
  <c r="C112" i="15"/>
  <c r="E112" i="15"/>
  <c r="C125" i="15"/>
  <c r="E125" i="15"/>
  <c r="E91" i="14"/>
  <c r="F91" i="14"/>
  <c r="C92" i="14"/>
  <c r="E100" i="15"/>
  <c r="D195" i="14"/>
  <c r="E195" i="14"/>
  <c r="F195" i="14"/>
  <c r="D196" i="14"/>
  <c r="E194" i="14"/>
  <c r="F194" i="14"/>
  <c r="D46" i="19"/>
  <c r="D111" i="19"/>
  <c r="D40" i="19"/>
  <c r="D54" i="19"/>
  <c r="D30" i="19"/>
  <c r="D36" i="19"/>
  <c r="E46" i="17"/>
  <c r="F46" i="17"/>
  <c r="F43" i="17"/>
  <c r="E245" i="15"/>
  <c r="D253" i="15"/>
  <c r="C241" i="15"/>
  <c r="E241" i="15"/>
  <c r="E217" i="15"/>
  <c r="C284" i="14"/>
  <c r="F277" i="14"/>
  <c r="C279" i="14"/>
  <c r="C287" i="14"/>
  <c r="E277" i="14"/>
  <c r="C271" i="14"/>
  <c r="F261" i="14"/>
  <c r="C268" i="14"/>
  <c r="C263" i="14"/>
  <c r="C21" i="10"/>
  <c r="C20" i="10"/>
  <c r="C22" i="10"/>
  <c r="E19" i="9"/>
  <c r="D33" i="9"/>
  <c r="D234" i="15"/>
  <c r="E234" i="15"/>
  <c r="D211" i="15"/>
  <c r="E210" i="15"/>
  <c r="D180" i="15"/>
  <c r="E180" i="15"/>
  <c r="E55" i="15"/>
  <c r="D284" i="15"/>
  <c r="E284" i="15"/>
  <c r="C160" i="14"/>
  <c r="E159" i="14"/>
  <c r="C161" i="14"/>
  <c r="F159" i="14"/>
  <c r="E60" i="14"/>
  <c r="C61" i="14"/>
  <c r="F60" i="14"/>
  <c r="E31" i="14"/>
  <c r="C32" i="14"/>
  <c r="F31" i="14"/>
  <c r="G33" i="11"/>
  <c r="G36" i="11"/>
  <c r="G38" i="11"/>
  <c r="G40" i="11"/>
  <c r="E36" i="11"/>
  <c r="E38" i="11"/>
  <c r="E40" i="11"/>
  <c r="E24" i="10"/>
  <c r="E20" i="10"/>
  <c r="E17" i="10"/>
  <c r="E28" i="10"/>
  <c r="C33" i="9"/>
  <c r="F19" i="9"/>
  <c r="D43" i="1"/>
  <c r="E43" i="1"/>
  <c r="F43" i="1"/>
  <c r="D131" i="15"/>
  <c r="E121" i="7"/>
  <c r="F121" i="7"/>
  <c r="C127" i="14"/>
  <c r="E126" i="14"/>
  <c r="F126" i="14"/>
  <c r="D102" i="15"/>
  <c r="E96" i="15"/>
  <c r="E304" i="14"/>
  <c r="F304" i="14"/>
  <c r="F216" i="14"/>
  <c r="E41" i="17"/>
  <c r="F41" i="17"/>
  <c r="F39" i="17"/>
  <c r="E43" i="8"/>
  <c r="F43" i="8"/>
  <c r="D103" i="15"/>
  <c r="E102" i="15"/>
  <c r="E127" i="14"/>
  <c r="F127" i="14"/>
  <c r="E70" i="10"/>
  <c r="E72" i="10"/>
  <c r="E69" i="10"/>
  <c r="E22" i="10"/>
  <c r="C174" i="14"/>
  <c r="C104" i="14"/>
  <c r="E61" i="14"/>
  <c r="F61" i="14"/>
  <c r="C209" i="14"/>
  <c r="C139" i="14"/>
  <c r="D235" i="15"/>
  <c r="E235" i="15"/>
  <c r="E211" i="15"/>
  <c r="D181" i="15"/>
  <c r="E181" i="15"/>
  <c r="E33" i="9"/>
  <c r="D41" i="9"/>
  <c r="E268" i="14"/>
  <c r="F268" i="14"/>
  <c r="E271" i="14"/>
  <c r="C273" i="14"/>
  <c r="F271" i="14"/>
  <c r="C289" i="14"/>
  <c r="C291" i="14"/>
  <c r="E287" i="14"/>
  <c r="F287" i="14"/>
  <c r="E253" i="15"/>
  <c r="D254" i="15"/>
  <c r="E254" i="15"/>
  <c r="E109" i="15"/>
  <c r="E121" i="15"/>
  <c r="E22" i="5"/>
  <c r="E99" i="5"/>
  <c r="E101" i="5"/>
  <c r="E98" i="5"/>
  <c r="E83" i="15"/>
  <c r="C103" i="15"/>
  <c r="E95" i="15"/>
  <c r="C41" i="9"/>
  <c r="F33" i="9"/>
  <c r="C62" i="14"/>
  <c r="E32" i="14"/>
  <c r="C140" i="14"/>
  <c r="C105" i="14"/>
  <c r="C175" i="14"/>
  <c r="F32" i="14"/>
  <c r="C210" i="14"/>
  <c r="E161" i="14"/>
  <c r="F161" i="14"/>
  <c r="C162" i="14"/>
  <c r="E160" i="14"/>
  <c r="F160" i="14"/>
  <c r="E263" i="14"/>
  <c r="F263" i="14"/>
  <c r="E279" i="14"/>
  <c r="F279" i="14"/>
  <c r="E284" i="14"/>
  <c r="F284" i="14"/>
  <c r="D113" i="19"/>
  <c r="D48" i="19"/>
  <c r="D38" i="19"/>
  <c r="D56" i="19"/>
  <c r="E196" i="14"/>
  <c r="F196" i="14"/>
  <c r="D197" i="14"/>
  <c r="E92" i="14"/>
  <c r="F92" i="14"/>
  <c r="C128" i="15"/>
  <c r="E128" i="15"/>
  <c r="E122" i="15"/>
  <c r="C116" i="15"/>
  <c r="E116" i="15"/>
  <c r="E110" i="15"/>
  <c r="F75" i="8"/>
  <c r="E75" i="8"/>
  <c r="C264" i="15"/>
  <c r="C266" i="15"/>
  <c r="E258" i="15"/>
  <c r="C267" i="15"/>
  <c r="E84" i="15"/>
  <c r="C90" i="15"/>
  <c r="E90" i="15"/>
  <c r="E263" i="15"/>
  <c r="D264" i="15"/>
  <c r="E264" i="15"/>
  <c r="D266" i="15"/>
  <c r="C269" i="15"/>
  <c r="C268" i="15"/>
  <c r="E162" i="14"/>
  <c r="F162" i="14"/>
  <c r="E105" i="14"/>
  <c r="C106" i="14"/>
  <c r="F105" i="14"/>
  <c r="C91" i="15"/>
  <c r="C129" i="15"/>
  <c r="E129" i="15"/>
  <c r="C117" i="15"/>
  <c r="E291" i="14"/>
  <c r="C305" i="14"/>
  <c r="F291" i="14"/>
  <c r="F289" i="14"/>
  <c r="E289" i="14"/>
  <c r="E273" i="14"/>
  <c r="F273" i="14"/>
  <c r="E41" i="9"/>
  <c r="D48" i="9"/>
  <c r="E209" i="14"/>
  <c r="F209" i="14"/>
  <c r="E174" i="14"/>
  <c r="F174" i="14"/>
  <c r="E210" i="14"/>
  <c r="F210" i="14"/>
  <c r="E175" i="14"/>
  <c r="C176" i="14"/>
  <c r="F175" i="14"/>
  <c r="E140" i="14"/>
  <c r="C141" i="14"/>
  <c r="F140" i="14"/>
  <c r="C63" i="14"/>
  <c r="E62" i="14"/>
  <c r="F62" i="14"/>
  <c r="C48" i="9"/>
  <c r="F41" i="9"/>
  <c r="F139" i="14"/>
  <c r="E139" i="14"/>
  <c r="E104" i="14"/>
  <c r="F104" i="14"/>
  <c r="C197" i="14"/>
  <c r="D105" i="15"/>
  <c r="E103" i="15"/>
  <c r="C70" i="14"/>
  <c r="E63" i="14"/>
  <c r="F63" i="14"/>
  <c r="F176" i="14"/>
  <c r="E176" i="14"/>
  <c r="E48" i="9"/>
  <c r="F48" i="9"/>
  <c r="C183" i="14"/>
  <c r="C271" i="15"/>
  <c r="D267" i="15"/>
  <c r="E266" i="15"/>
  <c r="C322" i="14"/>
  <c r="E141" i="14"/>
  <c r="C211" i="14"/>
  <c r="F141" i="14"/>
  <c r="C148" i="14"/>
  <c r="C309" i="14"/>
  <c r="E305" i="14"/>
  <c r="F305" i="14"/>
  <c r="C131" i="15"/>
  <c r="E131" i="15"/>
  <c r="E117" i="15"/>
  <c r="E91" i="15"/>
  <c r="C105" i="15"/>
  <c r="E105" i="15"/>
  <c r="E106" i="14"/>
  <c r="F106" i="14"/>
  <c r="C324" i="14"/>
  <c r="C113" i="14"/>
  <c r="C323" i="14"/>
  <c r="E197" i="14"/>
  <c r="F197" i="14"/>
  <c r="E323" i="14"/>
  <c r="F323" i="14"/>
  <c r="C325" i="14"/>
  <c r="E324" i="14"/>
  <c r="F324" i="14"/>
  <c r="E309" i="14"/>
  <c r="F309" i="14"/>
  <c r="C310" i="14"/>
  <c r="F148" i="14"/>
  <c r="E148" i="14"/>
  <c r="E211" i="14"/>
  <c r="F211" i="14"/>
  <c r="E322" i="14"/>
  <c r="F322" i="14"/>
  <c r="F113" i="14"/>
  <c r="E113" i="14"/>
  <c r="D269" i="15"/>
  <c r="E269" i="15"/>
  <c r="D268" i="15"/>
  <c r="E267" i="15"/>
  <c r="F183" i="14"/>
  <c r="E183" i="14"/>
  <c r="E70" i="14"/>
  <c r="F70" i="14"/>
  <c r="D271" i="15"/>
  <c r="E271" i="15"/>
  <c r="E268" i="15"/>
  <c r="F310" i="14"/>
  <c r="C312" i="14"/>
  <c r="E310" i="14"/>
  <c r="E325" i="14"/>
  <c r="F325" i="14"/>
  <c r="F312" i="14"/>
  <c r="E312" i="14"/>
  <c r="C313" i="14"/>
  <c r="C315" i="14"/>
  <c r="C251" i="14"/>
  <c r="C314" i="14"/>
  <c r="E313" i="14"/>
  <c r="F313" i="14"/>
  <c r="C256" i="14"/>
  <c r="C257" i="14"/>
  <c r="F256" i="14"/>
  <c r="E256" i="14"/>
  <c r="F251" i="14"/>
  <c r="E251" i="14"/>
  <c r="C318" i="14"/>
  <c r="E314" i="14"/>
  <c r="F314" i="14"/>
  <c r="E315" i="14"/>
  <c r="F315" i="14"/>
  <c r="F318" i="14"/>
  <c r="E318" i="14"/>
  <c r="F257" i="14"/>
  <c r="E257" i="14"/>
</calcChain>
</file>

<file path=xl/sharedStrings.xml><?xml version="1.0" encoding="utf-8"?>
<sst xmlns="http://schemas.openxmlformats.org/spreadsheetml/2006/main" count="2300" uniqueCount="980">
  <si>
    <t>CT CHILDREN`S MEDICAL CENTER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</si>
  <si>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</si>
  <si>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</si>
  <si>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</si>
  <si>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</si>
  <si>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</si>
  <si>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</si>
  <si>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</si>
  <si>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</si>
  <si>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</si>
  <si>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</si>
  <si>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</si>
  <si>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</si>
  <si>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</si>
  <si>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</si>
  <si>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</si>
  <si>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</si>
  <si>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</si>
  <si>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</si>
  <si>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</si>
  <si>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</si>
  <si>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</si>
  <si>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</si>
  <si>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</si>
  <si>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</si>
  <si>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</si>
  <si>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</si>
  <si>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</si>
  <si>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</si>
  <si>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</si>
  <si>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</si>
  <si>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</si>
  <si>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</si>
  <si>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</si>
  <si>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</si>
  <si>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</si>
  <si>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</si>
  <si>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</si>
  <si>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</si>
  <si>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</si>
  <si>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</si>
  <si>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</si>
  <si>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</si>
  <si>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</si>
  <si>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</si>
  <si>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</si>
  <si>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</si>
  <si>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</si>
  <si>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</si>
  <si>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</si>
  <si>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</si>
  <si>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</si>
  <si>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</si>
  <si>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</si>
  <si>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</si>
  <si>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</si>
  <si>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</si>
  <si>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</si>
  <si>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</si>
  <si>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</si>
  <si>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</si>
  <si>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</si>
  <si>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</si>
  <si>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</si>
  <si>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</si>
  <si>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</si>
  <si>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</si>
  <si>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</si>
  <si>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</si>
  <si>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</si>
  <si>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</si>
  <si>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</si>
  <si>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</si>
  <si>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</si>
  <si>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</si>
  <si>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</si>
  <si>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</si>
  <si>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</si>
  <si>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</si>
  <si>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</si>
  <si>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</si>
  <si>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</si>
  <si>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</si>
  <si>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</si>
  <si>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</si>
  <si>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</si>
  <si>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</si>
  <si>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</si>
  <si>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</si>
  <si>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</si>
  <si>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</si>
  <si>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</si>
  <si>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</si>
  <si>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</si>
  <si>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</si>
  <si>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</si>
  <si>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</si>
  <si>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</si>
  <si>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</si>
  <si>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</si>
  <si>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</si>
  <si>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</si>
  <si>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</si>
  <si>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</si>
  <si>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</si>
  <si>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</si>
  <si>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</si>
  <si>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</si>
  <si>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</si>
  <si>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</si>
  <si>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</si>
  <si>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</si>
  <si>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</si>
  <si>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</si>
  <si>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</si>
  <si>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</si>
  <si>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</si>
  <si>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</si>
  <si>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</si>
  <si>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</si>
  <si>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</si>
  <si>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</si>
  <si>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</si>
  <si>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</si>
  <si>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</si>
  <si>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</si>
  <si>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</si>
  <si>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</si>
  <si>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</si>
  <si>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</si>
  <si>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</si>
  <si>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</si>
  <si>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</si>
  <si>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</si>
  <si>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</si>
  <si>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</si>
  <si>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</si>
  <si>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</si>
  <si>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</si>
  <si>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</si>
  <si>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</si>
  <si>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</si>
  <si>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</si>
  <si>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</si>
  <si>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</si>
  <si>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</si>
  <si>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</si>
  <si>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</si>
  <si>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</si>
  <si>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</si>
  <si>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</si>
  <si>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</si>
  <si>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</si>
  <si>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</si>
  <si>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</si>
  <si>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</si>
  <si>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</si>
  <si>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</si>
  <si>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</si>
  <si>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</si>
  <si>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</si>
  <si>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</si>
  <si>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</si>
  <si>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</si>
  <si>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</si>
  <si>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</si>
  <si>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</si>
  <si>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</si>
  <si>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</si>
  <si>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</si>
  <si>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</si>
  <si>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</si>
  <si>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</si>
  <si>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</si>
  <si>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</si>
  <si>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</si>
  <si>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</si>
  <si>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</si>
  <si>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</si>
  <si>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</si>
  <si>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</si>
  <si>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</si>
  <si>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</si>
  <si>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</si>
  <si>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</si>
  <si>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</si>
  <si>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</si>
  <si>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</si>
  <si>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</si>
  <si>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</si>
  <si>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</si>
  <si>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</si>
  <si>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</si>
  <si>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</si>
  <si>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</si>
  <si>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</si>
  <si>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</si>
  <si>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</si>
  <si>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</si>
  <si>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</si>
  <si>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</si>
  <si>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</si>
  <si>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</si>
  <si>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</si>
  <si>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</si>
  <si>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</si>
  <si>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</si>
  <si>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</si>
  <si>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</si>
  <si>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</si>
  <si>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</si>
  <si>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</si>
  <si>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</si>
  <si>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</si>
  <si>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</si>
  <si>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</si>
  <si>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</si>
  <si>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</si>
  <si>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</si>
  <si>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</si>
  <si>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</si>
  <si>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</si>
  <si>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</si>
  <si>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</si>
  <si>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</si>
  <si>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</si>
  <si>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</si>
  <si>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</si>
  <si>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</si>
  <si>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</si>
  <si>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</si>
  <si>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</si>
  <si>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</si>
  <si>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</si>
  <si>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</si>
  <si>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</si>
  <si>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</si>
  <si>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</si>
  <si>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</si>
  <si>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</si>
  <si>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</si>
  <si>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</si>
  <si>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</si>
  <si>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</si>
  <si>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</si>
  <si>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</si>
  <si>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</si>
  <si>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</si>
  <si>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</si>
  <si>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</si>
  <si>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</si>
  <si>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</si>
  <si>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</si>
  <si>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</si>
  <si>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</si>
  <si>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</si>
  <si>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</si>
  <si>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</si>
  <si>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</si>
  <si>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</si>
  <si>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</si>
  <si>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</si>
  <si>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</si>
  <si>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</si>
  <si>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</si>
  <si>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</si>
  <si>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</si>
  <si>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</si>
  <si>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</si>
  <si>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</si>
  <si>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</si>
  <si>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</si>
  <si>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</si>
  <si>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</si>
  <si>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</si>
  <si>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</si>
  <si>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</si>
  <si>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</si>
  <si>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</si>
  <si>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</si>
  <si>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</si>
  <si>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</si>
  <si>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</si>
  <si>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</si>
  <si>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</si>
  <si>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</si>
  <si>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</si>
  <si>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</si>
  <si>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</si>
  <si>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</si>
  <si>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</si>
  <si>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</si>
  <si>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</si>
  <si>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</si>
  <si>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</si>
  <si>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</si>
  <si>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</si>
  <si>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</si>
  <si>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</si>
  <si>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</si>
  <si>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</si>
  <si>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</si>
  <si>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</si>
  <si>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</si>
  <si>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</si>
  <si>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</si>
  <si>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</si>
  <si>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</si>
  <si>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</si>
  <si>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</si>
  <si>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</si>
  <si>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</si>
  <si>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</si>
  <si>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</si>
  <si>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</si>
  <si>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</si>
  <si>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</si>
  <si>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</si>
  <si>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</si>
  <si>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</si>
  <si>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</si>
  <si>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</si>
  <si>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</si>
  <si>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</si>
  <si>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</si>
  <si>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</si>
  <si>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</si>
  <si>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</si>
  <si>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</si>
  <si>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</si>
  <si>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</si>
  <si>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</si>
  <si>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</si>
  <si>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</si>
  <si>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</si>
  <si>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</si>
  <si>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</si>
  <si>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</si>
  <si>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</si>
  <si>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</si>
  <si>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</si>
  <si>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</si>
  <si>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</si>
  <si>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</si>
  <si>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</si>
  <si>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</si>
  <si>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</si>
  <si>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</si>
  <si>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</si>
  <si>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</si>
  <si>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</si>
  <si>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</si>
  <si>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</si>
  <si>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</si>
  <si>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</si>
  <si>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</si>
  <si>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</si>
  <si>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</si>
  <si>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</si>
  <si>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</si>
  <si>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</si>
  <si>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</si>
  <si>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</si>
  <si>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</si>
  <si>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</si>
  <si>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</si>
  <si>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</si>
  <si>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</si>
  <si>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</si>
  <si>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</si>
  <si>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</si>
  <si>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</si>
  <si>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</si>
  <si>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</si>
  <si>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</si>
  <si>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</si>
  <si>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</si>
  <si>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</si>
  <si>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</si>
  <si>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</si>
  <si>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</si>
  <si>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</si>
  <si>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</si>
  <si>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</si>
  <si>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</si>
  <si>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</si>
  <si>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</si>
  <si>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</si>
  <si>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</si>
  <si>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</si>
  <si>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</si>
  <si>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</si>
  <si>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</si>
  <si>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</si>
  <si>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</si>
  <si>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</si>
  <si>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</si>
  <si>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</si>
  <si>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</si>
  <si>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</si>
  <si>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</si>
  <si>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</si>
  <si>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</si>
  <si>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</si>
  <si>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</si>
  <si>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</si>
  <si>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</si>
  <si>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</si>
  <si>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</si>
  <si>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</si>
  <si>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</si>
  <si>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</si>
  <si>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</si>
  <si>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</si>
  <si>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</si>
  <si>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</si>
  <si>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</si>
  <si>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</si>
  <si>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</si>
  <si>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</si>
  <si>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</si>
  <si>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</si>
  <si>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</si>
  <si>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</si>
  <si>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</si>
  <si>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</si>
  <si>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</si>
  <si>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</si>
  <si>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</si>
  <si>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</si>
  <si>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</si>
  <si>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</si>
  <si>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</si>
  <si>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</si>
  <si>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</si>
  <si>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</si>
  <si>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</si>
  <si>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</si>
  <si>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</si>
  <si>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</si>
  <si>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</si>
  <si>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</si>
  <si>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</si>
  <si>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</si>
  <si>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</si>
  <si>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</si>
  <si>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</si>
  <si>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</si>
  <si>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</si>
  <si>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</si>
  <si>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</si>
  <si>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</si>
  <si>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</si>
  <si>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</si>
  <si>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</si>
  <si>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</si>
  <si>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</si>
  <si>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</si>
  <si>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</si>
  <si>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</si>
  <si>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</si>
  <si>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</si>
  <si>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</si>
  <si>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</si>
  <si>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</si>
  <si>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</si>
  <si>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</si>
  <si>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</si>
  <si>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</si>
  <si>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</si>
  <si>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</si>
  <si>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</si>
  <si>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</si>
  <si>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</si>
  <si>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</si>
  <si>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</si>
  <si>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</si>
  <si>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</si>
  <si>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</si>
  <si>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CCMC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</si>
  <si>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</si>
  <si>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</si>
  <si>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</si>
  <si>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</si>
  <si>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</si>
  <si>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</si>
  <si>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</si>
  <si>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</si>
  <si>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</si>
  <si>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</si>
  <si>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</si>
  <si>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</si>
  <si>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</si>
  <si>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</si>
  <si>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</si>
  <si>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</si>
  <si>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</si>
  <si>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</si>
  <si>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</si>
  <si>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</si>
  <si>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</si>
  <si>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</si>
  <si>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</si>
  <si>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</si>
  <si>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</si>
  <si>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</si>
  <si>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</si>
  <si>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</si>
  <si>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</si>
  <si>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</si>
  <si>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</si>
  <si>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</si>
  <si>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</si>
  <si>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</si>
  <si>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</si>
  <si>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</si>
  <si>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</si>
  <si>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</si>
  <si>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</si>
  <si>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</si>
  <si>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</si>
  <si>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</si>
  <si>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</si>
  <si>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</si>
  <si>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</si>
  <si>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</si>
  <si>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</si>
  <si>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</si>
  <si>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</si>
  <si>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</si>
  <si>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</si>
  <si>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</si>
  <si>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</si>
  <si>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</si>
  <si>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</si>
  <si>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</si>
  <si>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</si>
  <si>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</si>
  <si>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</si>
  <si>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</si>
  <si>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</si>
  <si>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</si>
  <si>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</si>
  <si>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</si>
  <si>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</si>
  <si>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</si>
  <si>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</si>
  <si>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</si>
  <si>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</si>
  <si>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</si>
  <si>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</si>
  <si>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</si>
  <si>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</si>
  <si>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</si>
  <si>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</si>
  <si>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</si>
  <si>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</si>
  <si>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</si>
  <si>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</si>
  <si>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</si>
  <si>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</si>
  <si>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</si>
  <si>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</si>
  <si>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</si>
  <si>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</si>
  <si>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</si>
  <si>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</si>
  <si>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</si>
  <si>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</si>
  <si>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</si>
  <si>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</si>
  <si>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</si>
  <si>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</si>
  <si>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</si>
  <si>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</si>
  <si>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</si>
  <si>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</si>
  <si>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</si>
  <si>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</si>
  <si>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</si>
  <si>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</si>
  <si>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</si>
  <si>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</si>
  <si>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OR Suite</t>
  </si>
  <si>
    <t xml:space="preserve">      Total Outpatient Surgical Procedures(A)     </t>
  </si>
  <si>
    <t>Hospital ENDO Suite</t>
  </si>
  <si>
    <t xml:space="preserve">      Total Outpatient Endoscopy Procedures(B)     </t>
  </si>
  <si>
    <t>Outpatient Hospital Emergency Room Visits</t>
  </si>
  <si>
    <t>Hospital Emergency Department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</si>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</sst>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B35" sqref="B35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2105761</v>
      </c>
      <c r="D13" s="23">
        <v>3100022</v>
      </c>
      <c r="E13" s="23">
        <f t="shared" ref="E13:E22" si="0">D13-C13</f>
        <v>994261</v>
      </c>
      <c r="F13" s="24">
        <f t="shared" ref="F13:F22" si="1">IF(C13=0,0,E13/C13)</f>
        <v>0.47216232041527978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6.75" customHeight="1" x14ac:dyDescent="0.2">
      <c r="A15" s="21">
        <v>3</v>
      </c>
      <c r="B15" s="22" t="s">
        <v>18</v>
      </c>
      <c r="C15" s="23">
        <v>20178554</v>
      </c>
      <c r="D15" s="23">
        <v>18519560</v>
      </c>
      <c r="E15" s="23">
        <f t="shared" si="0"/>
        <v>-1658994</v>
      </c>
      <c r="F15" s="24">
        <f t="shared" si="1"/>
        <v>-8.2215702869492036E-2</v>
      </c>
    </row>
    <row r="16" spans="1:8" ht="24" customHeight="1" x14ac:dyDescent="0.2">
      <c r="A16" s="21">
        <v>4</v>
      </c>
      <c r="B16" s="22" t="s">
        <v>19</v>
      </c>
      <c r="C16" s="23">
        <v>5185038</v>
      </c>
      <c r="D16" s="23">
        <v>10424098</v>
      </c>
      <c r="E16" s="23">
        <f t="shared" si="0"/>
        <v>5239060</v>
      </c>
      <c r="F16" s="24">
        <f t="shared" si="1"/>
        <v>1.0104188243171988</v>
      </c>
    </row>
    <row r="17" spans="1:11" ht="24" customHeight="1" x14ac:dyDescent="0.2">
      <c r="A17" s="21">
        <v>5</v>
      </c>
      <c r="B17" s="22" t="s">
        <v>20</v>
      </c>
      <c r="C17" s="23">
        <v>1634513</v>
      </c>
      <c r="D17" s="23">
        <v>3731723</v>
      </c>
      <c r="E17" s="23">
        <f t="shared" si="0"/>
        <v>2097210</v>
      </c>
      <c r="F17" s="24">
        <f t="shared" si="1"/>
        <v>1.2830794248806832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572964</v>
      </c>
      <c r="D19" s="23">
        <v>593080</v>
      </c>
      <c r="E19" s="23">
        <f t="shared" si="0"/>
        <v>20116</v>
      </c>
      <c r="F19" s="24">
        <f t="shared" si="1"/>
        <v>3.5108663022458651E-2</v>
      </c>
    </row>
    <row r="20" spans="1:11" ht="24" customHeight="1" x14ac:dyDescent="0.2">
      <c r="A20" s="21">
        <v>8</v>
      </c>
      <c r="B20" s="22" t="s">
        <v>23</v>
      </c>
      <c r="C20" s="23">
        <v>1049390</v>
      </c>
      <c r="D20" s="23">
        <v>778317</v>
      </c>
      <c r="E20" s="23">
        <f t="shared" si="0"/>
        <v>-271073</v>
      </c>
      <c r="F20" s="24">
        <f t="shared" si="1"/>
        <v>-0.25831483052058818</v>
      </c>
    </row>
    <row r="21" spans="1:11" ht="24" customHeight="1" x14ac:dyDescent="0.2">
      <c r="A21" s="21">
        <v>9</v>
      </c>
      <c r="B21" s="22" t="s">
        <v>24</v>
      </c>
      <c r="C21" s="23">
        <v>2774106</v>
      </c>
      <c r="D21" s="23">
        <v>2282871</v>
      </c>
      <c r="E21" s="23">
        <f t="shared" si="0"/>
        <v>-491235</v>
      </c>
      <c r="F21" s="24">
        <f t="shared" si="1"/>
        <v>-0.17707866966871488</v>
      </c>
    </row>
    <row r="22" spans="1:11" ht="24" customHeight="1" x14ac:dyDescent="0.25">
      <c r="A22" s="25"/>
      <c r="B22" s="26" t="s">
        <v>25</v>
      </c>
      <c r="C22" s="27">
        <f>SUM(C13:C21)</f>
        <v>33500326</v>
      </c>
      <c r="D22" s="27">
        <f>SUM(D13:D21)</f>
        <v>39429671</v>
      </c>
      <c r="E22" s="27">
        <f t="shared" si="0"/>
        <v>5929345</v>
      </c>
      <c r="F22" s="28">
        <f t="shared" si="1"/>
        <v>0.17699365074835391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54638548</v>
      </c>
      <c r="D25" s="23">
        <v>70154812</v>
      </c>
      <c r="E25" s="23">
        <f>D25-C25</f>
        <v>15516264</v>
      </c>
      <c r="F25" s="24">
        <f>IF(C25=0,0,E25/C25)</f>
        <v>0.28398016726213149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54638548</v>
      </c>
      <c r="D29" s="27">
        <f>SUM(D25:D28)</f>
        <v>70154812</v>
      </c>
      <c r="E29" s="27">
        <f>D29-C29</f>
        <v>15516264</v>
      </c>
      <c r="F29" s="28">
        <f>IF(C29=0,0,E29/C29)</f>
        <v>0.28398016726213149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64936027</v>
      </c>
      <c r="D31" s="23">
        <v>75558434</v>
      </c>
      <c r="E31" s="23">
        <f>D31-C31</f>
        <v>10622407</v>
      </c>
      <c r="F31" s="24">
        <f>IF(C31=0,0,E31/C31)</f>
        <v>0.16358264419226018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10890251</v>
      </c>
      <c r="D33" s="23">
        <v>20706949</v>
      </c>
      <c r="E33" s="23">
        <f>D33-C33</f>
        <v>9816698</v>
      </c>
      <c r="F33" s="24">
        <f>IF(C33=0,0,E33/C33)</f>
        <v>0.90142072942120433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158786993</v>
      </c>
      <c r="D36" s="23">
        <v>163914593</v>
      </c>
      <c r="E36" s="23">
        <f>D36-C36</f>
        <v>5127600</v>
      </c>
      <c r="F36" s="24">
        <f>IF(C36=0,0,E36/C36)</f>
        <v>3.2292317545178278E-2</v>
      </c>
    </row>
    <row r="37" spans="1:8" ht="24" customHeight="1" x14ac:dyDescent="0.2">
      <c r="A37" s="21">
        <v>2</v>
      </c>
      <c r="B37" s="22" t="s">
        <v>39</v>
      </c>
      <c r="C37" s="23">
        <v>66634489</v>
      </c>
      <c r="D37" s="23">
        <v>75036631</v>
      </c>
      <c r="E37" s="23">
        <f>D37-C37</f>
        <v>8402142</v>
      </c>
      <c r="F37" s="24">
        <f>IF(C37=0,0,E37/C37)</f>
        <v>0.12609299067334334</v>
      </c>
    </row>
    <row r="38" spans="1:8" ht="24" customHeight="1" x14ac:dyDescent="0.25">
      <c r="A38" s="25"/>
      <c r="B38" s="26" t="s">
        <v>40</v>
      </c>
      <c r="C38" s="27">
        <f>C36-C37</f>
        <v>92152504</v>
      </c>
      <c r="D38" s="27">
        <f>D36-D37</f>
        <v>88877962</v>
      </c>
      <c r="E38" s="27">
        <f>D38-C38</f>
        <v>-3274542</v>
      </c>
      <c r="F38" s="28">
        <f>IF(C38=0,0,E38/C38)</f>
        <v>-3.5533944905067366E-2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1810345</v>
      </c>
      <c r="D40" s="23">
        <v>2238237</v>
      </c>
      <c r="E40" s="23">
        <f>D40-C40</f>
        <v>427892</v>
      </c>
      <c r="F40" s="24">
        <f>IF(C40=0,0,E40/C40)</f>
        <v>0.23635936796577448</v>
      </c>
    </row>
    <row r="41" spans="1:8" ht="24" customHeight="1" x14ac:dyDescent="0.25">
      <c r="A41" s="25"/>
      <c r="B41" s="26" t="s">
        <v>42</v>
      </c>
      <c r="C41" s="27">
        <f>+C38+C40</f>
        <v>93962849</v>
      </c>
      <c r="D41" s="27">
        <f>+D38+D40</f>
        <v>91116199</v>
      </c>
      <c r="E41" s="27">
        <f>D41-C41</f>
        <v>-2846650</v>
      </c>
      <c r="F41" s="28">
        <f>IF(C41=0,0,E41/C41)</f>
        <v>-3.0295484122666395E-2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257928001</v>
      </c>
      <c r="D43" s="27">
        <f>D22+D29+D31+D32+D33+D41</f>
        <v>296966065</v>
      </c>
      <c r="E43" s="27">
        <f>D43-C43</f>
        <v>39038064</v>
      </c>
      <c r="F43" s="28">
        <f>IF(C43=0,0,E43/C43)</f>
        <v>0.15135256291929314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19772680</v>
      </c>
      <c r="D49" s="23">
        <v>23010263</v>
      </c>
      <c r="E49" s="23">
        <f t="shared" ref="E49:E56" si="2">D49-C49</f>
        <v>3237583</v>
      </c>
      <c r="F49" s="24">
        <f t="shared" ref="F49:F56" si="3">IF(C49=0,0,E49/C49)</f>
        <v>0.16374022135593153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9550755</v>
      </c>
      <c r="D50" s="23">
        <v>8491932</v>
      </c>
      <c r="E50" s="23">
        <f t="shared" si="2"/>
        <v>-1058823</v>
      </c>
      <c r="F50" s="24">
        <f t="shared" si="3"/>
        <v>-0.1108627537822926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413822</v>
      </c>
      <c r="D51" s="23">
        <v>1654459</v>
      </c>
      <c r="E51" s="23">
        <f t="shared" si="2"/>
        <v>1240637</v>
      </c>
      <c r="F51" s="24">
        <f t="shared" si="3"/>
        <v>2.997996723228828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286435</v>
      </c>
      <c r="D52" s="23">
        <v>642915</v>
      </c>
      <c r="E52" s="23">
        <f t="shared" si="2"/>
        <v>356480</v>
      </c>
      <c r="F52" s="24">
        <f t="shared" si="3"/>
        <v>1.2445406462199102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2260000</v>
      </c>
      <c r="D53" s="23">
        <v>2375000</v>
      </c>
      <c r="E53" s="23">
        <f t="shared" si="2"/>
        <v>115000</v>
      </c>
      <c r="F53" s="24">
        <f t="shared" si="3"/>
        <v>5.0884955752212392E-2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3212480</v>
      </c>
      <c r="D54" s="23">
        <v>4222279</v>
      </c>
      <c r="E54" s="23">
        <f t="shared" si="2"/>
        <v>1009799</v>
      </c>
      <c r="F54" s="24">
        <f t="shared" si="3"/>
        <v>0.31433627602350833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672037</v>
      </c>
      <c r="D55" s="23">
        <v>613519</v>
      </c>
      <c r="E55" s="23">
        <f t="shared" si="2"/>
        <v>-58518</v>
      </c>
      <c r="F55" s="24">
        <f t="shared" si="3"/>
        <v>-8.7075562803833717E-2</v>
      </c>
    </row>
    <row r="56" spans="1:6" ht="24" customHeight="1" x14ac:dyDescent="0.25">
      <c r="A56" s="25"/>
      <c r="B56" s="26" t="s">
        <v>54</v>
      </c>
      <c r="C56" s="27">
        <f>SUM(C49:C55)</f>
        <v>36168209</v>
      </c>
      <c r="D56" s="27">
        <f>SUM(D49:D55)</f>
        <v>41010367</v>
      </c>
      <c r="E56" s="27">
        <f t="shared" si="2"/>
        <v>4842158</v>
      </c>
      <c r="F56" s="28">
        <f t="shared" si="3"/>
        <v>0.13387884371050832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32943820</v>
      </c>
      <c r="D59" s="23">
        <v>30531457</v>
      </c>
      <c r="E59" s="23">
        <f>D59-C59</f>
        <v>-2412363</v>
      </c>
      <c r="F59" s="24">
        <f>IF(C59=0,0,E59/C59)</f>
        <v>-7.3226571781900215E-2</v>
      </c>
    </row>
    <row r="60" spans="1:6" ht="24" customHeight="1" x14ac:dyDescent="0.2">
      <c r="A60" s="21">
        <v>2</v>
      </c>
      <c r="B60" s="22" t="s">
        <v>57</v>
      </c>
      <c r="C60" s="23">
        <v>5350871</v>
      </c>
      <c r="D60" s="23">
        <v>9031106</v>
      </c>
      <c r="E60" s="23">
        <f>D60-C60</f>
        <v>3680235</v>
      </c>
      <c r="F60" s="24">
        <f>IF(C60=0,0,E60/C60)</f>
        <v>0.68778241897440617</v>
      </c>
    </row>
    <row r="61" spans="1:6" ht="24" customHeight="1" x14ac:dyDescent="0.25">
      <c r="A61" s="25"/>
      <c r="B61" s="26" t="s">
        <v>58</v>
      </c>
      <c r="C61" s="27">
        <f>SUM(C59:C60)</f>
        <v>38294691</v>
      </c>
      <c r="D61" s="27">
        <f>SUM(D59:D60)</f>
        <v>39562563</v>
      </c>
      <c r="E61" s="27">
        <f>D61-C61</f>
        <v>1267872</v>
      </c>
      <c r="F61" s="28">
        <f>IF(C61=0,0,E61/C61)</f>
        <v>3.3108296917711125E-2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14507634</v>
      </c>
      <c r="D63" s="23">
        <v>15664920</v>
      </c>
      <c r="E63" s="23">
        <f>D63-C63</f>
        <v>1157286</v>
      </c>
      <c r="F63" s="24">
        <f>IF(C63=0,0,E63/C63)</f>
        <v>7.9770829619771222E-2</v>
      </c>
    </row>
    <row r="64" spans="1:6" ht="24" customHeight="1" x14ac:dyDescent="0.2">
      <c r="A64" s="21">
        <v>4</v>
      </c>
      <c r="B64" s="22" t="s">
        <v>60</v>
      </c>
      <c r="C64" s="23">
        <v>16980215</v>
      </c>
      <c r="D64" s="23">
        <v>16506227</v>
      </c>
      <c r="E64" s="23">
        <f>D64-C64</f>
        <v>-473988</v>
      </c>
      <c r="F64" s="24">
        <f>IF(C64=0,0,E64/C64)</f>
        <v>-2.7914134184991179E-2</v>
      </c>
    </row>
    <row r="65" spans="1:6" ht="24" customHeight="1" x14ac:dyDescent="0.25">
      <c r="A65" s="25"/>
      <c r="B65" s="26" t="s">
        <v>61</v>
      </c>
      <c r="C65" s="27">
        <f>SUM(C61:C64)</f>
        <v>69782540</v>
      </c>
      <c r="D65" s="27">
        <f>SUM(D61:D64)</f>
        <v>71733710</v>
      </c>
      <c r="E65" s="27">
        <f>D65-C65</f>
        <v>1951170</v>
      </c>
      <c r="F65" s="28">
        <f>IF(C65=0,0,E65/C65)</f>
        <v>2.7960719113978939E-2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69608421</v>
      </c>
      <c r="D70" s="23">
        <v>80916370</v>
      </c>
      <c r="E70" s="23">
        <f>D70-C70</f>
        <v>11307949</v>
      </c>
      <c r="F70" s="24">
        <f>IF(C70=0,0,E70/C70)</f>
        <v>0.16245087645358311</v>
      </c>
    </row>
    <row r="71" spans="1:6" ht="24" customHeight="1" x14ac:dyDescent="0.2">
      <c r="A71" s="21">
        <v>2</v>
      </c>
      <c r="B71" s="22" t="s">
        <v>65</v>
      </c>
      <c r="C71" s="23">
        <v>13020038</v>
      </c>
      <c r="D71" s="23">
        <v>17283499</v>
      </c>
      <c r="E71" s="23">
        <f>D71-C71</f>
        <v>4263461</v>
      </c>
      <c r="F71" s="24">
        <f>IF(C71=0,0,E71/C71)</f>
        <v>0.32745380620240894</v>
      </c>
    </row>
    <row r="72" spans="1:6" ht="24" customHeight="1" x14ac:dyDescent="0.2">
      <c r="A72" s="21">
        <v>3</v>
      </c>
      <c r="B72" s="22" t="s">
        <v>66</v>
      </c>
      <c r="C72" s="23">
        <v>69348793</v>
      </c>
      <c r="D72" s="23">
        <v>86022119</v>
      </c>
      <c r="E72" s="23">
        <f>D72-C72</f>
        <v>16673326</v>
      </c>
      <c r="F72" s="24">
        <f>IF(C72=0,0,E72/C72)</f>
        <v>0.24042705400799116</v>
      </c>
    </row>
    <row r="73" spans="1:6" ht="24" customHeight="1" x14ac:dyDescent="0.25">
      <c r="A73" s="21"/>
      <c r="B73" s="26" t="s">
        <v>67</v>
      </c>
      <c r="C73" s="27">
        <f>SUM(C70:C72)</f>
        <v>151977252</v>
      </c>
      <c r="D73" s="27">
        <f>SUM(D70:D72)</f>
        <v>184221988</v>
      </c>
      <c r="E73" s="27">
        <f>D73-C73</f>
        <v>32244736</v>
      </c>
      <c r="F73" s="28">
        <f>IF(C73=0,0,E73/C73)</f>
        <v>0.2121681736948369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257928001</v>
      </c>
      <c r="D75" s="27">
        <f>D56+D65+D67+D73</f>
        <v>296966065</v>
      </c>
      <c r="E75" s="27">
        <f>D75-C75</f>
        <v>39038064</v>
      </c>
      <c r="F75" s="28">
        <f>IF(C75=0,0,E75/C75)</f>
        <v>0.15135256291929314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scale="74" fitToHeight="2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activeCell="B35" sqref="B35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202956213</v>
      </c>
      <c r="D11" s="51">
        <v>211707121</v>
      </c>
      <c r="E11" s="51">
        <v>223198671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29511730</v>
      </c>
      <c r="D12" s="49">
        <v>30104432</v>
      </c>
      <c r="E12" s="49">
        <v>30956383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232467943</v>
      </c>
      <c r="D13" s="51">
        <f>+D11+D12</f>
        <v>241811553</v>
      </c>
      <c r="E13" s="51">
        <f>+E11+E12</f>
        <v>254155054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238730027</v>
      </c>
      <c r="D14" s="49">
        <v>244661772</v>
      </c>
      <c r="E14" s="49">
        <v>268833537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-6262084</v>
      </c>
      <c r="D15" s="51">
        <f>+D13-D14</f>
        <v>-2850219</v>
      </c>
      <c r="E15" s="51">
        <f>+E13-E14</f>
        <v>-14678483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9257538</v>
      </c>
      <c r="D16" s="49">
        <v>4834487</v>
      </c>
      <c r="E16" s="49">
        <v>21356356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2995454</v>
      </c>
      <c r="D17" s="51">
        <f>D15+D16</f>
        <v>1984268</v>
      </c>
      <c r="E17" s="51">
        <f>E15+E16</f>
        <v>6677873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-2.5905767046544837E-2</v>
      </c>
      <c r="D20" s="169">
        <f>IF(+D27=0,0,+D24/+D27)</f>
        <v>-1.1555908215676198E-2</v>
      </c>
      <c r="E20" s="169">
        <f>IF(+E27=0,0,+E24/+E27)</f>
        <v>-5.327722361843381E-2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3.8297733286959519E-2</v>
      </c>
      <c r="D21" s="169">
        <f>IF(+D27=0,0,+D26/+D27)</f>
        <v>1.9600910681558073E-2</v>
      </c>
      <c r="E21" s="169">
        <f>IF(+E27=0,0,+E26/+E27)</f>
        <v>7.7515323231077793E-2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1.2391966240414679E-2</v>
      </c>
      <c r="D22" s="169">
        <f>IF(+D27=0,0,+D28/+D27)</f>
        <v>8.0450024658818772E-3</v>
      </c>
      <c r="E22" s="169">
        <f>IF(+E27=0,0,+E28/+E27)</f>
        <v>2.423809961264399E-2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-6262084</v>
      </c>
      <c r="D24" s="51">
        <f>+D15</f>
        <v>-2850219</v>
      </c>
      <c r="E24" s="51">
        <f>+E15</f>
        <v>-14678483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232467943</v>
      </c>
      <c r="D25" s="51">
        <f>+D13</f>
        <v>241811553</v>
      </c>
      <c r="E25" s="51">
        <f>+E13</f>
        <v>254155054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9257538</v>
      </c>
      <c r="D26" s="51">
        <f>+D16</f>
        <v>4834487</v>
      </c>
      <c r="E26" s="51">
        <f>+E16</f>
        <v>21356356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241725481</v>
      </c>
      <c r="D27" s="51">
        <f>SUM(D25:D26)</f>
        <v>246646040</v>
      </c>
      <c r="E27" s="51">
        <f>SUM(E25:E26)</f>
        <v>275511410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2995454</v>
      </c>
      <c r="D28" s="51">
        <f>+D17</f>
        <v>1984268</v>
      </c>
      <c r="E28" s="51">
        <f>+E17</f>
        <v>6677873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103126462</v>
      </c>
      <c r="D31" s="51">
        <v>98946091</v>
      </c>
      <c r="E31" s="52">
        <v>109366904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188164099</v>
      </c>
      <c r="D32" s="51">
        <v>184607269</v>
      </c>
      <c r="E32" s="51">
        <v>214409058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-25798244</v>
      </c>
      <c r="D33" s="51">
        <f>+D32-C32</f>
        <v>-3556830</v>
      </c>
      <c r="E33" s="51">
        <f>+E32-D32</f>
        <v>29801789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0.87939999999999996</v>
      </c>
      <c r="D34" s="171">
        <f>IF(C32=0,0,+D33/C32)</f>
        <v>-1.8902808872164292E-2</v>
      </c>
      <c r="E34" s="171">
        <f>IF(D32=0,0,+E33/D32)</f>
        <v>0.161433453630691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0.9738578004181313</v>
      </c>
      <c r="D38" s="269">
        <f>IF(+D40=0,0,+D39/+D40)</f>
        <v>1.1912868402925816</v>
      </c>
      <c r="E38" s="269">
        <f>IF(+E40=0,0,+E39/+E40)</f>
        <v>1.1900898045681823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49100096</v>
      </c>
      <c r="D39" s="270">
        <v>49926131</v>
      </c>
      <c r="E39" s="270">
        <v>58042021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50418137</v>
      </c>
      <c r="D40" s="270">
        <v>41909412</v>
      </c>
      <c r="E40" s="270">
        <v>48771127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18.689816215180333</v>
      </c>
      <c r="D42" s="271">
        <f>IF((D48/365)=0,0,+D45/(D48/365))</f>
        <v>15.743144419189701</v>
      </c>
      <c r="E42" s="271">
        <f>IF((E48/365)=0,0,+E45/(E48/365))</f>
        <v>23.536868508440079</v>
      </c>
    </row>
    <row r="43" spans="1:14" ht="24" customHeight="1" x14ac:dyDescent="0.2">
      <c r="A43" s="17">
        <v>5</v>
      </c>
      <c r="B43" s="188" t="s">
        <v>16</v>
      </c>
      <c r="C43" s="272">
        <v>10205859</v>
      </c>
      <c r="D43" s="272">
        <v>4836967</v>
      </c>
      <c r="E43" s="272">
        <v>5638104</v>
      </c>
    </row>
    <row r="44" spans="1:14" ht="24" customHeight="1" x14ac:dyDescent="0.2">
      <c r="A44" s="17">
        <v>6</v>
      </c>
      <c r="B44" s="273" t="s">
        <v>17</v>
      </c>
      <c r="C44" s="274">
        <v>1572105</v>
      </c>
      <c r="D44" s="274">
        <v>5286908</v>
      </c>
      <c r="E44" s="274">
        <v>11027121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11777964</v>
      </c>
      <c r="D45" s="270">
        <f>+D43+D44</f>
        <v>10123875</v>
      </c>
      <c r="E45" s="270">
        <f>+E43+E44</f>
        <v>16665225</v>
      </c>
    </row>
    <row r="46" spans="1:14" ht="24" customHeight="1" x14ac:dyDescent="0.2">
      <c r="A46" s="17">
        <v>8</v>
      </c>
      <c r="B46" s="45" t="s">
        <v>324</v>
      </c>
      <c r="C46" s="270">
        <f>+C14</f>
        <v>238730027</v>
      </c>
      <c r="D46" s="270">
        <f>+D14</f>
        <v>244661772</v>
      </c>
      <c r="E46" s="270">
        <f>+E14</f>
        <v>268833537</v>
      </c>
    </row>
    <row r="47" spans="1:14" ht="24" customHeight="1" x14ac:dyDescent="0.2">
      <c r="A47" s="17">
        <v>9</v>
      </c>
      <c r="B47" s="45" t="s">
        <v>347</v>
      </c>
      <c r="C47" s="270">
        <v>8714022</v>
      </c>
      <c r="D47" s="270">
        <v>9942819</v>
      </c>
      <c r="E47" s="270">
        <v>10396136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230016005</v>
      </c>
      <c r="D48" s="270">
        <f>+D46-D47</f>
        <v>234718953</v>
      </c>
      <c r="E48" s="270">
        <f>+E46-E47</f>
        <v>258437401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42.454467998966855</v>
      </c>
      <c r="D50" s="278">
        <f>IF((D55/365)=0,0,+D54/(D55/365))</f>
        <v>44.275326218242796</v>
      </c>
      <c r="E50" s="278">
        <f>IF((E55/365)=0,0,+E54/(E55/365))</f>
        <v>36.395619353844623</v>
      </c>
    </row>
    <row r="51" spans="1:5" ht="24" customHeight="1" x14ac:dyDescent="0.2">
      <c r="A51" s="17">
        <v>12</v>
      </c>
      <c r="B51" s="188" t="s">
        <v>350</v>
      </c>
      <c r="C51" s="279">
        <v>26041623</v>
      </c>
      <c r="D51" s="279">
        <v>26094375</v>
      </c>
      <c r="E51" s="279">
        <v>23910497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2435053</v>
      </c>
      <c r="D53" s="270">
        <v>413822</v>
      </c>
      <c r="E53" s="270">
        <v>1654459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23606570</v>
      </c>
      <c r="D54" s="280">
        <f>+D51+D52-D53</f>
        <v>25680553</v>
      </c>
      <c r="E54" s="280">
        <f>+E51+E52-E53</f>
        <v>22256038</v>
      </c>
    </row>
    <row r="55" spans="1:5" ht="24" customHeight="1" x14ac:dyDescent="0.2">
      <c r="A55" s="17">
        <v>16</v>
      </c>
      <c r="B55" s="45" t="s">
        <v>75</v>
      </c>
      <c r="C55" s="270">
        <f>+C11</f>
        <v>202956213</v>
      </c>
      <c r="D55" s="270">
        <f>+D11</f>
        <v>211707121</v>
      </c>
      <c r="E55" s="270">
        <f>+E11</f>
        <v>223198671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80.00582396429327</v>
      </c>
      <c r="D57" s="283">
        <f>IF((D61/365)=0,0,+D58/(D61/365))</f>
        <v>65.171283292150676</v>
      </c>
      <c r="E57" s="283">
        <f>IF((E61/365)=0,0,+E58/(E61/365))</f>
        <v>68.881134410572415</v>
      </c>
    </row>
    <row r="58" spans="1:5" ht="24" customHeight="1" x14ac:dyDescent="0.2">
      <c r="A58" s="17">
        <v>18</v>
      </c>
      <c r="B58" s="45" t="s">
        <v>54</v>
      </c>
      <c r="C58" s="281">
        <f>+C40</f>
        <v>50418137</v>
      </c>
      <c r="D58" s="281">
        <f>+D40</f>
        <v>41909412</v>
      </c>
      <c r="E58" s="281">
        <f>+E40</f>
        <v>48771127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238730027</v>
      </c>
      <c r="D59" s="281">
        <f t="shared" si="0"/>
        <v>244661772</v>
      </c>
      <c r="E59" s="281">
        <f t="shared" si="0"/>
        <v>268833537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8714022</v>
      </c>
      <c r="D60" s="176">
        <f t="shared" si="0"/>
        <v>9942819</v>
      </c>
      <c r="E60" s="176">
        <f t="shared" si="0"/>
        <v>10396136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230016005</v>
      </c>
      <c r="D61" s="281">
        <f>+D59-D60</f>
        <v>234718953</v>
      </c>
      <c r="E61" s="281">
        <f>+E59-E60</f>
        <v>258437401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62.602790179777848</v>
      </c>
      <c r="D65" s="284">
        <f>IF(D67=0,0,(D66/D67)*100)</f>
        <v>61.682912435090898</v>
      </c>
      <c r="E65" s="284">
        <f>IF(E67=0,0,(E66/E67)*100)</f>
        <v>63.247336597261473</v>
      </c>
    </row>
    <row r="66" spans="1:5" ht="24" customHeight="1" x14ac:dyDescent="0.2">
      <c r="A66" s="17">
        <v>2</v>
      </c>
      <c r="B66" s="45" t="s">
        <v>67</v>
      </c>
      <c r="C66" s="281">
        <f>+C32</f>
        <v>188164099</v>
      </c>
      <c r="D66" s="281">
        <f>+D32</f>
        <v>184607269</v>
      </c>
      <c r="E66" s="281">
        <f>+E32</f>
        <v>214409058</v>
      </c>
    </row>
    <row r="67" spans="1:5" ht="24" customHeight="1" x14ac:dyDescent="0.2">
      <c r="A67" s="17">
        <v>3</v>
      </c>
      <c r="B67" s="45" t="s">
        <v>43</v>
      </c>
      <c r="C67" s="281">
        <v>300568231</v>
      </c>
      <c r="D67" s="281">
        <v>299284294</v>
      </c>
      <c r="E67" s="281">
        <v>339000928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12.676044963672901</v>
      </c>
      <c r="D69" s="284">
        <f>IF(D75=0,0,(D72/D75)*100)</f>
        <v>14.849008706731864</v>
      </c>
      <c r="E69" s="284">
        <f>IF(E75=0,0,(E72/E75)*100)</f>
        <v>19.298348191569179</v>
      </c>
    </row>
    <row r="70" spans="1:5" ht="24" customHeight="1" x14ac:dyDescent="0.2">
      <c r="A70" s="17">
        <v>5</v>
      </c>
      <c r="B70" s="45" t="s">
        <v>358</v>
      </c>
      <c r="C70" s="281">
        <f>+C28</f>
        <v>2995454</v>
      </c>
      <c r="D70" s="281">
        <f>+D28</f>
        <v>1984268</v>
      </c>
      <c r="E70" s="281">
        <f>+E28</f>
        <v>6677873</v>
      </c>
    </row>
    <row r="71" spans="1:5" ht="24" customHeight="1" x14ac:dyDescent="0.2">
      <c r="A71" s="17">
        <v>6</v>
      </c>
      <c r="B71" s="45" t="s">
        <v>347</v>
      </c>
      <c r="C71" s="176">
        <f>+C47</f>
        <v>8714022</v>
      </c>
      <c r="D71" s="176">
        <f>+D47</f>
        <v>9942819</v>
      </c>
      <c r="E71" s="176">
        <f>+E47</f>
        <v>10396136</v>
      </c>
    </row>
    <row r="72" spans="1:5" ht="24" customHeight="1" x14ac:dyDescent="0.2">
      <c r="A72" s="17">
        <v>7</v>
      </c>
      <c r="B72" s="45" t="s">
        <v>359</v>
      </c>
      <c r="C72" s="281">
        <f>+C70+C71</f>
        <v>11709476</v>
      </c>
      <c r="D72" s="281">
        <f>+D70+D71</f>
        <v>11927087</v>
      </c>
      <c r="E72" s="281">
        <f>+E70+E71</f>
        <v>17074009</v>
      </c>
    </row>
    <row r="73" spans="1:5" ht="24" customHeight="1" x14ac:dyDescent="0.2">
      <c r="A73" s="17">
        <v>8</v>
      </c>
      <c r="B73" s="45" t="s">
        <v>54</v>
      </c>
      <c r="C73" s="270">
        <f>+C40</f>
        <v>50418137</v>
      </c>
      <c r="D73" s="270">
        <f>+D40</f>
        <v>41909412</v>
      </c>
      <c r="E73" s="270">
        <f>+E40</f>
        <v>48771127</v>
      </c>
    </row>
    <row r="74" spans="1:5" ht="24" customHeight="1" x14ac:dyDescent="0.2">
      <c r="A74" s="17">
        <v>9</v>
      </c>
      <c r="B74" s="45" t="s">
        <v>58</v>
      </c>
      <c r="C74" s="281">
        <v>41956701</v>
      </c>
      <c r="D74" s="281">
        <v>38413034</v>
      </c>
      <c r="E74" s="281">
        <v>39702813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92374838</v>
      </c>
      <c r="D75" s="270">
        <f>+D73+D74</f>
        <v>80322446</v>
      </c>
      <c r="E75" s="270">
        <f>+E73+E74</f>
        <v>88473940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18.232467903813998</v>
      </c>
      <c r="D77" s="286">
        <f>IF(D80=0,0,(D78/D80)*100)</f>
        <v>17.224007627682219</v>
      </c>
      <c r="E77" s="286">
        <f>IF(E80=0,0,(E78/E80)*100)</f>
        <v>15.624147287475601</v>
      </c>
    </row>
    <row r="78" spans="1:5" ht="24" customHeight="1" x14ac:dyDescent="0.2">
      <c r="A78" s="17">
        <v>12</v>
      </c>
      <c r="B78" s="45" t="s">
        <v>58</v>
      </c>
      <c r="C78" s="270">
        <f>+C74</f>
        <v>41956701</v>
      </c>
      <c r="D78" s="270">
        <f>+D74</f>
        <v>38413034</v>
      </c>
      <c r="E78" s="270">
        <f>+E74</f>
        <v>39702813</v>
      </c>
    </row>
    <row r="79" spans="1:5" ht="24" customHeight="1" x14ac:dyDescent="0.2">
      <c r="A79" s="17">
        <v>13</v>
      </c>
      <c r="B79" s="45" t="s">
        <v>67</v>
      </c>
      <c r="C79" s="270">
        <f>+C32</f>
        <v>188164099</v>
      </c>
      <c r="D79" s="270">
        <f>+D32</f>
        <v>184607269</v>
      </c>
      <c r="E79" s="270">
        <f>+E32</f>
        <v>214409058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230120800</v>
      </c>
      <c r="D80" s="270">
        <f>+D78+D79</f>
        <v>223020303</v>
      </c>
      <c r="E80" s="270">
        <f>+E78+E79</f>
        <v>254111871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>
      <selection activeCell="B35" sqref="B35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0</v>
      </c>
      <c r="D11" s="297">
        <v>0</v>
      </c>
      <c r="E11" s="297">
        <v>0</v>
      </c>
      <c r="F11" s="298">
        <f>IF(D11=0,0,$C11/(D11*365))</f>
        <v>0</v>
      </c>
      <c r="G11" s="298">
        <f>IF(E11=0,0,$C11/(E11*365))</f>
        <v>0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4587</v>
      </c>
      <c r="D13" s="297">
        <v>18</v>
      </c>
      <c r="E13" s="297">
        <v>18</v>
      </c>
      <c r="F13" s="298">
        <f>IF(D13=0,0,$C13/(D13*365))</f>
        <v>0.69817351598173516</v>
      </c>
      <c r="G13" s="298">
        <f>IF(E13=0,0,$C13/(E13*365))</f>
        <v>0.69817351598173516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0</v>
      </c>
      <c r="D16" s="297">
        <v>0</v>
      </c>
      <c r="E16" s="297">
        <v>0</v>
      </c>
      <c r="F16" s="298">
        <f t="shared" si="0"/>
        <v>0</v>
      </c>
      <c r="G16" s="298">
        <f t="shared" si="0"/>
        <v>0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1">
        <f t="shared" si="0"/>
        <v>0</v>
      </c>
      <c r="G17" s="301">
        <f t="shared" si="0"/>
        <v>0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0</v>
      </c>
      <c r="D21" s="297">
        <v>0</v>
      </c>
      <c r="E21" s="297">
        <v>0</v>
      </c>
      <c r="F21" s="298">
        <f>IF(D21=0,0,$C21/(D21*365))</f>
        <v>0</v>
      </c>
      <c r="G21" s="298">
        <f>IF(E21=0,0,$C21/(E21*365))</f>
        <v>0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0</v>
      </c>
      <c r="D23" s="297">
        <v>0</v>
      </c>
      <c r="E23" s="297">
        <v>0</v>
      </c>
      <c r="F23" s="298">
        <f>IF(D23=0,0,$C23/(D23*365))</f>
        <v>0</v>
      </c>
      <c r="G23" s="298">
        <f>IF(E23=0,0,$C23/(E23*365))</f>
        <v>0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10228</v>
      </c>
      <c r="D25" s="297">
        <v>32</v>
      </c>
      <c r="E25" s="297">
        <v>32</v>
      </c>
      <c r="F25" s="298">
        <f>IF(D25=0,0,$C25/(D25*365))</f>
        <v>0.87568493150684934</v>
      </c>
      <c r="G25" s="298">
        <f>IF(E25=0,0,$C25/(E25*365))</f>
        <v>0.87568493150684934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21984</v>
      </c>
      <c r="D27" s="297">
        <v>92</v>
      </c>
      <c r="E27" s="297">
        <v>97</v>
      </c>
      <c r="F27" s="298">
        <f>IF(D27=0,0,$C27/(D27*365))</f>
        <v>0.65467540202501484</v>
      </c>
      <c r="G27" s="298">
        <f>IF(E27=0,0,$C27/(E27*365))</f>
        <v>0.62092924728145737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36799</v>
      </c>
      <c r="D31" s="300">
        <f>SUM(D10:D29)-D17-D23</f>
        <v>142</v>
      </c>
      <c r="E31" s="300">
        <f>SUM(E10:E29)-E17-E23</f>
        <v>147</v>
      </c>
      <c r="F31" s="301">
        <f>IF(D31=0,0,$C31/(D31*365))</f>
        <v>0.70999421184642098</v>
      </c>
      <c r="G31" s="301">
        <f>IF(E31=0,0,$C31/(E31*365))</f>
        <v>0.68584474885844748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36799</v>
      </c>
      <c r="D33" s="300">
        <f>SUM(D10:D29)-D17</f>
        <v>142</v>
      </c>
      <c r="E33" s="300">
        <f>SUM(E10:E29)-E17</f>
        <v>147</v>
      </c>
      <c r="F33" s="301">
        <f>IF(D33=0,0,$C33/(D33*365))</f>
        <v>0.70999421184642098</v>
      </c>
      <c r="G33" s="301">
        <f>IF(E33=0,0,$C33/(E33*365))</f>
        <v>0.68584474885844748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36799</v>
      </c>
      <c r="D36" s="300">
        <f>+D33</f>
        <v>142</v>
      </c>
      <c r="E36" s="300">
        <f>+E33</f>
        <v>147</v>
      </c>
      <c r="F36" s="301">
        <f>+F33</f>
        <v>0.70999421184642098</v>
      </c>
      <c r="G36" s="301">
        <f>+G33</f>
        <v>0.68584474885844748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35911</v>
      </c>
      <c r="D37" s="302">
        <v>142</v>
      </c>
      <c r="E37" s="302">
        <v>142</v>
      </c>
      <c r="F37" s="301">
        <f>IF(D37=0,0,$C37/(D37*365))</f>
        <v>0.69286127725255642</v>
      </c>
      <c r="G37" s="301">
        <f>IF(E37=0,0,$C37/(E37*365))</f>
        <v>0.69286127725255642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888</v>
      </c>
      <c r="D38" s="300">
        <f>+D36-D37</f>
        <v>0</v>
      </c>
      <c r="E38" s="300">
        <f>+E36-E37</f>
        <v>5</v>
      </c>
      <c r="F38" s="301">
        <f>+F36-F37</f>
        <v>1.7132934593864557E-2</v>
      </c>
      <c r="G38" s="301">
        <f>+G36-G37</f>
        <v>-7.016528394108934E-3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2.4727799281557182E-2</v>
      </c>
      <c r="D40" s="148">
        <f>IF(D37=0,0,D38/D37)</f>
        <v>0</v>
      </c>
      <c r="E40" s="148">
        <f>IF(E37=0,0,E38/E37)</f>
        <v>3.5211267605633804E-2</v>
      </c>
      <c r="F40" s="148">
        <f>IF(F37=0,0,F38/F37)</f>
        <v>2.4727799281557182E-2</v>
      </c>
      <c r="G40" s="148">
        <f>IF(G37=0,0,G38/G37)</f>
        <v>-1.0126887768835902E-2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147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35" sqref="B35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1576</v>
      </c>
      <c r="D12" s="296">
        <v>1421</v>
      </c>
      <c r="E12" s="296">
        <f>+D12-C12</f>
        <v>-155</v>
      </c>
      <c r="F12" s="316">
        <f>IF(C12=0,0,+E12/C12)</f>
        <v>-9.8350253807106602E-2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1663</v>
      </c>
      <c r="D13" s="296">
        <v>1588</v>
      </c>
      <c r="E13" s="296">
        <f>+D13-C13</f>
        <v>-75</v>
      </c>
      <c r="F13" s="316">
        <f>IF(C13=0,0,+E13/C13)</f>
        <v>-4.5099218280216478E-2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1199</v>
      </c>
      <c r="D14" s="296">
        <v>979</v>
      </c>
      <c r="E14" s="296">
        <f>+D14-C14</f>
        <v>-220</v>
      </c>
      <c r="F14" s="316">
        <f>IF(C14=0,0,+E14/C14)</f>
        <v>-0.1834862385321101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4438</v>
      </c>
      <c r="D16" s="300">
        <f>SUM(D12:D15)</f>
        <v>3988</v>
      </c>
      <c r="E16" s="300">
        <f>+D16-C16</f>
        <v>-450</v>
      </c>
      <c r="F16" s="309">
        <f>IF(C16=0,0,+E16/C16)</f>
        <v>-0.10139702568724651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543</v>
      </c>
      <c r="D19" s="296">
        <v>555</v>
      </c>
      <c r="E19" s="296">
        <f>+D19-C19</f>
        <v>12</v>
      </c>
      <c r="F19" s="316">
        <f>IF(C19=0,0,+E19/C19)</f>
        <v>2.2099447513812154E-2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2815</v>
      </c>
      <c r="D20" s="296">
        <v>3009</v>
      </c>
      <c r="E20" s="296">
        <f>+D20-C20</f>
        <v>194</v>
      </c>
      <c r="F20" s="316">
        <f>IF(C20=0,0,+E20/C20)</f>
        <v>6.8916518650088812E-2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56</v>
      </c>
      <c r="D21" s="296">
        <v>70</v>
      </c>
      <c r="E21" s="296">
        <f>+D21-C21</f>
        <v>14</v>
      </c>
      <c r="F21" s="316">
        <f>IF(C21=0,0,+E21/C21)</f>
        <v>0.25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3414</v>
      </c>
      <c r="D23" s="300">
        <f>SUM(D19:D22)</f>
        <v>3634</v>
      </c>
      <c r="E23" s="300">
        <f>+D23-C23</f>
        <v>220</v>
      </c>
      <c r="F23" s="309">
        <f>IF(C23=0,0,+E23/C23)</f>
        <v>6.4440538957234922E-2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11</v>
      </c>
      <c r="D48" s="296">
        <v>3</v>
      </c>
      <c r="E48" s="296">
        <f>+D48-C48</f>
        <v>-8</v>
      </c>
      <c r="F48" s="316">
        <f>IF(C48=0,0,+E48/C48)</f>
        <v>-0.72727272727272729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26</v>
      </c>
      <c r="D49" s="296">
        <v>15</v>
      </c>
      <c r="E49" s="296">
        <f>+D49-C49</f>
        <v>-11</v>
      </c>
      <c r="F49" s="316">
        <f>IF(C49=0,0,+E49/C49)</f>
        <v>-0.42307692307692307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37</v>
      </c>
      <c r="D50" s="300">
        <f>SUM(D48:D49)</f>
        <v>18</v>
      </c>
      <c r="E50" s="300">
        <f>+D50-C50</f>
        <v>-19</v>
      </c>
      <c r="F50" s="309">
        <f>IF(C50=0,0,+E50/C50)</f>
        <v>-0.51351351351351349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4</v>
      </c>
      <c r="D53" s="296">
        <v>0</v>
      </c>
      <c r="E53" s="296">
        <f>+D53-C53</f>
        <v>-4</v>
      </c>
      <c r="F53" s="316">
        <f>IF(C53=0,0,+E53/C53)</f>
        <v>-1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4</v>
      </c>
      <c r="D55" s="300">
        <f>SUM(D53:D54)</f>
        <v>0</v>
      </c>
      <c r="E55" s="300">
        <f>+D55-C55</f>
        <v>-4</v>
      </c>
      <c r="F55" s="309">
        <f>IF(C55=0,0,+E55/C55)</f>
        <v>-1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6</v>
      </c>
      <c r="D58" s="296">
        <v>2</v>
      </c>
      <c r="E58" s="296">
        <f>+D58-C58</f>
        <v>-4</v>
      </c>
      <c r="F58" s="316">
        <f>IF(C58=0,0,+E58/C58)</f>
        <v>-0.66666666666666663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1</v>
      </c>
      <c r="D59" s="296">
        <v>6</v>
      </c>
      <c r="E59" s="296">
        <f>+D59-C59</f>
        <v>5</v>
      </c>
      <c r="F59" s="316">
        <f>IF(C59=0,0,+E59/C59)</f>
        <v>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7</v>
      </c>
      <c r="D60" s="300">
        <f>SUM(D58:D59)</f>
        <v>8</v>
      </c>
      <c r="E60" s="300">
        <f>SUM(E58:E59)</f>
        <v>1</v>
      </c>
      <c r="F60" s="309">
        <f>IF(C60=0,0,+E60/C60)</f>
        <v>0.14285714285714285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2076</v>
      </c>
      <c r="D63" s="296">
        <v>2283</v>
      </c>
      <c r="E63" s="296">
        <f>+D63-C63</f>
        <v>207</v>
      </c>
      <c r="F63" s="316">
        <f>IF(C63=0,0,+E63/C63)</f>
        <v>9.9710982658959543E-2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7666</v>
      </c>
      <c r="D64" s="296">
        <v>7623</v>
      </c>
      <c r="E64" s="296">
        <f>+D64-C64</f>
        <v>-43</v>
      </c>
      <c r="F64" s="316">
        <f>IF(C64=0,0,+E64/C64)</f>
        <v>-5.6091834072528046E-3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9742</v>
      </c>
      <c r="D65" s="300">
        <f>SUM(D63:D64)</f>
        <v>9906</v>
      </c>
      <c r="E65" s="300">
        <f>+D65-C65</f>
        <v>164</v>
      </c>
      <c r="F65" s="309">
        <f>IF(C65=0,0,+E65/C65)</f>
        <v>1.6834325600492712E-2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164</v>
      </c>
      <c r="D68" s="296">
        <v>154</v>
      </c>
      <c r="E68" s="296">
        <f>+D68-C68</f>
        <v>-10</v>
      </c>
      <c r="F68" s="316">
        <f>IF(C68=0,0,+E68/C68)</f>
        <v>-6.097560975609756E-2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1327</v>
      </c>
      <c r="D69" s="296">
        <v>1629</v>
      </c>
      <c r="E69" s="296">
        <f>+D69-C69</f>
        <v>302</v>
      </c>
      <c r="F69" s="318">
        <f>IF(C69=0,0,+E69/C69)</f>
        <v>0.22758100979653353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1491</v>
      </c>
      <c r="D70" s="300">
        <f>SUM(D68:D69)</f>
        <v>1783</v>
      </c>
      <c r="E70" s="300">
        <f>+D70-C70</f>
        <v>292</v>
      </c>
      <c r="F70" s="309">
        <f>IF(C70=0,0,+E70/C70)</f>
        <v>0.19584171696847752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2838</v>
      </c>
      <c r="D73" s="319">
        <v>3473</v>
      </c>
      <c r="E73" s="296">
        <f>+D73-C73</f>
        <v>635</v>
      </c>
      <c r="F73" s="316">
        <f>IF(C73=0,0,+E73/C73)</f>
        <v>0.22374911909795631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47262</v>
      </c>
      <c r="D74" s="319">
        <v>50118</v>
      </c>
      <c r="E74" s="296">
        <f>+D74-C74</f>
        <v>2856</v>
      </c>
      <c r="F74" s="316">
        <f>IF(C74=0,0,+E74/C74)</f>
        <v>6.0429097372095973E-2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50100</v>
      </c>
      <c r="D75" s="300">
        <f>SUM(D73:D74)</f>
        <v>53591</v>
      </c>
      <c r="E75" s="300">
        <f>SUM(E73:E74)</f>
        <v>3491</v>
      </c>
      <c r="F75" s="309">
        <f>IF(C75=0,0,+E75/C75)</f>
        <v>6.9680638722554894E-2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40139</v>
      </c>
      <c r="D87" s="322">
        <v>40216</v>
      </c>
      <c r="E87" s="323">
        <f t="shared" ref="E87:E92" si="2">+D87-C87</f>
        <v>77</v>
      </c>
      <c r="F87" s="318">
        <f t="shared" ref="F87:F92" si="3">IF(C87=0,0,+E87/C87)</f>
        <v>1.9183337900794738E-3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278</v>
      </c>
      <c r="D89" s="322">
        <v>265</v>
      </c>
      <c r="E89" s="296">
        <f t="shared" si="2"/>
        <v>-13</v>
      </c>
      <c r="F89" s="316">
        <f t="shared" si="3"/>
        <v>-4.6762589928057555E-2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1919</v>
      </c>
      <c r="D90" s="322">
        <v>2101</v>
      </c>
      <c r="E90" s="296">
        <f t="shared" si="2"/>
        <v>182</v>
      </c>
      <c r="F90" s="316">
        <f t="shared" si="3"/>
        <v>9.4841063053673791E-2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35929</v>
      </c>
      <c r="D91" s="322">
        <v>43161</v>
      </c>
      <c r="E91" s="296">
        <f t="shared" si="2"/>
        <v>7232</v>
      </c>
      <c r="F91" s="316">
        <f t="shared" si="3"/>
        <v>0.20128586935344708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78265</v>
      </c>
      <c r="D92" s="320">
        <f>SUM(D87:D91)</f>
        <v>85743</v>
      </c>
      <c r="E92" s="300">
        <f t="shared" si="2"/>
        <v>7478</v>
      </c>
      <c r="F92" s="309">
        <f t="shared" si="3"/>
        <v>9.554717945441768E-2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341.7</v>
      </c>
      <c r="D96" s="325">
        <v>341.8</v>
      </c>
      <c r="E96" s="326">
        <f>+D96-C96</f>
        <v>0.10000000000002274</v>
      </c>
      <c r="F96" s="316">
        <f>IF(C96=0,0,+E96/C96)</f>
        <v>2.9265437518297556E-4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30.1</v>
      </c>
      <c r="D97" s="325">
        <v>30</v>
      </c>
      <c r="E97" s="326">
        <f>+D97-C97</f>
        <v>-0.10000000000000142</v>
      </c>
      <c r="F97" s="316">
        <f>IF(C97=0,0,+E97/C97)</f>
        <v>-3.3222591362126715E-3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823.4</v>
      </c>
      <c r="D98" s="325">
        <v>840.7</v>
      </c>
      <c r="E98" s="326">
        <f>+D98-C98</f>
        <v>17.300000000000068</v>
      </c>
      <c r="F98" s="316">
        <f>IF(C98=0,0,+E98/C98)</f>
        <v>2.1010444498421262E-2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1195.2</v>
      </c>
      <c r="D99" s="327">
        <f>SUM(D96:D98)</f>
        <v>1212.5</v>
      </c>
      <c r="E99" s="327">
        <f>+D99-C99</f>
        <v>17.299999999999955</v>
      </c>
      <c r="F99" s="309">
        <f>IF(C99=0,0,+E99/C99)</f>
        <v>1.4474564926372117E-2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FILING&amp;RCT CHILDREN`S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activeCell="B35" sqref="B35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7666</v>
      </c>
      <c r="D12" s="296">
        <v>7623</v>
      </c>
      <c r="E12" s="296">
        <f>+D12-C12</f>
        <v>-43</v>
      </c>
      <c r="F12" s="316">
        <f>IF(C12=0,0,+E12/C12)</f>
        <v>-5.6091834072528046E-3</v>
      </c>
    </row>
    <row r="13" spans="1:16" ht="15.75" customHeight="1" x14ac:dyDescent="0.25">
      <c r="A13" s="294"/>
      <c r="B13" s="135" t="s">
        <v>584</v>
      </c>
      <c r="C13" s="300">
        <f>SUM(C11:C12)</f>
        <v>7666</v>
      </c>
      <c r="D13" s="300">
        <f>SUM(D11:D12)</f>
        <v>7623</v>
      </c>
      <c r="E13" s="300">
        <f>+D13-C13</f>
        <v>-43</v>
      </c>
      <c r="F13" s="309">
        <f>IF(C13=0,0,+E13/C13)</f>
        <v>-5.6091834072528046E-3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585</v>
      </c>
      <c r="C16" s="296">
        <v>1327</v>
      </c>
      <c r="D16" s="296">
        <v>1629</v>
      </c>
      <c r="E16" s="296">
        <f>+D16-C16</f>
        <v>302</v>
      </c>
      <c r="F16" s="316">
        <f>IF(C16=0,0,+E16/C16)</f>
        <v>0.22758100979653353</v>
      </c>
    </row>
    <row r="17" spans="1:6" ht="15.75" customHeight="1" x14ac:dyDescent="0.25">
      <c r="A17" s="294"/>
      <c r="B17" s="135" t="s">
        <v>586</v>
      </c>
      <c r="C17" s="300">
        <f>SUM(C15:C16)</f>
        <v>1327</v>
      </c>
      <c r="D17" s="300">
        <f>SUM(D15:D16)</f>
        <v>1629</v>
      </c>
      <c r="E17" s="300">
        <f>+D17-C17</f>
        <v>302</v>
      </c>
      <c r="F17" s="309">
        <f>IF(C17=0,0,+E17/C17)</f>
        <v>0.22758100979653353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587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47262</v>
      </c>
      <c r="D20" s="296">
        <v>50118</v>
      </c>
      <c r="E20" s="296">
        <f>+D20-C20</f>
        <v>2856</v>
      </c>
      <c r="F20" s="316">
        <f>IF(C20=0,0,+E20/C20)</f>
        <v>6.0429097372095973E-2</v>
      </c>
    </row>
    <row r="21" spans="1:6" ht="15.75" customHeight="1" x14ac:dyDescent="0.25">
      <c r="A21" s="294"/>
      <c r="B21" s="135" t="s">
        <v>589</v>
      </c>
      <c r="C21" s="300">
        <f>SUM(C19:C20)</f>
        <v>47262</v>
      </c>
      <c r="D21" s="300">
        <f>SUM(D19:D20)</f>
        <v>50118</v>
      </c>
      <c r="E21" s="300">
        <f>+D21-C21</f>
        <v>2856</v>
      </c>
      <c r="F21" s="309">
        <f>IF(C21=0,0,+E21/C21)</f>
        <v>6.0429097372095973E-2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590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591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592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activeCell="B35" sqref="B35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593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594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595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596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597</v>
      </c>
      <c r="D7" s="341" t="s">
        <v>597</v>
      </c>
      <c r="E7" s="341" t="s">
        <v>598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599</v>
      </c>
      <c r="D8" s="344" t="s">
        <v>600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601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602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603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604</v>
      </c>
      <c r="C15" s="361">
        <v>438448</v>
      </c>
      <c r="D15" s="361">
        <v>327619</v>
      </c>
      <c r="E15" s="361">
        <f t="shared" ref="E15:E24" si="0">D15-C15</f>
        <v>-110829</v>
      </c>
      <c r="F15" s="362">
        <f t="shared" ref="F15:F24" si="1">IF(C15=0,0,E15/C15)</f>
        <v>-0.2527756997409043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605</v>
      </c>
      <c r="C16" s="361">
        <v>2622018</v>
      </c>
      <c r="D16" s="361">
        <v>2997225</v>
      </c>
      <c r="E16" s="361">
        <f t="shared" si="0"/>
        <v>375207</v>
      </c>
      <c r="F16" s="362">
        <f t="shared" si="1"/>
        <v>0.14309855996411924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606</v>
      </c>
      <c r="C17" s="366">
        <f>IF(C15=0,0,C16/C15)</f>
        <v>5.9802257052147576</v>
      </c>
      <c r="D17" s="366">
        <f>IF(LN_IA1=0,0,LN_IA2/LN_IA1)</f>
        <v>9.1485078704226552</v>
      </c>
      <c r="E17" s="367">
        <f t="shared" si="0"/>
        <v>3.1682821652078976</v>
      </c>
      <c r="F17" s="362">
        <f t="shared" si="1"/>
        <v>0.52979307494116068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8</v>
      </c>
      <c r="D18" s="369">
        <v>8</v>
      </c>
      <c r="E18" s="369">
        <f t="shared" si="0"/>
        <v>0</v>
      </c>
      <c r="F18" s="362">
        <f t="shared" si="1"/>
        <v>0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607</v>
      </c>
      <c r="C19" s="372">
        <v>2.1772</v>
      </c>
      <c r="D19" s="372">
        <v>1.7611000000000001</v>
      </c>
      <c r="E19" s="373">
        <f t="shared" si="0"/>
        <v>-0.41609999999999991</v>
      </c>
      <c r="F19" s="362">
        <f t="shared" si="1"/>
        <v>-0.19111703104905378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608</v>
      </c>
      <c r="C20" s="376">
        <f>C18*C19</f>
        <v>17.4176</v>
      </c>
      <c r="D20" s="376">
        <f>LN_IA4*LN_IA5</f>
        <v>14.088800000000001</v>
      </c>
      <c r="E20" s="376">
        <f t="shared" si="0"/>
        <v>-3.3287999999999993</v>
      </c>
      <c r="F20" s="362">
        <f t="shared" si="1"/>
        <v>-0.19111703104905378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609</v>
      </c>
      <c r="C21" s="378">
        <f>IF(C20=0,0,C16/C20)</f>
        <v>150538.42090758772</v>
      </c>
      <c r="D21" s="378">
        <f>IF(LN_IA6=0,0,LN_IA2/LN_IA6)</f>
        <v>212738.13241723922</v>
      </c>
      <c r="E21" s="378">
        <f t="shared" si="0"/>
        <v>62199.711509651504</v>
      </c>
      <c r="F21" s="362">
        <f t="shared" si="1"/>
        <v>0.41318163917658313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77</v>
      </c>
      <c r="D22" s="369">
        <v>46</v>
      </c>
      <c r="E22" s="369">
        <f t="shared" si="0"/>
        <v>-31</v>
      </c>
      <c r="F22" s="362">
        <f t="shared" si="1"/>
        <v>-0.40259740259740262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610</v>
      </c>
      <c r="C23" s="378">
        <f>IF(C22=0,0,C16/C22)</f>
        <v>34052.181818181816</v>
      </c>
      <c r="D23" s="378">
        <f>IF(LN_IA8=0,0,LN_IA2/LN_IA8)</f>
        <v>65157.065217391304</v>
      </c>
      <c r="E23" s="378">
        <f t="shared" si="0"/>
        <v>31104.883399209488</v>
      </c>
      <c r="F23" s="362">
        <f t="shared" si="1"/>
        <v>0.91344758950515625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611</v>
      </c>
      <c r="C24" s="379">
        <f>IF(C18=0,0,C22/C18)</f>
        <v>9.625</v>
      </c>
      <c r="D24" s="379">
        <f>IF(LN_IA4=0,0,LN_IA8/LN_IA4)</f>
        <v>5.75</v>
      </c>
      <c r="E24" s="379">
        <f t="shared" si="0"/>
        <v>-3.875</v>
      </c>
      <c r="F24" s="362">
        <f t="shared" si="1"/>
        <v>-0.40259740259740262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612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613</v>
      </c>
      <c r="C27" s="361">
        <v>144624</v>
      </c>
      <c r="D27" s="361">
        <v>65268</v>
      </c>
      <c r="E27" s="361">
        <f t="shared" ref="E27:E32" si="2">D27-C27</f>
        <v>-79356</v>
      </c>
      <c r="F27" s="362">
        <f t="shared" ref="F27:F32" si="3">IF(C27=0,0,E27/C27)</f>
        <v>-0.54870560902754728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614</v>
      </c>
      <c r="C28" s="361">
        <v>872231</v>
      </c>
      <c r="D28" s="361">
        <v>598250</v>
      </c>
      <c r="E28" s="361">
        <f t="shared" si="2"/>
        <v>-273981</v>
      </c>
      <c r="F28" s="362">
        <f t="shared" si="3"/>
        <v>-0.31411518278988021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615</v>
      </c>
      <c r="C29" s="366">
        <f>IF(C27=0,0,C28/C27)</f>
        <v>6.0310252793450605</v>
      </c>
      <c r="D29" s="366">
        <f>IF(LN_IA11=0,0,LN_IA12/LN_IA11)</f>
        <v>9.1660538089109522</v>
      </c>
      <c r="E29" s="367">
        <f t="shared" si="2"/>
        <v>3.1350285295658917</v>
      </c>
      <c r="F29" s="362">
        <f t="shared" si="3"/>
        <v>0.51981684445971021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616</v>
      </c>
      <c r="C30" s="366">
        <f>IF(C15=0,0,C27/C15)</f>
        <v>0.32985439550414186</v>
      </c>
      <c r="D30" s="366">
        <f>IF(LN_IA1=0,0,LN_IA11/LN_IA1)</f>
        <v>0.19921921500279288</v>
      </c>
      <c r="E30" s="367">
        <f t="shared" si="2"/>
        <v>-0.13063518050134898</v>
      </c>
      <c r="F30" s="362">
        <f t="shared" si="3"/>
        <v>-0.39603892590756345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617</v>
      </c>
      <c r="C31" s="376">
        <f>C30*C18</f>
        <v>2.6388351640331349</v>
      </c>
      <c r="D31" s="376">
        <f>LN_IA14*LN_IA4</f>
        <v>1.5937537200223431</v>
      </c>
      <c r="E31" s="376">
        <f t="shared" si="2"/>
        <v>-1.0450814440107918</v>
      </c>
      <c r="F31" s="362">
        <f t="shared" si="3"/>
        <v>-0.39603892590756345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618</v>
      </c>
      <c r="C32" s="378">
        <f>IF(C31=0,0,C28/C31)</f>
        <v>330536.37145978538</v>
      </c>
      <c r="D32" s="378">
        <f>IF(LN_IA15=0,0,LN_IA12/LN_IA15)</f>
        <v>375371.67285269964</v>
      </c>
      <c r="E32" s="378">
        <f t="shared" si="2"/>
        <v>44835.301392914262</v>
      </c>
      <c r="F32" s="362">
        <f t="shared" si="3"/>
        <v>0.13564407812339385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619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620</v>
      </c>
      <c r="C35" s="361">
        <f>C15+C27</f>
        <v>583072</v>
      </c>
      <c r="D35" s="361">
        <f>LN_IA1+LN_IA11</f>
        <v>392887</v>
      </c>
      <c r="E35" s="361">
        <f>D35-C35</f>
        <v>-190185</v>
      </c>
      <c r="F35" s="362">
        <f>IF(C35=0,0,E35/C35)</f>
        <v>-0.32617755611656879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621</v>
      </c>
      <c r="C36" s="361">
        <f>C16+C28</f>
        <v>3494249</v>
      </c>
      <c r="D36" s="361">
        <f>LN_IA2+LN_IA12</f>
        <v>3595475</v>
      </c>
      <c r="E36" s="361">
        <f>D36-C36</f>
        <v>101226</v>
      </c>
      <c r="F36" s="362">
        <f>IF(C36=0,0,E36/C36)</f>
        <v>2.8969315008747231E-2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622</v>
      </c>
      <c r="C37" s="361">
        <f>C35-C36</f>
        <v>-2911177</v>
      </c>
      <c r="D37" s="361">
        <f>LN_IA17-LN_IA18</f>
        <v>-3202588</v>
      </c>
      <c r="E37" s="361">
        <f>D37-C37</f>
        <v>-291411</v>
      </c>
      <c r="F37" s="362">
        <f>IF(C37=0,0,E37/C37)</f>
        <v>0.10010074962807139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623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624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604</v>
      </c>
      <c r="C42" s="361">
        <v>97703389</v>
      </c>
      <c r="D42" s="361">
        <v>103765887</v>
      </c>
      <c r="E42" s="361">
        <f t="shared" ref="E42:E53" si="4">D42-C42</f>
        <v>6062498</v>
      </c>
      <c r="F42" s="362">
        <f t="shared" ref="F42:F53" si="5">IF(C42=0,0,E42/C42)</f>
        <v>6.2050027763110652E-2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605</v>
      </c>
      <c r="C43" s="361">
        <v>56993764</v>
      </c>
      <c r="D43" s="361">
        <v>66616874</v>
      </c>
      <c r="E43" s="361">
        <f t="shared" si="4"/>
        <v>9623110</v>
      </c>
      <c r="F43" s="362">
        <f t="shared" si="5"/>
        <v>0.16884496345951111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606</v>
      </c>
      <c r="C44" s="366">
        <f>IF(C42=0,0,C43/C42)</f>
        <v>0.5833345658050817</v>
      </c>
      <c r="D44" s="366">
        <f>IF(LN_IB1=0,0,LN_IB2/LN_IB1)</f>
        <v>0.64199204503499308</v>
      </c>
      <c r="E44" s="367">
        <f t="shared" si="4"/>
        <v>5.865747922991138E-2</v>
      </c>
      <c r="F44" s="362">
        <f t="shared" si="5"/>
        <v>0.10055546622538306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3065</v>
      </c>
      <c r="D45" s="369">
        <v>3110</v>
      </c>
      <c r="E45" s="369">
        <f t="shared" si="4"/>
        <v>45</v>
      </c>
      <c r="F45" s="362">
        <f t="shared" si="5"/>
        <v>1.468189233278956E-2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607</v>
      </c>
      <c r="C46" s="372">
        <v>1.4488000000000001</v>
      </c>
      <c r="D46" s="372">
        <v>1.3976</v>
      </c>
      <c r="E46" s="373">
        <f t="shared" si="4"/>
        <v>-5.1200000000000134E-2</v>
      </c>
      <c r="F46" s="362">
        <f t="shared" si="5"/>
        <v>-3.5339591385974693E-2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608</v>
      </c>
      <c r="C47" s="376">
        <f>C45*C46</f>
        <v>4440.5720000000001</v>
      </c>
      <c r="D47" s="376">
        <f>LN_IB4*LN_IB5</f>
        <v>4346.5360000000001</v>
      </c>
      <c r="E47" s="376">
        <f t="shared" si="4"/>
        <v>-94.036000000000058</v>
      </c>
      <c r="F47" s="362">
        <f t="shared" si="5"/>
        <v>-2.1176551128998709E-2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609</v>
      </c>
      <c r="C48" s="378">
        <f>IF(C47=0,0,C43/C47)</f>
        <v>12834.779843677796</v>
      </c>
      <c r="D48" s="378">
        <f>IF(LN_IB6=0,0,LN_IB2/LN_IB6)</f>
        <v>15326.428677917311</v>
      </c>
      <c r="E48" s="378">
        <f t="shared" si="4"/>
        <v>2491.6488342395151</v>
      </c>
      <c r="F48" s="362">
        <f t="shared" si="5"/>
        <v>0.19413257294528982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625</v>
      </c>
      <c r="C49" s="378">
        <f>C21-C48</f>
        <v>137703.64106390992</v>
      </c>
      <c r="D49" s="378">
        <f>LN_IA7-LN_IB7</f>
        <v>197411.70373932191</v>
      </c>
      <c r="E49" s="378">
        <f t="shared" si="4"/>
        <v>59708.062675411988</v>
      </c>
      <c r="F49" s="362">
        <f t="shared" si="5"/>
        <v>0.4335982855217369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626</v>
      </c>
      <c r="C50" s="391">
        <f>C49*C47</f>
        <v>611482932.80644858</v>
      </c>
      <c r="D50" s="391">
        <f>LN_IB8*LN_IB6</f>
        <v>858057077.12429726</v>
      </c>
      <c r="E50" s="391">
        <f t="shared" si="4"/>
        <v>246574144.31784868</v>
      </c>
      <c r="F50" s="362">
        <f t="shared" si="5"/>
        <v>0.40323961812994097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16827</v>
      </c>
      <c r="D51" s="369">
        <v>17275</v>
      </c>
      <c r="E51" s="369">
        <f t="shared" si="4"/>
        <v>448</v>
      </c>
      <c r="F51" s="362">
        <f t="shared" si="5"/>
        <v>2.6623878290842101E-2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610</v>
      </c>
      <c r="C52" s="378">
        <f>IF(C51=0,0,C43/C51)</f>
        <v>3387.042491234326</v>
      </c>
      <c r="D52" s="378">
        <f>IF(LN_IB10=0,0,LN_IB2/LN_IB10)</f>
        <v>3856.2589869753979</v>
      </c>
      <c r="E52" s="378">
        <f t="shared" si="4"/>
        <v>469.21649574107187</v>
      </c>
      <c r="F52" s="362">
        <f t="shared" si="5"/>
        <v>0.1385328046386797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611</v>
      </c>
      <c r="C53" s="379">
        <f>IF(C45=0,0,C51/C45)</f>
        <v>5.4900489396411096</v>
      </c>
      <c r="D53" s="379">
        <f>IF(LN_IB4=0,0,LN_IB10/LN_IB4)</f>
        <v>5.554662379421222</v>
      </c>
      <c r="E53" s="379">
        <f t="shared" si="4"/>
        <v>6.4613439780112358E-2</v>
      </c>
      <c r="F53" s="362">
        <f t="shared" si="5"/>
        <v>1.1769191949013156E-2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627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613</v>
      </c>
      <c r="C56" s="361">
        <v>77948865</v>
      </c>
      <c r="D56" s="361">
        <v>77357626</v>
      </c>
      <c r="E56" s="361">
        <f t="shared" ref="E56:E63" si="6">D56-C56</f>
        <v>-591239</v>
      </c>
      <c r="F56" s="362">
        <f t="shared" ref="F56:F63" si="7">IF(C56=0,0,E56/C56)</f>
        <v>-7.5849597040316113E-3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614</v>
      </c>
      <c r="C57" s="361">
        <v>42702591</v>
      </c>
      <c r="D57" s="361">
        <v>41808528</v>
      </c>
      <c r="E57" s="361">
        <f t="shared" si="6"/>
        <v>-894063</v>
      </c>
      <c r="F57" s="362">
        <f t="shared" si="7"/>
        <v>-2.0936973121841718E-2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615</v>
      </c>
      <c r="C58" s="366">
        <f>IF(C56=0,0,C57/C56)</f>
        <v>0.54782825894899179</v>
      </c>
      <c r="D58" s="366">
        <f>IF(LN_IB13=0,0,LN_IB14/LN_IB13)</f>
        <v>0.5404577436231045</v>
      </c>
      <c r="E58" s="367">
        <f t="shared" si="6"/>
        <v>-7.3705153258872835E-3</v>
      </c>
      <c r="F58" s="362">
        <f t="shared" si="7"/>
        <v>-1.3454061935445998E-2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616</v>
      </c>
      <c r="C59" s="366">
        <f>IF(C42=0,0,C56/C42)</f>
        <v>0.79781127141864039</v>
      </c>
      <c r="D59" s="366">
        <f>IF(LN_IB1=0,0,LN_IB13/LN_IB1)</f>
        <v>0.74550151534868103</v>
      </c>
      <c r="E59" s="367">
        <f t="shared" si="6"/>
        <v>-5.2309756069959357E-2</v>
      </c>
      <c r="F59" s="362">
        <f t="shared" si="7"/>
        <v>-6.556657939532988E-2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617</v>
      </c>
      <c r="C60" s="376">
        <f>C59*C45</f>
        <v>2445.2915468981328</v>
      </c>
      <c r="D60" s="376">
        <f>LN_IB16*LN_IB4</f>
        <v>2318.5097127343979</v>
      </c>
      <c r="E60" s="376">
        <f t="shared" si="6"/>
        <v>-126.78183416373486</v>
      </c>
      <c r="F60" s="362">
        <f t="shared" si="7"/>
        <v>-5.1847328521851879E-2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618</v>
      </c>
      <c r="C61" s="378">
        <f>IF(C60=0,0,C57/C60)</f>
        <v>17463.190045444069</v>
      </c>
      <c r="D61" s="378">
        <f>IF(LN_IB17=0,0,LN_IB14/LN_IB17)</f>
        <v>18032.500692305475</v>
      </c>
      <c r="E61" s="378">
        <f t="shared" si="6"/>
        <v>569.31064686140598</v>
      </c>
      <c r="F61" s="362">
        <f t="shared" si="7"/>
        <v>3.2600609933231078E-2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628</v>
      </c>
      <c r="C62" s="378">
        <f>C32-C61</f>
        <v>313073.18141434132</v>
      </c>
      <c r="D62" s="378">
        <f>LN_IA16-LN_IB18</f>
        <v>357339.17216039414</v>
      </c>
      <c r="E62" s="378">
        <f t="shared" si="6"/>
        <v>44265.990746052819</v>
      </c>
      <c r="F62" s="362">
        <f t="shared" si="7"/>
        <v>0.14139183224215024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629</v>
      </c>
      <c r="C63" s="361">
        <f>C62*C60</f>
        <v>765555204.07299447</v>
      </c>
      <c r="D63" s="361">
        <f>LN_IB19*LN_IB17</f>
        <v>828494341.39434302</v>
      </c>
      <c r="E63" s="361">
        <f t="shared" si="6"/>
        <v>62939137.321348548</v>
      </c>
      <c r="F63" s="362">
        <f t="shared" si="7"/>
        <v>8.2213714943733043E-2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630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620</v>
      </c>
      <c r="C66" s="361">
        <f>C42+C56</f>
        <v>175652254</v>
      </c>
      <c r="D66" s="361">
        <f>LN_IB1+LN_IB13</f>
        <v>181123513</v>
      </c>
      <c r="E66" s="361">
        <f>D66-C66</f>
        <v>5471259</v>
      </c>
      <c r="F66" s="362">
        <f>IF(C66=0,0,E66/C66)</f>
        <v>3.1148242481420136E-2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621</v>
      </c>
      <c r="C67" s="361">
        <f>C43+C57</f>
        <v>99696355</v>
      </c>
      <c r="D67" s="361">
        <f>LN_IB2+LN_IB14</f>
        <v>108425402</v>
      </c>
      <c r="E67" s="361">
        <f>D67-C67</f>
        <v>8729047</v>
      </c>
      <c r="F67" s="362">
        <f>IF(C67=0,0,E67/C67)</f>
        <v>8.7556330419502296E-2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622</v>
      </c>
      <c r="C68" s="361">
        <f>C66-C67</f>
        <v>75955899</v>
      </c>
      <c r="D68" s="361">
        <f>LN_IB21-LN_IB22</f>
        <v>72698111</v>
      </c>
      <c r="E68" s="361">
        <f>D68-C68</f>
        <v>-3257788</v>
      </c>
      <c r="F68" s="362">
        <f>IF(C68=0,0,E68/C68)</f>
        <v>-4.2890519931835708E-2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631</v>
      </c>
      <c r="C70" s="353">
        <f>C50+C63</f>
        <v>1377038136.8794432</v>
      </c>
      <c r="D70" s="353">
        <f>LN_IB9+LN_IB20</f>
        <v>1686551418.5186403</v>
      </c>
      <c r="E70" s="361">
        <f>D70-C70</f>
        <v>309513281.63919711</v>
      </c>
      <c r="F70" s="362">
        <f>IF(C70=0,0,E70/C70)</f>
        <v>0.22476739993606609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632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633</v>
      </c>
      <c r="C73" s="400">
        <v>172870410</v>
      </c>
      <c r="D73" s="400">
        <v>175486699</v>
      </c>
      <c r="E73" s="400">
        <f>D73-C73</f>
        <v>2616289</v>
      </c>
      <c r="F73" s="401">
        <f>IF(C73=0,0,E73/C73)</f>
        <v>1.513439460229197E-2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634</v>
      </c>
      <c r="C74" s="400">
        <v>97607451</v>
      </c>
      <c r="D74" s="400">
        <v>107159196</v>
      </c>
      <c r="E74" s="400">
        <f>D74-C74</f>
        <v>9551745</v>
      </c>
      <c r="F74" s="401">
        <f>IF(C74=0,0,E74/C74)</f>
        <v>9.7858768999100287E-2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635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636</v>
      </c>
      <c r="C76" s="353">
        <f>C73-C74</f>
        <v>75262959</v>
      </c>
      <c r="D76" s="353">
        <f>LN_IB32-LN_IB33</f>
        <v>68327503</v>
      </c>
      <c r="E76" s="400">
        <f>D76-C76</f>
        <v>-6935456</v>
      </c>
      <c r="F76" s="401">
        <f>IF(C76=0,0,E76/C76)</f>
        <v>-9.2149658904588108E-2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637</v>
      </c>
      <c r="C77" s="366">
        <f>IF(C73=0,0,C76/C73)</f>
        <v>0.43537213222320698</v>
      </c>
      <c r="D77" s="366">
        <f>IF(LN_IB1=0,0,LN_IB34/LN_IB32)</f>
        <v>0.38936001069801879</v>
      </c>
      <c r="E77" s="405">
        <f>D77-C77</f>
        <v>-4.6012121525188188E-2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638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639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604</v>
      </c>
      <c r="C83" s="361">
        <v>754800</v>
      </c>
      <c r="D83" s="361">
        <v>3559565</v>
      </c>
      <c r="E83" s="361">
        <f t="shared" ref="E83:E95" si="8">D83-C83</f>
        <v>2804765</v>
      </c>
      <c r="F83" s="362">
        <f t="shared" ref="F83:F95" si="9">IF(C83=0,0,E83/C83)</f>
        <v>3.715904875463699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605</v>
      </c>
      <c r="C84" s="361">
        <v>227133</v>
      </c>
      <c r="D84" s="361">
        <v>504320</v>
      </c>
      <c r="E84" s="361">
        <f t="shared" si="8"/>
        <v>277187</v>
      </c>
      <c r="F84" s="362">
        <f t="shared" si="9"/>
        <v>1.2203730853728874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606</v>
      </c>
      <c r="C85" s="366">
        <f>IF(C83=0,0,C84/C83)</f>
        <v>0.30091812400635931</v>
      </c>
      <c r="D85" s="366">
        <f>IF(LN_IC1=0,0,LN_IC2/LN_IC1)</f>
        <v>0.14168023339930583</v>
      </c>
      <c r="E85" s="367">
        <f t="shared" si="8"/>
        <v>-0.15923789060705348</v>
      </c>
      <c r="F85" s="362">
        <f t="shared" si="9"/>
        <v>-0.52917347910785295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51</v>
      </c>
      <c r="D86" s="369">
        <v>80</v>
      </c>
      <c r="E86" s="369">
        <f t="shared" si="8"/>
        <v>29</v>
      </c>
      <c r="F86" s="362">
        <f t="shared" si="9"/>
        <v>0.56862745098039214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607</v>
      </c>
      <c r="C87" s="372">
        <v>1.1555</v>
      </c>
      <c r="D87" s="372">
        <v>1.0314000000000001</v>
      </c>
      <c r="E87" s="373">
        <f t="shared" si="8"/>
        <v>-0.12409999999999988</v>
      </c>
      <c r="F87" s="362">
        <f t="shared" si="9"/>
        <v>-0.10739939420164421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608</v>
      </c>
      <c r="C88" s="376">
        <f>C86*C87</f>
        <v>58.930499999999995</v>
      </c>
      <c r="D88" s="376">
        <f>LN_IC4*LN_IC5</f>
        <v>82.512</v>
      </c>
      <c r="E88" s="376">
        <f t="shared" si="8"/>
        <v>23.581500000000005</v>
      </c>
      <c r="F88" s="362">
        <f t="shared" si="9"/>
        <v>0.40015781301702869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609</v>
      </c>
      <c r="C89" s="378">
        <f>IF(C88=0,0,C84/C88)</f>
        <v>3854.2520426604224</v>
      </c>
      <c r="D89" s="378">
        <f>IF(LN_IC6=0,0,LN_IC2/LN_IC6)</f>
        <v>6112.0806670544889</v>
      </c>
      <c r="E89" s="378">
        <f t="shared" si="8"/>
        <v>2257.8286243940665</v>
      </c>
      <c r="F89" s="362">
        <f t="shared" si="9"/>
        <v>0.58580201798001408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640</v>
      </c>
      <c r="C90" s="378">
        <f>C48-C89</f>
        <v>8980.5278010173733</v>
      </c>
      <c r="D90" s="378">
        <f>LN_IB7-LN_IC7</f>
        <v>9214.348010862821</v>
      </c>
      <c r="E90" s="378">
        <f t="shared" si="8"/>
        <v>233.82020984544761</v>
      </c>
      <c r="F90" s="362">
        <f t="shared" si="9"/>
        <v>2.6036354992293318E-2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641</v>
      </c>
      <c r="C91" s="378">
        <f>C21-C89</f>
        <v>146684.16886492728</v>
      </c>
      <c r="D91" s="378">
        <f>LN_IA7-LN_IC7</f>
        <v>206626.05175018474</v>
      </c>
      <c r="E91" s="378">
        <f t="shared" si="8"/>
        <v>59941.882885257452</v>
      </c>
      <c r="F91" s="362">
        <f t="shared" si="9"/>
        <v>0.40864589102627946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626</v>
      </c>
      <c r="C92" s="353">
        <f>C91*C88</f>
        <v>8644171.4132945966</v>
      </c>
      <c r="D92" s="353">
        <f>LN_IC9*LN_IC6</f>
        <v>17049128.782011244</v>
      </c>
      <c r="E92" s="353">
        <f t="shared" si="8"/>
        <v>8404957.3687166478</v>
      </c>
      <c r="F92" s="362">
        <f t="shared" si="9"/>
        <v>0.97232655009477931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147</v>
      </c>
      <c r="D93" s="369">
        <v>585</v>
      </c>
      <c r="E93" s="369">
        <f t="shared" si="8"/>
        <v>438</v>
      </c>
      <c r="F93" s="362">
        <f t="shared" si="9"/>
        <v>2.9795918367346941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610</v>
      </c>
      <c r="C94" s="411">
        <f>IF(C93=0,0,C84/C93)</f>
        <v>1545.1224489795918</v>
      </c>
      <c r="D94" s="411">
        <f>IF(LN_IC11=0,0,LN_IC2/LN_IC11)</f>
        <v>862.08547008547009</v>
      </c>
      <c r="E94" s="411">
        <f t="shared" si="8"/>
        <v>-683.03697889412172</v>
      </c>
      <c r="F94" s="362">
        <f t="shared" si="9"/>
        <v>-0.44206009649604372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611</v>
      </c>
      <c r="C95" s="379">
        <f>IF(C86=0,0,C93/C86)</f>
        <v>2.8823529411764706</v>
      </c>
      <c r="D95" s="379">
        <f>IF(LN_IC4=0,0,LN_IC11/LN_IC4)</f>
        <v>7.3125</v>
      </c>
      <c r="E95" s="379">
        <f t="shared" si="8"/>
        <v>4.430147058823529</v>
      </c>
      <c r="F95" s="362">
        <f t="shared" si="9"/>
        <v>1.5369897959183672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642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613</v>
      </c>
      <c r="C98" s="361">
        <v>2027044</v>
      </c>
      <c r="D98" s="361">
        <v>2077249</v>
      </c>
      <c r="E98" s="361">
        <f t="shared" ref="E98:E106" si="10">D98-C98</f>
        <v>50205</v>
      </c>
      <c r="F98" s="362">
        <f t="shared" ref="F98:F106" si="11">IF(C98=0,0,E98/C98)</f>
        <v>2.4767592612691191E-2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614</v>
      </c>
      <c r="C99" s="361">
        <v>609974</v>
      </c>
      <c r="D99" s="361">
        <v>761886</v>
      </c>
      <c r="E99" s="361">
        <f t="shared" si="10"/>
        <v>151912</v>
      </c>
      <c r="F99" s="362">
        <f t="shared" si="11"/>
        <v>0.24904668067819283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615</v>
      </c>
      <c r="C100" s="366">
        <f>IF(C98=0,0,C99/C98)</f>
        <v>0.30091798698005567</v>
      </c>
      <c r="D100" s="366">
        <f>IF(LN_IC14=0,0,LN_IC15/LN_IC14)</f>
        <v>0.36677644326703251</v>
      </c>
      <c r="E100" s="367">
        <f t="shared" si="10"/>
        <v>6.5858456286976841E-2</v>
      </c>
      <c r="F100" s="362">
        <f t="shared" si="11"/>
        <v>0.21885849014183997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616</v>
      </c>
      <c r="C101" s="366">
        <f>IF(C83=0,0,C98/C83)</f>
        <v>2.6855378908320087</v>
      </c>
      <c r="D101" s="366">
        <f>IF(LN_IC1=0,0,LN_IC14/LN_IC1)</f>
        <v>0.58356821690290805</v>
      </c>
      <c r="E101" s="367">
        <f t="shared" si="10"/>
        <v>-2.1019696739291005</v>
      </c>
      <c r="F101" s="362">
        <f t="shared" si="11"/>
        <v>-0.78269968973622916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617</v>
      </c>
      <c r="C102" s="376">
        <f>C101*C86</f>
        <v>136.96243243243245</v>
      </c>
      <c r="D102" s="376">
        <f>LN_IC17*LN_IC4</f>
        <v>46.685457352232646</v>
      </c>
      <c r="E102" s="376">
        <f t="shared" si="10"/>
        <v>-90.276975080199804</v>
      </c>
      <c r="F102" s="362">
        <f t="shared" si="11"/>
        <v>-0.65913676821369294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618</v>
      </c>
      <c r="C103" s="378">
        <f>IF(C102=0,0,C99/C102)</f>
        <v>4453.5862073048238</v>
      </c>
      <c r="D103" s="378">
        <f>IF(LN_IC18=0,0,LN_IC15/LN_IC18)</f>
        <v>16319.557378472682</v>
      </c>
      <c r="E103" s="378">
        <f t="shared" si="10"/>
        <v>11865.971171167857</v>
      </c>
      <c r="F103" s="362">
        <f t="shared" si="11"/>
        <v>2.6643631938021439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643</v>
      </c>
      <c r="C104" s="378">
        <f>C61-C103</f>
        <v>13009.603838139246</v>
      </c>
      <c r="D104" s="378">
        <f>LN_IB18-LN_IC19</f>
        <v>1712.9433138327931</v>
      </c>
      <c r="E104" s="378">
        <f t="shared" si="10"/>
        <v>-11296.660524306453</v>
      </c>
      <c r="F104" s="362">
        <f t="shared" si="11"/>
        <v>-0.86833240003734091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644</v>
      </c>
      <c r="C105" s="378">
        <f>C32-C103</f>
        <v>326082.78525248053</v>
      </c>
      <c r="D105" s="378">
        <f>LN_IA16-LN_IC19</f>
        <v>359052.11547422694</v>
      </c>
      <c r="E105" s="378">
        <f t="shared" si="10"/>
        <v>32969.330221746408</v>
      </c>
      <c r="F105" s="362">
        <f t="shared" si="11"/>
        <v>0.10110723936628178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629</v>
      </c>
      <c r="C106" s="361">
        <f>C105*C102</f>
        <v>44661091.442522243</v>
      </c>
      <c r="D106" s="361">
        <f>LN_IC21*LN_IC18</f>
        <v>16762512.224200934</v>
      </c>
      <c r="E106" s="361">
        <f t="shared" si="10"/>
        <v>-27898579.218321308</v>
      </c>
      <c r="F106" s="362">
        <f t="shared" si="11"/>
        <v>-0.62467302784631029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645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620</v>
      </c>
      <c r="C109" s="361">
        <f>C83+C98</f>
        <v>2781844</v>
      </c>
      <c r="D109" s="361">
        <f>LN_IC1+LN_IC14</f>
        <v>5636814</v>
      </c>
      <c r="E109" s="361">
        <f>D109-C109</f>
        <v>2854970</v>
      </c>
      <c r="F109" s="362">
        <f>IF(C109=0,0,E109/C109)</f>
        <v>1.0262868802132685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621</v>
      </c>
      <c r="C110" s="361">
        <f>C84+C99</f>
        <v>837107</v>
      </c>
      <c r="D110" s="361">
        <f>LN_IC2+LN_IC15</f>
        <v>1266206</v>
      </c>
      <c r="E110" s="361">
        <f>D110-C110</f>
        <v>429099</v>
      </c>
      <c r="F110" s="362">
        <f>IF(C110=0,0,E110/C110)</f>
        <v>0.51259755323990841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622</v>
      </c>
      <c r="C111" s="361">
        <f>C109-C110</f>
        <v>1944737</v>
      </c>
      <c r="D111" s="361">
        <f>LN_IC23-LN_IC24</f>
        <v>4370608</v>
      </c>
      <c r="E111" s="361">
        <f>D111-C111</f>
        <v>2425871</v>
      </c>
      <c r="F111" s="362">
        <f>IF(C111=0,0,E111/C111)</f>
        <v>1.2474031192906805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631</v>
      </c>
      <c r="C113" s="361">
        <f>C92+C106</f>
        <v>53305262.855816841</v>
      </c>
      <c r="D113" s="361">
        <f>LN_IC10+LN_IC22</f>
        <v>33811641.006212175</v>
      </c>
      <c r="E113" s="361">
        <f>D113-C113</f>
        <v>-19493621.849604666</v>
      </c>
      <c r="F113" s="362">
        <f>IF(C113=0,0,E113/C113)</f>
        <v>-0.36569788432208172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646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647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604</v>
      </c>
      <c r="C118" s="361">
        <v>105506414</v>
      </c>
      <c r="D118" s="361">
        <v>117977955</v>
      </c>
      <c r="E118" s="361">
        <f t="shared" ref="E118:E130" si="12">D118-C118</f>
        <v>12471541</v>
      </c>
      <c r="F118" s="362">
        <f t="shared" ref="F118:F130" si="13">IF(C118=0,0,E118/C118)</f>
        <v>0.11820647226243515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605</v>
      </c>
      <c r="C119" s="361">
        <v>39143893</v>
      </c>
      <c r="D119" s="361">
        <v>42896247</v>
      </c>
      <c r="E119" s="361">
        <f t="shared" si="12"/>
        <v>3752354</v>
      </c>
      <c r="F119" s="362">
        <f t="shared" si="13"/>
        <v>9.5860521588897657E-2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606</v>
      </c>
      <c r="C120" s="366">
        <f>IF(C118=0,0,C119/C118)</f>
        <v>0.37100960516011849</v>
      </c>
      <c r="D120" s="366">
        <f>IF(LN_ID1=0,0,LN_1D2/LN_ID1)</f>
        <v>0.36359544458962695</v>
      </c>
      <c r="E120" s="367">
        <f t="shared" si="12"/>
        <v>-7.4141605704915459E-3</v>
      </c>
      <c r="F120" s="362">
        <f t="shared" si="13"/>
        <v>-1.9983742920326224E-2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3255</v>
      </c>
      <c r="D121" s="369">
        <v>3644</v>
      </c>
      <c r="E121" s="369">
        <f t="shared" si="12"/>
        <v>389</v>
      </c>
      <c r="F121" s="362">
        <f t="shared" si="13"/>
        <v>0.11950844854070661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607</v>
      </c>
      <c r="C122" s="372">
        <v>1.3611</v>
      </c>
      <c r="D122" s="372">
        <v>1.2623</v>
      </c>
      <c r="E122" s="373">
        <f t="shared" si="12"/>
        <v>-9.8799999999999999E-2</v>
      </c>
      <c r="F122" s="362">
        <f t="shared" si="13"/>
        <v>-7.2588347659980901E-2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608</v>
      </c>
      <c r="C123" s="376">
        <f>C121*C122</f>
        <v>4430.3805000000002</v>
      </c>
      <c r="D123" s="376">
        <f>LN_ID4*LN_ID5</f>
        <v>4599.8212000000003</v>
      </c>
      <c r="E123" s="376">
        <f t="shared" si="12"/>
        <v>169.44070000000011</v>
      </c>
      <c r="F123" s="362">
        <f t="shared" si="13"/>
        <v>3.8245180069747982E-2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609</v>
      </c>
      <c r="C124" s="378">
        <f>IF(C123=0,0,C119/C123)</f>
        <v>8835.3343465645885</v>
      </c>
      <c r="D124" s="378">
        <f>IF(LN_ID6=0,0,LN_1D2/LN_ID6)</f>
        <v>9325.6335702787746</v>
      </c>
      <c r="E124" s="378">
        <f t="shared" si="12"/>
        <v>490.29922371418616</v>
      </c>
      <c r="F124" s="362">
        <f t="shared" si="13"/>
        <v>5.5493001677387278E-2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648</v>
      </c>
      <c r="C125" s="378">
        <f>C48-C124</f>
        <v>3999.4454971132072</v>
      </c>
      <c r="D125" s="378">
        <f>LN_IB7-LN_ID7</f>
        <v>6000.7951076385361</v>
      </c>
      <c r="E125" s="378">
        <f t="shared" si="12"/>
        <v>2001.3496105253289</v>
      </c>
      <c r="F125" s="362">
        <f t="shared" si="13"/>
        <v>0.50040677188122695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649</v>
      </c>
      <c r="C126" s="378">
        <f>C21-C124</f>
        <v>141703.08656102314</v>
      </c>
      <c r="D126" s="378">
        <f>LN_IA7-LN_ID7</f>
        <v>203412.49884696046</v>
      </c>
      <c r="E126" s="378">
        <f t="shared" si="12"/>
        <v>61709.412285937316</v>
      </c>
      <c r="F126" s="362">
        <f t="shared" si="13"/>
        <v>0.43548389653010644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626</v>
      </c>
      <c r="C127" s="391">
        <f>C126*C123</f>
        <v>627798591.48976898</v>
      </c>
      <c r="D127" s="391">
        <f>LN_ID9*LN_ID6</f>
        <v>935661124.54122436</v>
      </c>
      <c r="E127" s="391">
        <f t="shared" si="12"/>
        <v>307862533.05145538</v>
      </c>
      <c r="F127" s="362">
        <f t="shared" si="13"/>
        <v>0.49038423664012393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18909</v>
      </c>
      <c r="D128" s="369">
        <v>19338</v>
      </c>
      <c r="E128" s="369">
        <f t="shared" si="12"/>
        <v>429</v>
      </c>
      <c r="F128" s="362">
        <f t="shared" si="13"/>
        <v>2.2687609075043629E-2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610</v>
      </c>
      <c r="C129" s="378">
        <f>IF(C128=0,0,C119/C128)</f>
        <v>2070.1196784599924</v>
      </c>
      <c r="D129" s="378">
        <f>IF(LN_ID11=0,0,LN_1D2/LN_ID11)</f>
        <v>2218.2359602854485</v>
      </c>
      <c r="E129" s="378">
        <f t="shared" si="12"/>
        <v>148.1162818254561</v>
      </c>
      <c r="F129" s="362">
        <f t="shared" si="13"/>
        <v>7.1549622645799421E-2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611</v>
      </c>
      <c r="C130" s="379">
        <f>IF(C121=0,0,C128/C121)</f>
        <v>5.8092165898617507</v>
      </c>
      <c r="D130" s="379">
        <f>IF(LN_ID4=0,0,LN_ID11/LN_ID4)</f>
        <v>5.3068057080131723</v>
      </c>
      <c r="E130" s="379">
        <f t="shared" si="12"/>
        <v>-0.50241088184857841</v>
      </c>
      <c r="F130" s="362">
        <f t="shared" si="13"/>
        <v>-8.6485135142901418E-2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650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613</v>
      </c>
      <c r="C133" s="361">
        <v>62090860</v>
      </c>
      <c r="D133" s="361">
        <v>69990631</v>
      </c>
      <c r="E133" s="361">
        <f t="shared" ref="E133:E141" si="14">D133-C133</f>
        <v>7899771</v>
      </c>
      <c r="F133" s="362">
        <f t="shared" ref="F133:F141" si="15">IF(C133=0,0,E133/C133)</f>
        <v>0.12722920893670986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614</v>
      </c>
      <c r="C134" s="361">
        <v>20476793</v>
      </c>
      <c r="D134" s="361">
        <v>22828307</v>
      </c>
      <c r="E134" s="361">
        <f t="shared" si="14"/>
        <v>2351514</v>
      </c>
      <c r="F134" s="362">
        <f t="shared" si="15"/>
        <v>0.11483800222036722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615</v>
      </c>
      <c r="C135" s="366">
        <f>IF(C133=0,0,C134/C133)</f>
        <v>0.32978755649382213</v>
      </c>
      <c r="D135" s="366">
        <f>IF(LN_ID14=0,0,LN_ID15/LN_ID14)</f>
        <v>0.32616232592616573</v>
      </c>
      <c r="E135" s="367">
        <f t="shared" si="14"/>
        <v>-3.6252305676564012E-3</v>
      </c>
      <c r="F135" s="362">
        <f t="shared" si="15"/>
        <v>-1.0992623876408484E-2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616</v>
      </c>
      <c r="C136" s="366">
        <f>IF(C118=0,0,C133/C118)</f>
        <v>0.58850317858400536</v>
      </c>
      <c r="D136" s="366">
        <f>IF(LN_ID1=0,0,LN_ID14/LN_ID1)</f>
        <v>0.59325177318084554</v>
      </c>
      <c r="E136" s="367">
        <f t="shared" si="14"/>
        <v>4.7485945968401833E-3</v>
      </c>
      <c r="F136" s="362">
        <f t="shared" si="15"/>
        <v>8.0689361920962838E-3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617</v>
      </c>
      <c r="C137" s="376">
        <f>C136*C121</f>
        <v>1915.5778462909375</v>
      </c>
      <c r="D137" s="376">
        <f>LN_ID17*LN_ID4</f>
        <v>2161.8094614710012</v>
      </c>
      <c r="E137" s="376">
        <f t="shared" si="14"/>
        <v>246.23161518006373</v>
      </c>
      <c r="F137" s="362">
        <f t="shared" si="15"/>
        <v>0.12854169077849428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618</v>
      </c>
      <c r="C138" s="378">
        <f>IF(C137=0,0,C134/C137)</f>
        <v>10689.616733482513</v>
      </c>
      <c r="D138" s="378">
        <f>IF(LN_ID18=0,0,LN_ID15/LN_ID18)</f>
        <v>10559.814547423852</v>
      </c>
      <c r="E138" s="378">
        <f t="shared" si="14"/>
        <v>-129.80218605866139</v>
      </c>
      <c r="F138" s="362">
        <f t="shared" si="15"/>
        <v>-1.2142828811821566E-2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651</v>
      </c>
      <c r="C139" s="378">
        <f>C61-C138</f>
        <v>6773.5733119615561</v>
      </c>
      <c r="D139" s="378">
        <f>LN_IB18-LN_ID19</f>
        <v>7472.6861448816235</v>
      </c>
      <c r="E139" s="378">
        <f t="shared" si="14"/>
        <v>699.11283292006738</v>
      </c>
      <c r="F139" s="362">
        <f t="shared" si="15"/>
        <v>0.10321182051510291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652</v>
      </c>
      <c r="C140" s="378">
        <f>C32-C138</f>
        <v>319846.75472630287</v>
      </c>
      <c r="D140" s="378">
        <f>LN_IA16-LN_ID19</f>
        <v>364811.85830527579</v>
      </c>
      <c r="E140" s="378">
        <f t="shared" si="14"/>
        <v>44965.103578972921</v>
      </c>
      <c r="F140" s="362">
        <f t="shared" si="15"/>
        <v>0.14058327281591509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629</v>
      </c>
      <c r="C141" s="353">
        <f>C140*C137</f>
        <v>612691357.56175697</v>
      </c>
      <c r="D141" s="353">
        <f>LN_ID21*LN_ID18</f>
        <v>788653726.94116342</v>
      </c>
      <c r="E141" s="353">
        <f t="shared" si="14"/>
        <v>175962369.37940645</v>
      </c>
      <c r="F141" s="362">
        <f t="shared" si="15"/>
        <v>0.28719577517734141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653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620</v>
      </c>
      <c r="C144" s="361">
        <f>C118+C133</f>
        <v>167597274</v>
      </c>
      <c r="D144" s="361">
        <f>LN_ID1+LN_ID14</f>
        <v>187968586</v>
      </c>
      <c r="E144" s="361">
        <f>D144-C144</f>
        <v>20371312</v>
      </c>
      <c r="F144" s="362">
        <f>IF(C144=0,0,E144/C144)</f>
        <v>0.12154918462456615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621</v>
      </c>
      <c r="C145" s="361">
        <f>C119+C134</f>
        <v>59620686</v>
      </c>
      <c r="D145" s="361">
        <f>LN_1D2+LN_ID15</f>
        <v>65724554</v>
      </c>
      <c r="E145" s="361">
        <f>D145-C145</f>
        <v>6103868</v>
      </c>
      <c r="F145" s="362">
        <f>IF(C145=0,0,E145/C145)</f>
        <v>0.10237835908161137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622</v>
      </c>
      <c r="C146" s="361">
        <f>C144-C145</f>
        <v>107976588</v>
      </c>
      <c r="D146" s="361">
        <f>LN_ID23-LN_ID24</f>
        <v>122244032</v>
      </c>
      <c r="E146" s="361">
        <f>D146-C146</f>
        <v>14267444</v>
      </c>
      <c r="F146" s="362">
        <f>IF(C146=0,0,E146/C146)</f>
        <v>0.13213460680939465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631</v>
      </c>
      <c r="C148" s="361">
        <f>C127+C141</f>
        <v>1240489949.0515261</v>
      </c>
      <c r="D148" s="361">
        <f>LN_ID10+LN_ID22</f>
        <v>1724314851.4823878</v>
      </c>
      <c r="E148" s="361">
        <f>D148-C148</f>
        <v>483824902.43086171</v>
      </c>
      <c r="F148" s="415">
        <f>IF(C148=0,0,E148/C148)</f>
        <v>0.39002726527594389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654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655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604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605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606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607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608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609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656</v>
      </c>
      <c r="C160" s="378">
        <f>C48-C159</f>
        <v>12834.779843677796</v>
      </c>
      <c r="D160" s="378">
        <f>LN_IB7-LN_IE7</f>
        <v>15326.428677917311</v>
      </c>
      <c r="E160" s="378">
        <f t="shared" si="16"/>
        <v>2491.6488342395151</v>
      </c>
      <c r="F160" s="362">
        <f t="shared" si="17"/>
        <v>0.19413257294528982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657</v>
      </c>
      <c r="C161" s="378">
        <f>C21-C159</f>
        <v>150538.42090758772</v>
      </c>
      <c r="D161" s="378">
        <f>LN_IA7-LN_IE7</f>
        <v>212738.13241723922</v>
      </c>
      <c r="E161" s="378">
        <f t="shared" si="16"/>
        <v>62199.711509651504</v>
      </c>
      <c r="F161" s="362">
        <f t="shared" si="17"/>
        <v>0.41318163917658313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626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610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611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658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613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614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615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616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617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618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659</v>
      </c>
      <c r="C174" s="378">
        <f>C61-C173</f>
        <v>17463.190045444069</v>
      </c>
      <c r="D174" s="378">
        <f>LN_IB18-LN_IE19</f>
        <v>18032.500692305475</v>
      </c>
      <c r="E174" s="378">
        <f t="shared" si="18"/>
        <v>569.31064686140598</v>
      </c>
      <c r="F174" s="362">
        <f t="shared" si="19"/>
        <v>3.2600609933231078E-2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660</v>
      </c>
      <c r="C175" s="378">
        <f>C32-C173</f>
        <v>330536.37145978538</v>
      </c>
      <c r="D175" s="378">
        <f>LN_IA16-LN_IE19</f>
        <v>375371.67285269964</v>
      </c>
      <c r="E175" s="378">
        <f t="shared" si="18"/>
        <v>44835.301392914262</v>
      </c>
      <c r="F175" s="362">
        <f t="shared" si="19"/>
        <v>0.13564407812339385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629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661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620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621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622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662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663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664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604</v>
      </c>
      <c r="C188" s="361">
        <f>C118+C153</f>
        <v>105506414</v>
      </c>
      <c r="D188" s="361">
        <f>LN_ID1+LN_IE1</f>
        <v>117977955</v>
      </c>
      <c r="E188" s="361">
        <f t="shared" ref="E188:E200" si="20">D188-C188</f>
        <v>12471541</v>
      </c>
      <c r="F188" s="362">
        <f t="shared" ref="F188:F200" si="21">IF(C188=0,0,E188/C188)</f>
        <v>0.11820647226243515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605</v>
      </c>
      <c r="C189" s="361">
        <f>C119+C154</f>
        <v>39143893</v>
      </c>
      <c r="D189" s="361">
        <f>LN_1D2+LN_IE2</f>
        <v>42896247</v>
      </c>
      <c r="E189" s="361">
        <f t="shared" si="20"/>
        <v>3752354</v>
      </c>
      <c r="F189" s="362">
        <f t="shared" si="21"/>
        <v>9.5860521588897657E-2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606</v>
      </c>
      <c r="C190" s="366">
        <f>IF(C188=0,0,C189/C188)</f>
        <v>0.37100960516011849</v>
      </c>
      <c r="D190" s="366">
        <f>IF(LN_IF1=0,0,LN_IF2/LN_IF1)</f>
        <v>0.36359544458962695</v>
      </c>
      <c r="E190" s="367">
        <f t="shared" si="20"/>
        <v>-7.4141605704915459E-3</v>
      </c>
      <c r="F190" s="362">
        <f t="shared" si="21"/>
        <v>-1.9983742920326224E-2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3255</v>
      </c>
      <c r="D191" s="369">
        <f>LN_ID4+LN_IE4</f>
        <v>3644</v>
      </c>
      <c r="E191" s="369">
        <f t="shared" si="20"/>
        <v>389</v>
      </c>
      <c r="F191" s="362">
        <f t="shared" si="21"/>
        <v>0.11950844854070661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607</v>
      </c>
      <c r="C192" s="372">
        <f>IF((C121+C156)=0,0,(C123+C158)/(C121+C156))</f>
        <v>1.3611</v>
      </c>
      <c r="D192" s="372">
        <f>IF((LN_ID4+LN_IE4)=0,0,(LN_ID6+LN_IE6)/(LN_ID4+LN_IE4))</f>
        <v>1.2623</v>
      </c>
      <c r="E192" s="373">
        <f t="shared" si="20"/>
        <v>-9.8799999999999999E-2</v>
      </c>
      <c r="F192" s="362">
        <f t="shared" si="21"/>
        <v>-7.2588347659980901E-2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608</v>
      </c>
      <c r="C193" s="376">
        <f>C123+C158</f>
        <v>4430.3805000000002</v>
      </c>
      <c r="D193" s="376">
        <f>LN_IF4*LN_IF5</f>
        <v>4599.8212000000003</v>
      </c>
      <c r="E193" s="376">
        <f t="shared" si="20"/>
        <v>169.44070000000011</v>
      </c>
      <c r="F193" s="362">
        <f t="shared" si="21"/>
        <v>3.8245180069747982E-2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609</v>
      </c>
      <c r="C194" s="378">
        <f>IF(C193=0,0,C189/C193)</f>
        <v>8835.3343465645885</v>
      </c>
      <c r="D194" s="378">
        <f>IF(LN_IF6=0,0,LN_IF2/LN_IF6)</f>
        <v>9325.6335702787746</v>
      </c>
      <c r="E194" s="378">
        <f t="shared" si="20"/>
        <v>490.29922371418616</v>
      </c>
      <c r="F194" s="362">
        <f t="shared" si="21"/>
        <v>5.5493001677387278E-2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665</v>
      </c>
      <c r="C195" s="378">
        <f>C48-C194</f>
        <v>3999.4454971132072</v>
      </c>
      <c r="D195" s="378">
        <f>LN_IB7-LN_IF7</f>
        <v>6000.7951076385361</v>
      </c>
      <c r="E195" s="378">
        <f t="shared" si="20"/>
        <v>2001.3496105253289</v>
      </c>
      <c r="F195" s="362">
        <f t="shared" si="21"/>
        <v>0.50040677188122695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666</v>
      </c>
      <c r="C196" s="378">
        <f>C21-C194</f>
        <v>141703.08656102314</v>
      </c>
      <c r="D196" s="378">
        <f>LN_IA7-LN_IF7</f>
        <v>203412.49884696046</v>
      </c>
      <c r="E196" s="378">
        <f t="shared" si="20"/>
        <v>61709.412285937316</v>
      </c>
      <c r="F196" s="362">
        <f t="shared" si="21"/>
        <v>0.43548389653010644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626</v>
      </c>
      <c r="C197" s="391">
        <f>C127+C162</f>
        <v>627798591.48976898</v>
      </c>
      <c r="D197" s="391">
        <f>LN_IF9*LN_IF6</f>
        <v>935661124.54122436</v>
      </c>
      <c r="E197" s="391">
        <f t="shared" si="20"/>
        <v>307862533.05145538</v>
      </c>
      <c r="F197" s="362">
        <f t="shared" si="21"/>
        <v>0.49038423664012393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18909</v>
      </c>
      <c r="D198" s="369">
        <f>LN_ID11+LN_IE11</f>
        <v>19338</v>
      </c>
      <c r="E198" s="369">
        <f t="shared" si="20"/>
        <v>429</v>
      </c>
      <c r="F198" s="362">
        <f t="shared" si="21"/>
        <v>2.2687609075043629E-2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610</v>
      </c>
      <c r="C199" s="432">
        <f>IF(C198=0,0,C189/C198)</f>
        <v>2070.1196784599924</v>
      </c>
      <c r="D199" s="432">
        <f>IF(LN_IF11=0,0,LN_IF2/LN_IF11)</f>
        <v>2218.2359602854485</v>
      </c>
      <c r="E199" s="432">
        <f t="shared" si="20"/>
        <v>148.1162818254561</v>
      </c>
      <c r="F199" s="362">
        <f t="shared" si="21"/>
        <v>7.1549622645799421E-2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611</v>
      </c>
      <c r="C200" s="379">
        <f>IF(C191=0,0,C198/C191)</f>
        <v>5.8092165898617507</v>
      </c>
      <c r="D200" s="379">
        <f>IF(LN_IF4=0,0,LN_IF11/LN_IF4)</f>
        <v>5.3068057080131723</v>
      </c>
      <c r="E200" s="379">
        <f t="shared" si="20"/>
        <v>-0.50241088184857841</v>
      </c>
      <c r="F200" s="362">
        <f t="shared" si="21"/>
        <v>-8.6485135142901418E-2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667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613</v>
      </c>
      <c r="C203" s="361">
        <f>C133+C168</f>
        <v>62090860</v>
      </c>
      <c r="D203" s="361">
        <f>LN_ID14+LN_IE14</f>
        <v>69990631</v>
      </c>
      <c r="E203" s="361">
        <f t="shared" ref="E203:E211" si="22">D203-C203</f>
        <v>7899771</v>
      </c>
      <c r="F203" s="362">
        <f t="shared" ref="F203:F211" si="23">IF(C203=0,0,E203/C203)</f>
        <v>0.12722920893670986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614</v>
      </c>
      <c r="C204" s="361">
        <f>C134+C169</f>
        <v>20476793</v>
      </c>
      <c r="D204" s="361">
        <f>LN_ID15+LN_IE15</f>
        <v>22828307</v>
      </c>
      <c r="E204" s="361">
        <f t="shared" si="22"/>
        <v>2351514</v>
      </c>
      <c r="F204" s="362">
        <f t="shared" si="23"/>
        <v>0.11483800222036722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615</v>
      </c>
      <c r="C205" s="366">
        <f>IF(C203=0,0,C204/C203)</f>
        <v>0.32978755649382213</v>
      </c>
      <c r="D205" s="366">
        <f>IF(LN_IF14=0,0,LN_IF15/LN_IF14)</f>
        <v>0.32616232592616573</v>
      </c>
      <c r="E205" s="367">
        <f t="shared" si="22"/>
        <v>-3.6252305676564012E-3</v>
      </c>
      <c r="F205" s="362">
        <f t="shared" si="23"/>
        <v>-1.0992623876408484E-2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616</v>
      </c>
      <c r="C206" s="366">
        <f>IF(C188=0,0,C203/C188)</f>
        <v>0.58850317858400536</v>
      </c>
      <c r="D206" s="366">
        <f>IF(LN_IF1=0,0,LN_IF14/LN_IF1)</f>
        <v>0.59325177318084554</v>
      </c>
      <c r="E206" s="367">
        <f t="shared" si="22"/>
        <v>4.7485945968401833E-3</v>
      </c>
      <c r="F206" s="362">
        <f t="shared" si="23"/>
        <v>8.0689361920962838E-3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617</v>
      </c>
      <c r="C207" s="376">
        <f>C137+C172</f>
        <v>1915.5778462909375</v>
      </c>
      <c r="D207" s="376">
        <f>LN_ID18+LN_IE18</f>
        <v>2161.8094614710012</v>
      </c>
      <c r="E207" s="376">
        <f t="shared" si="22"/>
        <v>246.23161518006373</v>
      </c>
      <c r="F207" s="362">
        <f t="shared" si="23"/>
        <v>0.12854169077849428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618</v>
      </c>
      <c r="C208" s="378">
        <f>IF(C207=0,0,C204/C207)</f>
        <v>10689.616733482513</v>
      </c>
      <c r="D208" s="378">
        <f>IF(LN_IF18=0,0,LN_IF15/LN_IF18)</f>
        <v>10559.814547423852</v>
      </c>
      <c r="E208" s="378">
        <f t="shared" si="22"/>
        <v>-129.80218605866139</v>
      </c>
      <c r="F208" s="362">
        <f t="shared" si="23"/>
        <v>-1.2142828811821566E-2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668</v>
      </c>
      <c r="C209" s="378">
        <f>C61-C208</f>
        <v>6773.5733119615561</v>
      </c>
      <c r="D209" s="378">
        <f>LN_IB18-LN_IF19</f>
        <v>7472.6861448816235</v>
      </c>
      <c r="E209" s="378">
        <f t="shared" si="22"/>
        <v>699.11283292006738</v>
      </c>
      <c r="F209" s="362">
        <f t="shared" si="23"/>
        <v>0.10321182051510291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669</v>
      </c>
      <c r="C210" s="378">
        <f>C32-C208</f>
        <v>319846.75472630287</v>
      </c>
      <c r="D210" s="378">
        <f>LN_IA16-LN_IF19</f>
        <v>364811.85830527579</v>
      </c>
      <c r="E210" s="378">
        <f t="shared" si="22"/>
        <v>44965.103578972921</v>
      </c>
      <c r="F210" s="362">
        <f t="shared" si="23"/>
        <v>0.14058327281591509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629</v>
      </c>
      <c r="C211" s="391">
        <f>C141+C176</f>
        <v>612691357.56175697</v>
      </c>
      <c r="D211" s="353">
        <f>LN_IF21*LN_IF18</f>
        <v>788653726.94116342</v>
      </c>
      <c r="E211" s="353">
        <f t="shared" si="22"/>
        <v>175962369.37940645</v>
      </c>
      <c r="F211" s="362">
        <f t="shared" si="23"/>
        <v>0.28719577517734141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670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620</v>
      </c>
      <c r="C214" s="361">
        <f>C188+C203</f>
        <v>167597274</v>
      </c>
      <c r="D214" s="361">
        <f>LN_IF1+LN_IF14</f>
        <v>187968586</v>
      </c>
      <c r="E214" s="361">
        <f>D214-C214</f>
        <v>20371312</v>
      </c>
      <c r="F214" s="362">
        <f>IF(C214=0,0,E214/C214)</f>
        <v>0.12154918462456615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621</v>
      </c>
      <c r="C215" s="361">
        <f>C189+C204</f>
        <v>59620686</v>
      </c>
      <c r="D215" s="361">
        <f>LN_IF2+LN_IF15</f>
        <v>65724554</v>
      </c>
      <c r="E215" s="361">
        <f>D215-C215</f>
        <v>6103868</v>
      </c>
      <c r="F215" s="362">
        <f>IF(C215=0,0,E215/C215)</f>
        <v>0.10237835908161137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622</v>
      </c>
      <c r="C216" s="361">
        <f>C214-C215</f>
        <v>107976588</v>
      </c>
      <c r="D216" s="361">
        <f>LN_IF23-LN_IF24</f>
        <v>122244032</v>
      </c>
      <c r="E216" s="361">
        <f>D216-C216</f>
        <v>14267444</v>
      </c>
      <c r="F216" s="362">
        <f>IF(C216=0,0,E216/C216)</f>
        <v>0.13213460680939465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671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672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604</v>
      </c>
      <c r="C221" s="361">
        <v>457574</v>
      </c>
      <c r="D221" s="361">
        <v>876816</v>
      </c>
      <c r="E221" s="361">
        <f t="shared" ref="E221:E230" si="24">D221-C221</f>
        <v>419242</v>
      </c>
      <c r="F221" s="362">
        <f t="shared" ref="F221:F230" si="25">IF(C221=0,0,E221/C221)</f>
        <v>0.91622775769602294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605</v>
      </c>
      <c r="C222" s="361">
        <v>76422</v>
      </c>
      <c r="D222" s="361">
        <v>326298</v>
      </c>
      <c r="E222" s="361">
        <f t="shared" si="24"/>
        <v>249876</v>
      </c>
      <c r="F222" s="362">
        <f t="shared" si="25"/>
        <v>3.2696867394205857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606</v>
      </c>
      <c r="C223" s="366">
        <f>IF(C221=0,0,C222/C221)</f>
        <v>0.16701560840432367</v>
      </c>
      <c r="D223" s="366">
        <f>IF(LN_IG1=0,0,LN_IG2/LN_IG1)</f>
        <v>0.37213965073630045</v>
      </c>
      <c r="E223" s="367">
        <f t="shared" si="24"/>
        <v>0.20512404233197679</v>
      </c>
      <c r="F223" s="362">
        <f t="shared" si="25"/>
        <v>1.2281728892990493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31</v>
      </c>
      <c r="D224" s="369">
        <v>38</v>
      </c>
      <c r="E224" s="369">
        <f t="shared" si="24"/>
        <v>7</v>
      </c>
      <c r="F224" s="362">
        <f t="shared" si="25"/>
        <v>0.22580645161290322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607</v>
      </c>
      <c r="C225" s="372">
        <v>0.94550000000000001</v>
      </c>
      <c r="D225" s="372">
        <v>1.1345000000000001</v>
      </c>
      <c r="E225" s="373">
        <f t="shared" si="24"/>
        <v>0.18900000000000006</v>
      </c>
      <c r="F225" s="362">
        <f t="shared" si="25"/>
        <v>0.19989423585404553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608</v>
      </c>
      <c r="C226" s="376">
        <f>C224*C225</f>
        <v>29.310500000000001</v>
      </c>
      <c r="D226" s="376">
        <f>LN_IG3*LN_IG4</f>
        <v>43.111000000000004</v>
      </c>
      <c r="E226" s="376">
        <f t="shared" si="24"/>
        <v>13.800500000000003</v>
      </c>
      <c r="F226" s="362">
        <f t="shared" si="25"/>
        <v>0.47083809556302358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609</v>
      </c>
      <c r="C227" s="378">
        <f>IF(C226=0,0,C222/C226)</f>
        <v>2607.3250200440116</v>
      </c>
      <c r="D227" s="378">
        <f>IF(LN_IG5=0,0,LN_IG2/LN_IG5)</f>
        <v>7568.7875484215156</v>
      </c>
      <c r="E227" s="378">
        <f t="shared" si="24"/>
        <v>4961.462528377504</v>
      </c>
      <c r="F227" s="362">
        <f t="shared" si="25"/>
        <v>1.9028937666903356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98</v>
      </c>
      <c r="D228" s="369">
        <v>140</v>
      </c>
      <c r="E228" s="369">
        <f t="shared" si="24"/>
        <v>42</v>
      </c>
      <c r="F228" s="362">
        <f t="shared" si="25"/>
        <v>0.42857142857142855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610</v>
      </c>
      <c r="C229" s="378">
        <f>IF(C228=0,0,C222/C228)</f>
        <v>779.81632653061229</v>
      </c>
      <c r="D229" s="378">
        <f>IF(LN_IG6=0,0,LN_IG2/LN_IG6)</f>
        <v>2330.6999999999998</v>
      </c>
      <c r="E229" s="378">
        <f t="shared" si="24"/>
        <v>1550.8836734693875</v>
      </c>
      <c r="F229" s="362">
        <f t="shared" si="25"/>
        <v>1.9887807175944097</v>
      </c>
      <c r="Q229" s="330"/>
      <c r="U229" s="375"/>
    </row>
    <row r="230" spans="1:21" ht="11.25" customHeight="1" x14ac:dyDescent="0.2">
      <c r="A230" s="364">
        <v>10</v>
      </c>
      <c r="B230" s="360" t="s">
        <v>611</v>
      </c>
      <c r="C230" s="379">
        <f>IF(C224=0,0,C228/C224)</f>
        <v>3.161290322580645</v>
      </c>
      <c r="D230" s="379">
        <f>IF(LN_IG3=0,0,LN_IG6/LN_IG3)</f>
        <v>3.6842105263157894</v>
      </c>
      <c r="E230" s="379">
        <f t="shared" si="24"/>
        <v>0.52292020373514436</v>
      </c>
      <c r="F230" s="362">
        <f t="shared" si="25"/>
        <v>0.16541353383458648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673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613</v>
      </c>
      <c r="C233" s="361">
        <v>637881</v>
      </c>
      <c r="D233" s="361">
        <v>680464</v>
      </c>
      <c r="E233" s="361">
        <f>D233-C233</f>
        <v>42583</v>
      </c>
      <c r="F233" s="362">
        <f>IF(C233=0,0,E233/C233)</f>
        <v>6.6756965640926758E-2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614</v>
      </c>
      <c r="C234" s="361">
        <v>351959</v>
      </c>
      <c r="D234" s="361">
        <v>370211</v>
      </c>
      <c r="E234" s="361">
        <f>D234-C234</f>
        <v>18252</v>
      </c>
      <c r="F234" s="362">
        <f>IF(C234=0,0,E234/C234)</f>
        <v>5.1858313042144111E-2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674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620</v>
      </c>
      <c r="C237" s="361">
        <f>C221+C233</f>
        <v>1095455</v>
      </c>
      <c r="D237" s="361">
        <f>LN_IG1+LN_IG9</f>
        <v>1557280</v>
      </c>
      <c r="E237" s="361">
        <f>D237-C237</f>
        <v>461825</v>
      </c>
      <c r="F237" s="362">
        <f>IF(C237=0,0,E237/C237)</f>
        <v>0.42158281262123959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621</v>
      </c>
      <c r="C238" s="361">
        <f>C222+C234</f>
        <v>428381</v>
      </c>
      <c r="D238" s="361">
        <f>LN_IG2+LN_IG10</f>
        <v>696509</v>
      </c>
      <c r="E238" s="361">
        <f>D238-C238</f>
        <v>268128</v>
      </c>
      <c r="F238" s="362">
        <f>IF(C238=0,0,E238/C238)</f>
        <v>0.6259101127267549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622</v>
      </c>
      <c r="C239" s="361">
        <f>C237-C238</f>
        <v>667074</v>
      </c>
      <c r="D239" s="361">
        <f>LN_IG13-LN_IG14</f>
        <v>860771</v>
      </c>
      <c r="E239" s="361">
        <f>D239-C239</f>
        <v>193697</v>
      </c>
      <c r="F239" s="362">
        <f>IF(C239=0,0,E239/C239)</f>
        <v>0.29036808510000389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675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676</v>
      </c>
      <c r="C243" s="361">
        <v>30958808</v>
      </c>
      <c r="D243" s="361">
        <v>24648825</v>
      </c>
      <c r="E243" s="353">
        <f>D243-C243</f>
        <v>-6309983</v>
      </c>
      <c r="F243" s="415">
        <f>IF(C243=0,0,E243/C243)</f>
        <v>-0.20381866769547458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677</v>
      </c>
      <c r="C244" s="361">
        <v>185535330</v>
      </c>
      <c r="D244" s="361">
        <v>200115623</v>
      </c>
      <c r="E244" s="353">
        <f>D244-C244</f>
        <v>14580293</v>
      </c>
      <c r="F244" s="415">
        <f>IF(C244=0,0,E244/C244)</f>
        <v>7.85849951057839E-2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678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679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680</v>
      </c>
      <c r="C248" s="353">
        <v>442542</v>
      </c>
      <c r="D248" s="353">
        <v>1326729</v>
      </c>
      <c r="E248" s="353">
        <f>D248-C248</f>
        <v>884187</v>
      </c>
      <c r="F248" s="362">
        <f>IF(C248=0,0,E248/C248)</f>
        <v>1.9979730737421533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681</v>
      </c>
      <c r="C249" s="353">
        <v>3808276</v>
      </c>
      <c r="D249" s="353">
        <v>3302352</v>
      </c>
      <c r="E249" s="353">
        <f>D249-C249</f>
        <v>-505924</v>
      </c>
      <c r="F249" s="362">
        <f>IF(C249=0,0,E249/C249)</f>
        <v>-0.13284856454731747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682</v>
      </c>
      <c r="C250" s="353">
        <f>C248+C249</f>
        <v>4250818</v>
      </c>
      <c r="D250" s="353">
        <f>LN_IH4+LN_IH5</f>
        <v>4629081</v>
      </c>
      <c r="E250" s="353">
        <f>D250-C250</f>
        <v>378263</v>
      </c>
      <c r="F250" s="362">
        <f>IF(C250=0,0,E250/C250)</f>
        <v>8.8985931648920283E-2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683</v>
      </c>
      <c r="C251" s="353">
        <f>C250*C313</f>
        <v>1967883.5343117395</v>
      </c>
      <c r="D251" s="353">
        <f>LN_IH6*LN_III10</f>
        <v>2222996.6157112326</v>
      </c>
      <c r="E251" s="353">
        <f>D251-C251</f>
        <v>255113.08139949315</v>
      </c>
      <c r="F251" s="362">
        <f>IF(C251=0,0,E251/C251)</f>
        <v>0.12963830275083738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684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620</v>
      </c>
      <c r="C254" s="353">
        <f>C188+C203</f>
        <v>167597274</v>
      </c>
      <c r="D254" s="353">
        <f>LN_IF23</f>
        <v>187968586</v>
      </c>
      <c r="E254" s="353">
        <f>D254-C254</f>
        <v>20371312</v>
      </c>
      <c r="F254" s="362">
        <f>IF(C254=0,0,E254/C254)</f>
        <v>0.12154918462456615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621</v>
      </c>
      <c r="C255" s="353">
        <f>C189+C204</f>
        <v>59620686</v>
      </c>
      <c r="D255" s="353">
        <f>LN_IF24</f>
        <v>65724554</v>
      </c>
      <c r="E255" s="353">
        <f>D255-C255</f>
        <v>6103868</v>
      </c>
      <c r="F255" s="362">
        <f>IF(C255=0,0,E255/C255)</f>
        <v>0.10237835908161137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685</v>
      </c>
      <c r="C256" s="353">
        <f>C254*C313</f>
        <v>77587870.358160004</v>
      </c>
      <c r="D256" s="353">
        <f>LN_IH8*LN_III10</f>
        <v>90267059.603844866</v>
      </c>
      <c r="E256" s="353">
        <f>D256-C256</f>
        <v>12679189.245684862</v>
      </c>
      <c r="F256" s="362">
        <f>IF(C256=0,0,E256/C256)</f>
        <v>0.16341715769688447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686</v>
      </c>
      <c r="C257" s="353">
        <f>C256-C255</f>
        <v>17967184.358160004</v>
      </c>
      <c r="D257" s="353">
        <f>LN_IH10-LN_IH9</f>
        <v>24542505.603844866</v>
      </c>
      <c r="E257" s="353">
        <f>D257-C257</f>
        <v>6575321.2456848621</v>
      </c>
      <c r="F257" s="362">
        <f>IF(C257=0,0,E257/C257)</f>
        <v>0.3659628083405625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687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688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689</v>
      </c>
      <c r="C261" s="361">
        <f>C15+C42+C188+C221</f>
        <v>204105825</v>
      </c>
      <c r="D261" s="361">
        <f>LN_IA1+LN_IB1+LN_IF1+LN_IG1</f>
        <v>222948277</v>
      </c>
      <c r="E261" s="361">
        <f t="shared" ref="E261:E274" si="26">D261-C261</f>
        <v>18842452</v>
      </c>
      <c r="F261" s="415">
        <f t="shared" ref="F261:F274" si="27">IF(C261=0,0,E261/C261)</f>
        <v>9.2317071303574999E-2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690</v>
      </c>
      <c r="C262" s="361">
        <f>C16+C43+C189+C222</f>
        <v>98836097</v>
      </c>
      <c r="D262" s="361">
        <f>+LN_IA2+LN_IB2+LN_IF2+LN_IG2</f>
        <v>112836644</v>
      </c>
      <c r="E262" s="361">
        <f t="shared" si="26"/>
        <v>14000547</v>
      </c>
      <c r="F262" s="415">
        <f t="shared" si="27"/>
        <v>0.14165418733602966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691</v>
      </c>
      <c r="C263" s="366">
        <f>IF(C261=0,0,C262/C261)</f>
        <v>0.48423947234234987</v>
      </c>
      <c r="D263" s="366">
        <f>IF(LN_IIA1=0,0,LN_IIA2/LN_IIA1)</f>
        <v>0.50611130760162815</v>
      </c>
      <c r="E263" s="367">
        <f t="shared" si="26"/>
        <v>2.1871835259278272E-2</v>
      </c>
      <c r="F263" s="371">
        <f t="shared" si="27"/>
        <v>4.5167394457705873E-2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692</v>
      </c>
      <c r="C264" s="369">
        <f>C18+C45+C191+C224</f>
        <v>6359</v>
      </c>
      <c r="D264" s="369">
        <f>LN_IA4+LN_IB4+LN_IF4+LN_IG3</f>
        <v>6800</v>
      </c>
      <c r="E264" s="369">
        <f t="shared" si="26"/>
        <v>441</v>
      </c>
      <c r="F264" s="415">
        <f t="shared" si="27"/>
        <v>6.9350526812391886E-2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693</v>
      </c>
      <c r="C265" s="439">
        <f>IF(C264=0,0,C266/C264)</f>
        <v>1.402371536405095</v>
      </c>
      <c r="D265" s="439">
        <f>IF(LN_IIA4=0,0,LN_IIA6/LN_IIA4)</f>
        <v>1.3240525000000001</v>
      </c>
      <c r="E265" s="439">
        <f t="shared" si="26"/>
        <v>-7.8319036405094966E-2</v>
      </c>
      <c r="F265" s="415">
        <f t="shared" si="27"/>
        <v>-5.5847565621491187E-2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694</v>
      </c>
      <c r="C266" s="376">
        <f>C20+C47+C193+C226</f>
        <v>8917.6805999999997</v>
      </c>
      <c r="D266" s="376">
        <f>LN_IA6+LN_IB6+LN_IF6+LN_IG5</f>
        <v>9003.5570000000007</v>
      </c>
      <c r="E266" s="376">
        <f t="shared" si="26"/>
        <v>85.876400000001013</v>
      </c>
      <c r="F266" s="415">
        <f t="shared" si="27"/>
        <v>9.6299030938606402E-3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695</v>
      </c>
      <c r="C267" s="361">
        <f>C27+C56+C203+C233</f>
        <v>140822230</v>
      </c>
      <c r="D267" s="361">
        <f>LN_IA11+LN_IB13+LN_IF14+LN_IG9</f>
        <v>148093989</v>
      </c>
      <c r="E267" s="361">
        <f t="shared" si="26"/>
        <v>7271759</v>
      </c>
      <c r="F267" s="415">
        <f t="shared" si="27"/>
        <v>5.1637862857305983E-2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616</v>
      </c>
      <c r="C268" s="366">
        <f>IF(C261=0,0,C267/C261)</f>
        <v>0.68994713894128201</v>
      </c>
      <c r="D268" s="366">
        <f>IF(LN_IIA1=0,0,LN_IIA7/LN_IIA1)</f>
        <v>0.66425267327811643</v>
      </c>
      <c r="E268" s="367">
        <f t="shared" si="26"/>
        <v>-2.5694465663165578E-2</v>
      </c>
      <c r="F268" s="371">
        <f t="shared" si="27"/>
        <v>-3.7241209091168223E-2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696</v>
      </c>
      <c r="C269" s="361">
        <f>C28+C57+C204+C234</f>
        <v>64403574</v>
      </c>
      <c r="D269" s="361">
        <f>LN_IA12+LN_IB14+LN_IF15+LN_IG10</f>
        <v>65605296</v>
      </c>
      <c r="E269" s="361">
        <f t="shared" si="26"/>
        <v>1201722</v>
      </c>
      <c r="F269" s="415">
        <f t="shared" si="27"/>
        <v>1.8659243973013051E-2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615</v>
      </c>
      <c r="C270" s="366">
        <f>IF(C267=0,0,C269/C267)</f>
        <v>0.45733954078130989</v>
      </c>
      <c r="D270" s="366">
        <f>IF(LN_IIA7=0,0,LN_IIA9/LN_IIA7)</f>
        <v>0.44299769655066823</v>
      </c>
      <c r="E270" s="367">
        <f t="shared" si="26"/>
        <v>-1.4341844230641665E-2</v>
      </c>
      <c r="F270" s="371">
        <f t="shared" si="27"/>
        <v>-3.13592920615181E-2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697</v>
      </c>
      <c r="C271" s="353">
        <f>C261+C267</f>
        <v>344928055</v>
      </c>
      <c r="D271" s="353">
        <f>LN_IIA1+LN_IIA7</f>
        <v>371042266</v>
      </c>
      <c r="E271" s="353">
        <f t="shared" si="26"/>
        <v>26114211</v>
      </c>
      <c r="F271" s="415">
        <f t="shared" si="27"/>
        <v>7.5709153318943567E-2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698</v>
      </c>
      <c r="C272" s="353">
        <f>C262+C269</f>
        <v>163239671</v>
      </c>
      <c r="D272" s="353">
        <f>LN_IIA2+LN_IIA9</f>
        <v>178441940</v>
      </c>
      <c r="E272" s="353">
        <f t="shared" si="26"/>
        <v>15202269</v>
      </c>
      <c r="F272" s="415">
        <f t="shared" si="27"/>
        <v>9.312852021124203E-2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699</v>
      </c>
      <c r="C273" s="366">
        <f>IF(C271=0,0,C272/C271)</f>
        <v>0.4732571579310938</v>
      </c>
      <c r="D273" s="366">
        <f>IF(LN_IIA11=0,0,LN_IIA12/LN_IIA11)</f>
        <v>0.48092079084057771</v>
      </c>
      <c r="E273" s="367">
        <f t="shared" si="26"/>
        <v>7.6636329094839084E-3</v>
      </c>
      <c r="F273" s="371">
        <f t="shared" si="27"/>
        <v>1.6193379816982573E-2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35911</v>
      </c>
      <c r="D274" s="421">
        <f>LN_IA8+LN_IB10+LN_IF11+LN_IG6</f>
        <v>36799</v>
      </c>
      <c r="E274" s="442">
        <f t="shared" si="26"/>
        <v>888</v>
      </c>
      <c r="F274" s="371">
        <f t="shared" si="27"/>
        <v>2.4727799281557182E-2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700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701</v>
      </c>
      <c r="C277" s="361">
        <f>C15+C188+C221</f>
        <v>106402436</v>
      </c>
      <c r="D277" s="361">
        <f>LN_IA1+LN_IF1+LN_IG1</f>
        <v>119182390</v>
      </c>
      <c r="E277" s="361">
        <f t="shared" ref="E277:E291" si="28">D277-C277</f>
        <v>12779954</v>
      </c>
      <c r="F277" s="415">
        <f t="shared" ref="F277:F291" si="29">IF(C277=0,0,E277/C277)</f>
        <v>0.12010959974638175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702</v>
      </c>
      <c r="C278" s="361">
        <f>C16+C189+C222</f>
        <v>41842333</v>
      </c>
      <c r="D278" s="361">
        <f>LN_IA2+LN_IF2+LN_IG2</f>
        <v>46219770</v>
      </c>
      <c r="E278" s="361">
        <f t="shared" si="28"/>
        <v>4377437</v>
      </c>
      <c r="F278" s="415">
        <f t="shared" si="29"/>
        <v>0.1046174217866867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703</v>
      </c>
      <c r="C279" s="366">
        <f>IF(C277=0,0,C278/C277)</f>
        <v>0.39324600613467159</v>
      </c>
      <c r="D279" s="366">
        <f>IF(D277=0,0,LN_IIB2/D277)</f>
        <v>0.38780704095630236</v>
      </c>
      <c r="E279" s="367">
        <f t="shared" si="28"/>
        <v>-5.4389651783692261E-3</v>
      </c>
      <c r="F279" s="371">
        <f t="shared" si="29"/>
        <v>-1.3830948295776437E-2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704</v>
      </c>
      <c r="C280" s="369">
        <f>C18+C191+C224</f>
        <v>3294</v>
      </c>
      <c r="D280" s="369">
        <f>LN_IA4+LN_IF4+LN_IG3</f>
        <v>3690</v>
      </c>
      <c r="E280" s="369">
        <f t="shared" si="28"/>
        <v>396</v>
      </c>
      <c r="F280" s="415">
        <f t="shared" si="29"/>
        <v>0.12021857923497267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705</v>
      </c>
      <c r="C281" s="439">
        <f>IF(C280=0,0,C282/C280)</f>
        <v>1.3591707953855494</v>
      </c>
      <c r="D281" s="439">
        <f>IF(LN_IIB4=0,0,LN_IIB6/LN_IIB4)</f>
        <v>1.2620653116531166</v>
      </c>
      <c r="E281" s="439">
        <f t="shared" si="28"/>
        <v>-9.7105483732432774E-2</v>
      </c>
      <c r="F281" s="415">
        <f t="shared" si="29"/>
        <v>-7.1444651446389659E-2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706</v>
      </c>
      <c r="C282" s="376">
        <f>C20+C193+C226</f>
        <v>4477.1085999999996</v>
      </c>
      <c r="D282" s="376">
        <f>LN_IA6+LN_IF6+LN_IG5</f>
        <v>4657.0210000000006</v>
      </c>
      <c r="E282" s="376">
        <f t="shared" si="28"/>
        <v>179.91240000000107</v>
      </c>
      <c r="F282" s="415">
        <f t="shared" si="29"/>
        <v>4.0184953297760319E-2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707</v>
      </c>
      <c r="C283" s="361">
        <f>C27+C203+C233</f>
        <v>62873365</v>
      </c>
      <c r="D283" s="361">
        <f>LN_IA11+LN_IF14+LN_IG9</f>
        <v>70736363</v>
      </c>
      <c r="E283" s="361">
        <f t="shared" si="28"/>
        <v>7862998</v>
      </c>
      <c r="F283" s="415">
        <f t="shared" si="29"/>
        <v>0.12506087434639454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708</v>
      </c>
      <c r="C284" s="366">
        <f>IF(C277=0,0,C283/C277)</f>
        <v>0.59090155605084083</v>
      </c>
      <c r="D284" s="366">
        <f>IF(D277=0,0,LN_IIB7/D277)</f>
        <v>0.59351354675804036</v>
      </c>
      <c r="E284" s="367">
        <f t="shared" si="28"/>
        <v>2.6119907071995296E-3</v>
      </c>
      <c r="F284" s="371">
        <f t="shared" si="29"/>
        <v>4.4203483312113588E-3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709</v>
      </c>
      <c r="C285" s="361">
        <f>C28+C204+C234</f>
        <v>21700983</v>
      </c>
      <c r="D285" s="361">
        <f>LN_IA12+LN_IF15+LN_IG10</f>
        <v>23796768</v>
      </c>
      <c r="E285" s="361">
        <f t="shared" si="28"/>
        <v>2095785</v>
      </c>
      <c r="F285" s="415">
        <f t="shared" si="29"/>
        <v>9.6575579087822883E-2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710</v>
      </c>
      <c r="C286" s="366">
        <f>IF(C283=0,0,C285/C283)</f>
        <v>0.34515383421898921</v>
      </c>
      <c r="D286" s="366">
        <f>IF(LN_IIB7=0,0,LN_IIB9/LN_IIB7)</f>
        <v>0.33641492141743279</v>
      </c>
      <c r="E286" s="367">
        <f t="shared" si="28"/>
        <v>-8.7389128015564199E-3</v>
      </c>
      <c r="F286" s="371">
        <f t="shared" si="29"/>
        <v>-2.5318892433371768E-2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711</v>
      </c>
      <c r="C287" s="353">
        <f>C277+C283</f>
        <v>169275801</v>
      </c>
      <c r="D287" s="353">
        <f>D277+LN_IIB7</f>
        <v>189918753</v>
      </c>
      <c r="E287" s="353">
        <f t="shared" si="28"/>
        <v>20642952</v>
      </c>
      <c r="F287" s="415">
        <f t="shared" si="29"/>
        <v>0.12194862985761326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712</v>
      </c>
      <c r="C288" s="353">
        <f>C278+C285</f>
        <v>63543316</v>
      </c>
      <c r="D288" s="353">
        <f>LN_IIB2+LN_IIB9</f>
        <v>70016538</v>
      </c>
      <c r="E288" s="353">
        <f t="shared" si="28"/>
        <v>6473222</v>
      </c>
      <c r="F288" s="415">
        <f t="shared" si="29"/>
        <v>0.10187101346741174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713</v>
      </c>
      <c r="C289" s="366">
        <f>IF(C287=0,0,C288/C287)</f>
        <v>0.37538334259602762</v>
      </c>
      <c r="D289" s="366">
        <f>IF(LN_IIB11=0,0,LN_IIB12/LN_IIB11)</f>
        <v>0.36866574202917179</v>
      </c>
      <c r="E289" s="367">
        <f t="shared" si="28"/>
        <v>-6.7176005668558303E-3</v>
      </c>
      <c r="F289" s="371">
        <f t="shared" si="29"/>
        <v>-1.789530808799111E-2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19084</v>
      </c>
      <c r="D290" s="421">
        <f>LN_IA8+LN_IF11+LN_IG6</f>
        <v>19524</v>
      </c>
      <c r="E290" s="442">
        <f t="shared" si="28"/>
        <v>440</v>
      </c>
      <c r="F290" s="371">
        <f t="shared" si="29"/>
        <v>2.3055963110459023E-2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714</v>
      </c>
      <c r="C291" s="361">
        <f>C287-C288</f>
        <v>105732485</v>
      </c>
      <c r="D291" s="429">
        <f>LN_IIB11-LN_IIB12</f>
        <v>119902215</v>
      </c>
      <c r="E291" s="353">
        <f t="shared" si="28"/>
        <v>14169730</v>
      </c>
      <c r="F291" s="415">
        <f t="shared" si="29"/>
        <v>0.13401491509444802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611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602</v>
      </c>
      <c r="C294" s="379">
        <f>IF(C18=0,0,C22/C18)</f>
        <v>9.625</v>
      </c>
      <c r="D294" s="379">
        <f>IF(LN_IA4=0,0,LN_IA8/LN_IA4)</f>
        <v>5.75</v>
      </c>
      <c r="E294" s="379">
        <f t="shared" ref="E294:E300" si="30">D294-C294</f>
        <v>-3.875</v>
      </c>
      <c r="F294" s="415">
        <f t="shared" ref="F294:F300" si="31">IF(C294=0,0,E294/C294)</f>
        <v>-0.40259740259740262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623</v>
      </c>
      <c r="C295" s="379">
        <f>IF(C45=0,0,C51/C45)</f>
        <v>5.4900489396411096</v>
      </c>
      <c r="D295" s="379">
        <f>IF(LN_IB4=0,0,(LN_IB10)/(LN_IB4))</f>
        <v>5.554662379421222</v>
      </c>
      <c r="E295" s="379">
        <f t="shared" si="30"/>
        <v>6.4613439780112358E-2</v>
      </c>
      <c r="F295" s="415">
        <f t="shared" si="31"/>
        <v>1.1769191949013156E-2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638</v>
      </c>
      <c r="C296" s="379">
        <f>IF(C86=0,0,C93/C86)</f>
        <v>2.8823529411764706</v>
      </c>
      <c r="D296" s="379">
        <f>IF(LN_IC4=0,0,LN_IC11/LN_IC4)</f>
        <v>7.3125</v>
      </c>
      <c r="E296" s="379">
        <f t="shared" si="30"/>
        <v>4.430147058823529</v>
      </c>
      <c r="F296" s="415">
        <f t="shared" si="31"/>
        <v>1.5369897959183672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5.8092165898617507</v>
      </c>
      <c r="D297" s="379">
        <f>IF(LN_ID4=0,0,LN_ID11/LN_ID4)</f>
        <v>5.3068057080131723</v>
      </c>
      <c r="E297" s="379">
        <f t="shared" si="30"/>
        <v>-0.50241088184857841</v>
      </c>
      <c r="F297" s="415">
        <f t="shared" si="31"/>
        <v>-8.6485135142901418E-2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715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3.161290322580645</v>
      </c>
      <c r="D299" s="379">
        <f>IF(LN_IG3=0,0,LN_IG6/LN_IG3)</f>
        <v>3.6842105263157894</v>
      </c>
      <c r="E299" s="379">
        <f t="shared" si="30"/>
        <v>0.52292020373514436</v>
      </c>
      <c r="F299" s="415">
        <f t="shared" si="31"/>
        <v>0.16541353383458648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716</v>
      </c>
      <c r="C300" s="379">
        <f>IF(C264=0,0,C274/C264)</f>
        <v>5.6472715835823246</v>
      </c>
      <c r="D300" s="379">
        <f>IF(LN_IIA4=0,0,LN_IIA14/LN_IIA4)</f>
        <v>5.4116176470588231</v>
      </c>
      <c r="E300" s="379">
        <f t="shared" si="30"/>
        <v>-0.23565393652350153</v>
      </c>
      <c r="F300" s="415">
        <f t="shared" si="31"/>
        <v>-4.1728812407143941E-2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717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711</v>
      </c>
      <c r="C304" s="353">
        <f>C35+C66+C214+C221+C233</f>
        <v>344928055</v>
      </c>
      <c r="D304" s="353">
        <f>LN_IIA11</f>
        <v>371042266</v>
      </c>
      <c r="E304" s="353">
        <f t="shared" ref="E304:E316" si="32">D304-C304</f>
        <v>26114211</v>
      </c>
      <c r="F304" s="362">
        <f>IF(C304=0,0,E304/C304)</f>
        <v>7.5709153318943567E-2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714</v>
      </c>
      <c r="C305" s="353">
        <f>C291</f>
        <v>105732485</v>
      </c>
      <c r="D305" s="353">
        <f>LN_IIB14</f>
        <v>119902215</v>
      </c>
      <c r="E305" s="353">
        <f t="shared" si="32"/>
        <v>14169730</v>
      </c>
      <c r="F305" s="362">
        <f>IF(C305=0,0,E305/C305)</f>
        <v>0.13401491509444802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718</v>
      </c>
      <c r="C306" s="353">
        <f>C250</f>
        <v>4250818</v>
      </c>
      <c r="D306" s="353">
        <f>LN_IH6</f>
        <v>4629081</v>
      </c>
      <c r="E306" s="353">
        <f t="shared" si="32"/>
        <v>378263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719</v>
      </c>
      <c r="C307" s="353">
        <f>C73-C74</f>
        <v>75262959</v>
      </c>
      <c r="D307" s="353">
        <f>LN_IB32-LN_IB33</f>
        <v>68327503</v>
      </c>
      <c r="E307" s="353">
        <f t="shared" si="32"/>
        <v>-6935456</v>
      </c>
      <c r="F307" s="362">
        <f t="shared" ref="F307:F316" si="33">IF(C307=0,0,E307/C307)</f>
        <v>-9.2149658904588108E-2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720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721</v>
      </c>
      <c r="C309" s="353">
        <f>C305+C307+C308+C306</f>
        <v>185246262</v>
      </c>
      <c r="D309" s="353">
        <f>LN_III2+LN_III3+LN_III4+LN_III5</f>
        <v>192858799</v>
      </c>
      <c r="E309" s="353">
        <f t="shared" si="32"/>
        <v>7612537</v>
      </c>
      <c r="F309" s="362">
        <f t="shared" si="33"/>
        <v>4.109414634234293E-2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722</v>
      </c>
      <c r="C310" s="353">
        <f>C304-C309</f>
        <v>159681793</v>
      </c>
      <c r="D310" s="353">
        <f>LN_III1-LN_III6</f>
        <v>178183467</v>
      </c>
      <c r="E310" s="353">
        <f t="shared" si="32"/>
        <v>18501674</v>
      </c>
      <c r="F310" s="362">
        <f t="shared" si="33"/>
        <v>0.1158658958695435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723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724</v>
      </c>
      <c r="C312" s="353">
        <f>C310+C311</f>
        <v>159681793</v>
      </c>
      <c r="D312" s="353">
        <f>LN_III7+LN_III8</f>
        <v>178183467</v>
      </c>
      <c r="E312" s="353">
        <f t="shared" si="32"/>
        <v>18501674</v>
      </c>
      <c r="F312" s="362">
        <f t="shared" si="33"/>
        <v>0.1158658958695435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725</v>
      </c>
      <c r="C313" s="448">
        <f>IF(C304=0,0,C312/C304)</f>
        <v>0.46294231705797317</v>
      </c>
      <c r="D313" s="448">
        <f>IF(LN_III1=0,0,LN_III9/LN_III1)</f>
        <v>0.48022417747955431</v>
      </c>
      <c r="E313" s="448">
        <f t="shared" si="32"/>
        <v>1.7281860421581141E-2</v>
      </c>
      <c r="F313" s="362">
        <f t="shared" si="33"/>
        <v>3.7330483269294591E-2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683</v>
      </c>
      <c r="C314" s="353">
        <f>C306*C313</f>
        <v>1967883.5343117395</v>
      </c>
      <c r="D314" s="353">
        <f>D313*LN_III5</f>
        <v>2222996.6157112326</v>
      </c>
      <c r="E314" s="353">
        <f t="shared" si="32"/>
        <v>255113.08139949315</v>
      </c>
      <c r="F314" s="362">
        <f t="shared" si="33"/>
        <v>0.12963830275083738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686</v>
      </c>
      <c r="C315" s="353">
        <f>(C214*C313)-C215</f>
        <v>17967184.358160004</v>
      </c>
      <c r="D315" s="353">
        <f>D313*LN_IH8-LN_IH9</f>
        <v>24542505.603844866</v>
      </c>
      <c r="E315" s="353">
        <f t="shared" si="32"/>
        <v>6575321.2456848621</v>
      </c>
      <c r="F315" s="362">
        <f t="shared" si="33"/>
        <v>0.3659628083405625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726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727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728</v>
      </c>
      <c r="C318" s="353">
        <f>C314+C315+C316</f>
        <v>19935067.892471742</v>
      </c>
      <c r="D318" s="353">
        <f>D314+D315+D316</f>
        <v>26765502.219556101</v>
      </c>
      <c r="E318" s="353">
        <f>D318-C318</f>
        <v>6830434.3270843588</v>
      </c>
      <c r="F318" s="362">
        <f>IF(C318=0,0,E318/C318)</f>
        <v>0.34263411411123396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729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612691357.56175697</v>
      </c>
      <c r="D322" s="353">
        <f>LN_ID22</f>
        <v>788653726.94116342</v>
      </c>
      <c r="E322" s="353">
        <f>LN_IV2-C322</f>
        <v>175962369.37940645</v>
      </c>
      <c r="F322" s="362">
        <f>IF(C322=0,0,E322/C322)</f>
        <v>0.28719577517734141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715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730</v>
      </c>
      <c r="C324" s="353">
        <f>C92+C106</f>
        <v>53305262.855816841</v>
      </c>
      <c r="D324" s="353">
        <f>LN_IC10+LN_IC22</f>
        <v>33811641.006212175</v>
      </c>
      <c r="E324" s="353">
        <f>LN_IV1-C324</f>
        <v>-19493621.849604666</v>
      </c>
      <c r="F324" s="362">
        <f>IF(C324=0,0,E324/C324)</f>
        <v>-0.36569788432208172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731</v>
      </c>
      <c r="C325" s="429">
        <f>C324+C322+C323</f>
        <v>665996620.41757381</v>
      </c>
      <c r="D325" s="429">
        <f>LN_IV1+LN_IV2+LN_IV3</f>
        <v>822465367.94737554</v>
      </c>
      <c r="E325" s="353">
        <f>LN_IV4-C325</f>
        <v>156468747.52980173</v>
      </c>
      <c r="F325" s="362">
        <f>IF(C325=0,0,E325/C325)</f>
        <v>0.23493925154109227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732</v>
      </c>
      <c r="B327" s="446" t="s">
        <v>733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734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735</v>
      </c>
      <c r="C330" s="429">
        <v>15236782</v>
      </c>
      <c r="D330" s="429">
        <v>6786090</v>
      </c>
      <c r="E330" s="431">
        <f t="shared" si="34"/>
        <v>-8450692</v>
      </c>
      <c r="F330" s="463">
        <f t="shared" si="35"/>
        <v>-0.55462446072930627</v>
      </c>
    </row>
    <row r="331" spans="1:22" s="333" customFormat="1" ht="11.25" customHeight="1" x14ac:dyDescent="0.2">
      <c r="A331" s="339">
        <v>3</v>
      </c>
      <c r="B331" s="360" t="s">
        <v>736</v>
      </c>
      <c r="C331" s="429">
        <v>178476453</v>
      </c>
      <c r="D331" s="429">
        <v>185228030</v>
      </c>
      <c r="E331" s="431">
        <f t="shared" si="34"/>
        <v>6751577</v>
      </c>
      <c r="F331" s="462">
        <f t="shared" si="35"/>
        <v>3.7828951026945834E-2</v>
      </c>
    </row>
    <row r="332" spans="1:22" s="333" customFormat="1" ht="11.25" customHeight="1" x14ac:dyDescent="0.2">
      <c r="A332" s="364">
        <v>4</v>
      </c>
      <c r="B332" s="360" t="s">
        <v>737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738</v>
      </c>
      <c r="C333" s="429">
        <v>344928056</v>
      </c>
      <c r="D333" s="429">
        <v>371042266</v>
      </c>
      <c r="E333" s="431">
        <f t="shared" si="34"/>
        <v>26114210</v>
      </c>
      <c r="F333" s="462">
        <f t="shared" si="35"/>
        <v>7.5709150200295686E-2</v>
      </c>
    </row>
    <row r="334" spans="1:22" s="333" customFormat="1" ht="11.25" customHeight="1" x14ac:dyDescent="0.2">
      <c r="A334" s="339">
        <v>6</v>
      </c>
      <c r="B334" s="360" t="s">
        <v>739</v>
      </c>
      <c r="C334" s="429">
        <v>4591494</v>
      </c>
      <c r="D334" s="429">
        <v>7536262</v>
      </c>
      <c r="E334" s="429">
        <f t="shared" si="34"/>
        <v>2944768</v>
      </c>
      <c r="F334" s="463">
        <f t="shared" si="35"/>
        <v>0.64135290169169334</v>
      </c>
    </row>
    <row r="335" spans="1:22" s="333" customFormat="1" ht="11.25" customHeight="1" x14ac:dyDescent="0.2">
      <c r="A335" s="364">
        <v>7</v>
      </c>
      <c r="B335" s="360" t="s">
        <v>740</v>
      </c>
      <c r="C335" s="429">
        <v>8842313</v>
      </c>
      <c r="D335" s="429">
        <v>12165343</v>
      </c>
      <c r="E335" s="429">
        <f t="shared" si="34"/>
        <v>3323030</v>
      </c>
      <c r="F335" s="462">
        <f t="shared" si="35"/>
        <v>0.37581003974864946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>
      <selection activeCell="B35" sqref="B35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593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741</v>
      </c>
      <c r="B5" s="710"/>
      <c r="C5" s="710"/>
      <c r="D5" s="710"/>
      <c r="E5" s="710"/>
    </row>
    <row r="6" spans="1:5" s="338" customFormat="1" ht="15.75" customHeight="1" x14ac:dyDescent="0.25">
      <c r="A6" s="710" t="s">
        <v>742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743</v>
      </c>
      <c r="D9" s="494" t="s">
        <v>744</v>
      </c>
      <c r="E9" s="495" t="s">
        <v>745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746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747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623</v>
      </c>
      <c r="C14" s="513">
        <v>97703389</v>
      </c>
      <c r="D14" s="513">
        <v>103765887</v>
      </c>
      <c r="E14" s="514">
        <f t="shared" ref="E14:E22" si="0">D14-C14</f>
        <v>6062498</v>
      </c>
    </row>
    <row r="15" spans="1:5" s="506" customFormat="1" x14ac:dyDescent="0.2">
      <c r="A15" s="512">
        <v>2</v>
      </c>
      <c r="B15" s="511" t="s">
        <v>602</v>
      </c>
      <c r="C15" s="513">
        <v>438448</v>
      </c>
      <c r="D15" s="515">
        <v>327619</v>
      </c>
      <c r="E15" s="514">
        <f t="shared" si="0"/>
        <v>-110829</v>
      </c>
    </row>
    <row r="16" spans="1:5" s="506" customFormat="1" x14ac:dyDescent="0.2">
      <c r="A16" s="512">
        <v>3</v>
      </c>
      <c r="B16" s="511" t="s">
        <v>748</v>
      </c>
      <c r="C16" s="513">
        <v>105506414</v>
      </c>
      <c r="D16" s="515">
        <v>117977955</v>
      </c>
      <c r="E16" s="514">
        <f t="shared" si="0"/>
        <v>12471541</v>
      </c>
    </row>
    <row r="17" spans="1:5" s="506" customFormat="1" x14ac:dyDescent="0.2">
      <c r="A17" s="512">
        <v>4</v>
      </c>
      <c r="B17" s="511" t="s">
        <v>114</v>
      </c>
      <c r="C17" s="513">
        <v>105506414</v>
      </c>
      <c r="D17" s="515">
        <v>117977955</v>
      </c>
      <c r="E17" s="514">
        <f t="shared" si="0"/>
        <v>12471541</v>
      </c>
    </row>
    <row r="18" spans="1:5" s="506" customFormat="1" x14ac:dyDescent="0.2">
      <c r="A18" s="512">
        <v>5</v>
      </c>
      <c r="B18" s="511" t="s">
        <v>715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418</v>
      </c>
      <c r="C19" s="513">
        <v>457574</v>
      </c>
      <c r="D19" s="515">
        <v>876816</v>
      </c>
      <c r="E19" s="514">
        <f t="shared" si="0"/>
        <v>419242</v>
      </c>
    </row>
    <row r="20" spans="1:5" s="506" customFormat="1" x14ac:dyDescent="0.2">
      <c r="A20" s="512">
        <v>7</v>
      </c>
      <c r="B20" s="511" t="s">
        <v>730</v>
      </c>
      <c r="C20" s="513">
        <v>754800</v>
      </c>
      <c r="D20" s="515">
        <v>3559565</v>
      </c>
      <c r="E20" s="514">
        <f t="shared" si="0"/>
        <v>2804765</v>
      </c>
    </row>
    <row r="21" spans="1:5" s="506" customFormat="1" x14ac:dyDescent="0.2">
      <c r="A21" s="512"/>
      <c r="B21" s="516" t="s">
        <v>749</v>
      </c>
      <c r="C21" s="517">
        <f>SUM(C15+C16+C19)</f>
        <v>106402436</v>
      </c>
      <c r="D21" s="517">
        <f>SUM(D15+D16+D19)</f>
        <v>119182390</v>
      </c>
      <c r="E21" s="517">
        <f t="shared" si="0"/>
        <v>12779954</v>
      </c>
    </row>
    <row r="22" spans="1:5" s="506" customFormat="1" x14ac:dyDescent="0.2">
      <c r="A22" s="512"/>
      <c r="B22" s="516" t="s">
        <v>689</v>
      </c>
      <c r="C22" s="517">
        <f>SUM(C14+C21)</f>
        <v>204105825</v>
      </c>
      <c r="D22" s="517">
        <f>SUM(D14+D21)</f>
        <v>222948277</v>
      </c>
      <c r="E22" s="517">
        <f t="shared" si="0"/>
        <v>18842452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750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623</v>
      </c>
      <c r="C25" s="513">
        <v>77948865</v>
      </c>
      <c r="D25" s="513">
        <v>77357626</v>
      </c>
      <c r="E25" s="514">
        <f t="shared" ref="E25:E33" si="1">D25-C25</f>
        <v>-591239</v>
      </c>
    </row>
    <row r="26" spans="1:5" s="506" customFormat="1" x14ac:dyDescent="0.2">
      <c r="A26" s="512">
        <v>2</v>
      </c>
      <c r="B26" s="511" t="s">
        <v>602</v>
      </c>
      <c r="C26" s="513">
        <v>144624</v>
      </c>
      <c r="D26" s="515">
        <v>65268</v>
      </c>
      <c r="E26" s="514">
        <f t="shared" si="1"/>
        <v>-79356</v>
      </c>
    </row>
    <row r="27" spans="1:5" s="506" customFormat="1" x14ac:dyDescent="0.2">
      <c r="A27" s="512">
        <v>3</v>
      </c>
      <c r="B27" s="511" t="s">
        <v>748</v>
      </c>
      <c r="C27" s="513">
        <v>62090860</v>
      </c>
      <c r="D27" s="515">
        <v>69990631</v>
      </c>
      <c r="E27" s="514">
        <f t="shared" si="1"/>
        <v>7899771</v>
      </c>
    </row>
    <row r="28" spans="1:5" s="506" customFormat="1" x14ac:dyDescent="0.2">
      <c r="A28" s="512">
        <v>4</v>
      </c>
      <c r="B28" s="511" t="s">
        <v>114</v>
      </c>
      <c r="C28" s="513">
        <v>62090860</v>
      </c>
      <c r="D28" s="515">
        <v>69990631</v>
      </c>
      <c r="E28" s="514">
        <f t="shared" si="1"/>
        <v>7899771</v>
      </c>
    </row>
    <row r="29" spans="1:5" s="506" customFormat="1" x14ac:dyDescent="0.2">
      <c r="A29" s="512">
        <v>5</v>
      </c>
      <c r="B29" s="511" t="s">
        <v>715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418</v>
      </c>
      <c r="C30" s="513">
        <v>637881</v>
      </c>
      <c r="D30" s="515">
        <v>680464</v>
      </c>
      <c r="E30" s="514">
        <f t="shared" si="1"/>
        <v>42583</v>
      </c>
    </row>
    <row r="31" spans="1:5" s="506" customFormat="1" x14ac:dyDescent="0.2">
      <c r="A31" s="512">
        <v>7</v>
      </c>
      <c r="B31" s="511" t="s">
        <v>730</v>
      </c>
      <c r="C31" s="514">
        <v>2027044</v>
      </c>
      <c r="D31" s="518">
        <v>2077249</v>
      </c>
      <c r="E31" s="514">
        <f t="shared" si="1"/>
        <v>50205</v>
      </c>
    </row>
    <row r="32" spans="1:5" s="506" customFormat="1" x14ac:dyDescent="0.2">
      <c r="A32" s="512"/>
      <c r="B32" s="516" t="s">
        <v>751</v>
      </c>
      <c r="C32" s="517">
        <f>SUM(C26+C27+C30)</f>
        <v>62873365</v>
      </c>
      <c r="D32" s="517">
        <f>SUM(D26+D27+D30)</f>
        <v>70736363</v>
      </c>
      <c r="E32" s="517">
        <f t="shared" si="1"/>
        <v>7862998</v>
      </c>
    </row>
    <row r="33" spans="1:5" s="506" customFormat="1" x14ac:dyDescent="0.2">
      <c r="A33" s="512"/>
      <c r="B33" s="516" t="s">
        <v>695</v>
      </c>
      <c r="C33" s="517">
        <f>SUM(C25+C32)</f>
        <v>140822230</v>
      </c>
      <c r="D33" s="517">
        <f>SUM(D25+D32)</f>
        <v>148093989</v>
      </c>
      <c r="E33" s="517">
        <f t="shared" si="1"/>
        <v>7271759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620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752</v>
      </c>
      <c r="C36" s="514">
        <f t="shared" ref="C36:D42" si="2">C14+C25</f>
        <v>175652254</v>
      </c>
      <c r="D36" s="514">
        <f t="shared" si="2"/>
        <v>181123513</v>
      </c>
      <c r="E36" s="514">
        <f t="shared" ref="E36:E44" si="3">D36-C36</f>
        <v>5471259</v>
      </c>
    </row>
    <row r="37" spans="1:5" s="506" customFormat="1" x14ac:dyDescent="0.2">
      <c r="A37" s="512">
        <v>2</v>
      </c>
      <c r="B37" s="511" t="s">
        <v>753</v>
      </c>
      <c r="C37" s="514">
        <f t="shared" si="2"/>
        <v>583072</v>
      </c>
      <c r="D37" s="514">
        <f t="shared" si="2"/>
        <v>392887</v>
      </c>
      <c r="E37" s="514">
        <f t="shared" si="3"/>
        <v>-190185</v>
      </c>
    </row>
    <row r="38" spans="1:5" s="506" customFormat="1" x14ac:dyDescent="0.2">
      <c r="A38" s="512">
        <v>3</v>
      </c>
      <c r="B38" s="511" t="s">
        <v>754</v>
      </c>
      <c r="C38" s="514">
        <f t="shared" si="2"/>
        <v>167597274</v>
      </c>
      <c r="D38" s="514">
        <f t="shared" si="2"/>
        <v>187968586</v>
      </c>
      <c r="E38" s="514">
        <f t="shared" si="3"/>
        <v>20371312</v>
      </c>
    </row>
    <row r="39" spans="1:5" s="506" customFormat="1" x14ac:dyDescent="0.2">
      <c r="A39" s="512">
        <v>4</v>
      </c>
      <c r="B39" s="511" t="s">
        <v>755</v>
      </c>
      <c r="C39" s="514">
        <f t="shared" si="2"/>
        <v>167597274</v>
      </c>
      <c r="D39" s="514">
        <f t="shared" si="2"/>
        <v>187968586</v>
      </c>
      <c r="E39" s="514">
        <f t="shared" si="3"/>
        <v>20371312</v>
      </c>
    </row>
    <row r="40" spans="1:5" s="506" customFormat="1" x14ac:dyDescent="0.2">
      <c r="A40" s="512">
        <v>5</v>
      </c>
      <c r="B40" s="511" t="s">
        <v>756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757</v>
      </c>
      <c r="C41" s="514">
        <f t="shared" si="2"/>
        <v>1095455</v>
      </c>
      <c r="D41" s="514">
        <f t="shared" si="2"/>
        <v>1557280</v>
      </c>
      <c r="E41" s="514">
        <f t="shared" si="3"/>
        <v>461825</v>
      </c>
    </row>
    <row r="42" spans="1:5" s="506" customFormat="1" x14ac:dyDescent="0.2">
      <c r="A42" s="512">
        <v>7</v>
      </c>
      <c r="B42" s="511" t="s">
        <v>758</v>
      </c>
      <c r="C42" s="514">
        <f t="shared" si="2"/>
        <v>2781844</v>
      </c>
      <c r="D42" s="514">
        <f t="shared" si="2"/>
        <v>5636814</v>
      </c>
      <c r="E42" s="514">
        <f t="shared" si="3"/>
        <v>2854970</v>
      </c>
    </row>
    <row r="43" spans="1:5" s="506" customFormat="1" x14ac:dyDescent="0.2">
      <c r="A43" s="512"/>
      <c r="B43" s="516" t="s">
        <v>759</v>
      </c>
      <c r="C43" s="517">
        <f>SUM(C37+C38+C41)</f>
        <v>169275801</v>
      </c>
      <c r="D43" s="517">
        <f>SUM(D37+D38+D41)</f>
        <v>189918753</v>
      </c>
      <c r="E43" s="517">
        <f t="shared" si="3"/>
        <v>20642952</v>
      </c>
    </row>
    <row r="44" spans="1:5" s="506" customFormat="1" x14ac:dyDescent="0.2">
      <c r="A44" s="512"/>
      <c r="B44" s="516" t="s">
        <v>697</v>
      </c>
      <c r="C44" s="517">
        <f>SUM(C36+C43)</f>
        <v>344928055</v>
      </c>
      <c r="D44" s="517">
        <f>SUM(D36+D43)</f>
        <v>371042266</v>
      </c>
      <c r="E44" s="517">
        <f t="shared" si="3"/>
        <v>26114211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760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623</v>
      </c>
      <c r="C47" s="513">
        <v>56993764</v>
      </c>
      <c r="D47" s="513">
        <v>66616874</v>
      </c>
      <c r="E47" s="514">
        <f t="shared" ref="E47:E55" si="4">D47-C47</f>
        <v>9623110</v>
      </c>
    </row>
    <row r="48" spans="1:5" s="506" customFormat="1" x14ac:dyDescent="0.2">
      <c r="A48" s="512">
        <v>2</v>
      </c>
      <c r="B48" s="511" t="s">
        <v>602</v>
      </c>
      <c r="C48" s="513">
        <v>2622018</v>
      </c>
      <c r="D48" s="515">
        <v>2997225</v>
      </c>
      <c r="E48" s="514">
        <f t="shared" si="4"/>
        <v>375207</v>
      </c>
    </row>
    <row r="49" spans="1:5" s="506" customFormat="1" x14ac:dyDescent="0.2">
      <c r="A49" s="512">
        <v>3</v>
      </c>
      <c r="B49" s="511" t="s">
        <v>748</v>
      </c>
      <c r="C49" s="513">
        <v>39143893</v>
      </c>
      <c r="D49" s="515">
        <v>42896247</v>
      </c>
      <c r="E49" s="514">
        <f t="shared" si="4"/>
        <v>3752354</v>
      </c>
    </row>
    <row r="50" spans="1:5" s="506" customFormat="1" x14ac:dyDescent="0.2">
      <c r="A50" s="512">
        <v>4</v>
      </c>
      <c r="B50" s="511" t="s">
        <v>114</v>
      </c>
      <c r="C50" s="513">
        <v>39143893</v>
      </c>
      <c r="D50" s="515">
        <v>42896247</v>
      </c>
      <c r="E50" s="514">
        <f t="shared" si="4"/>
        <v>3752354</v>
      </c>
    </row>
    <row r="51" spans="1:5" s="506" customFormat="1" x14ac:dyDescent="0.2">
      <c r="A51" s="512">
        <v>5</v>
      </c>
      <c r="B51" s="511" t="s">
        <v>715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418</v>
      </c>
      <c r="C52" s="513">
        <v>76422</v>
      </c>
      <c r="D52" s="515">
        <v>326298</v>
      </c>
      <c r="E52" s="514">
        <f t="shared" si="4"/>
        <v>249876</v>
      </c>
    </row>
    <row r="53" spans="1:5" s="506" customFormat="1" x14ac:dyDescent="0.2">
      <c r="A53" s="512">
        <v>7</v>
      </c>
      <c r="B53" s="511" t="s">
        <v>730</v>
      </c>
      <c r="C53" s="513">
        <v>227133</v>
      </c>
      <c r="D53" s="515">
        <v>504320</v>
      </c>
      <c r="E53" s="514">
        <f t="shared" si="4"/>
        <v>277187</v>
      </c>
    </row>
    <row r="54" spans="1:5" s="506" customFormat="1" x14ac:dyDescent="0.2">
      <c r="A54" s="512"/>
      <c r="B54" s="516" t="s">
        <v>761</v>
      </c>
      <c r="C54" s="517">
        <f>SUM(C48+C49+C52)</f>
        <v>41842333</v>
      </c>
      <c r="D54" s="517">
        <f>SUM(D48+D49+D52)</f>
        <v>46219770</v>
      </c>
      <c r="E54" s="517">
        <f t="shared" si="4"/>
        <v>4377437</v>
      </c>
    </row>
    <row r="55" spans="1:5" s="506" customFormat="1" x14ac:dyDescent="0.2">
      <c r="A55" s="512"/>
      <c r="B55" s="516" t="s">
        <v>690</v>
      </c>
      <c r="C55" s="517">
        <f>SUM(C47+C54)</f>
        <v>98836097</v>
      </c>
      <c r="D55" s="517">
        <f>SUM(D47+D54)</f>
        <v>112836644</v>
      </c>
      <c r="E55" s="517">
        <f t="shared" si="4"/>
        <v>14000547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762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623</v>
      </c>
      <c r="C58" s="513">
        <v>42702591</v>
      </c>
      <c r="D58" s="513">
        <v>41808528</v>
      </c>
      <c r="E58" s="514">
        <f t="shared" ref="E58:E66" si="5">D58-C58</f>
        <v>-894063</v>
      </c>
    </row>
    <row r="59" spans="1:5" s="506" customFormat="1" x14ac:dyDescent="0.2">
      <c r="A59" s="512">
        <v>2</v>
      </c>
      <c r="B59" s="511" t="s">
        <v>602</v>
      </c>
      <c r="C59" s="513">
        <v>872231</v>
      </c>
      <c r="D59" s="515">
        <v>598250</v>
      </c>
      <c r="E59" s="514">
        <f t="shared" si="5"/>
        <v>-273981</v>
      </c>
    </row>
    <row r="60" spans="1:5" s="506" customFormat="1" x14ac:dyDescent="0.2">
      <c r="A60" s="512">
        <v>3</v>
      </c>
      <c r="B60" s="511" t="s">
        <v>748</v>
      </c>
      <c r="C60" s="513">
        <f>C61+C62</f>
        <v>20476793</v>
      </c>
      <c r="D60" s="515">
        <f>D61+D62</f>
        <v>22828307</v>
      </c>
      <c r="E60" s="514">
        <f t="shared" si="5"/>
        <v>2351514</v>
      </c>
    </row>
    <row r="61" spans="1:5" s="506" customFormat="1" x14ac:dyDescent="0.2">
      <c r="A61" s="512">
        <v>4</v>
      </c>
      <c r="B61" s="511" t="s">
        <v>114</v>
      </c>
      <c r="C61" s="513">
        <v>20476793</v>
      </c>
      <c r="D61" s="515">
        <v>22828307</v>
      </c>
      <c r="E61" s="514">
        <f t="shared" si="5"/>
        <v>2351514</v>
      </c>
    </row>
    <row r="62" spans="1:5" s="506" customFormat="1" x14ac:dyDescent="0.2">
      <c r="A62" s="512">
        <v>5</v>
      </c>
      <c r="B62" s="511" t="s">
        <v>715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418</v>
      </c>
      <c r="C63" s="513">
        <v>351959</v>
      </c>
      <c r="D63" s="515">
        <v>370211</v>
      </c>
      <c r="E63" s="514">
        <f t="shared" si="5"/>
        <v>18252</v>
      </c>
    </row>
    <row r="64" spans="1:5" s="506" customFormat="1" x14ac:dyDescent="0.2">
      <c r="A64" s="512">
        <v>7</v>
      </c>
      <c r="B64" s="511" t="s">
        <v>730</v>
      </c>
      <c r="C64" s="513">
        <v>609974</v>
      </c>
      <c r="D64" s="515">
        <v>761886</v>
      </c>
      <c r="E64" s="514">
        <f t="shared" si="5"/>
        <v>151912</v>
      </c>
    </row>
    <row r="65" spans="1:5" s="506" customFormat="1" x14ac:dyDescent="0.2">
      <c r="A65" s="512"/>
      <c r="B65" s="516" t="s">
        <v>763</v>
      </c>
      <c r="C65" s="517">
        <f>SUM(C59+C60+C63)</f>
        <v>21700983</v>
      </c>
      <c r="D65" s="517">
        <f>SUM(D59+D60+D63)</f>
        <v>23796768</v>
      </c>
      <c r="E65" s="517">
        <f t="shared" si="5"/>
        <v>2095785</v>
      </c>
    </row>
    <row r="66" spans="1:5" s="506" customFormat="1" x14ac:dyDescent="0.2">
      <c r="A66" s="512"/>
      <c r="B66" s="516" t="s">
        <v>696</v>
      </c>
      <c r="C66" s="517">
        <f>SUM(C58+C65)</f>
        <v>64403574</v>
      </c>
      <c r="D66" s="517">
        <f>SUM(D58+D65)</f>
        <v>65605296</v>
      </c>
      <c r="E66" s="517">
        <f t="shared" si="5"/>
        <v>1201722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621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752</v>
      </c>
      <c r="C69" s="514">
        <f t="shared" ref="C69:D75" si="6">C47+C58</f>
        <v>99696355</v>
      </c>
      <c r="D69" s="514">
        <f t="shared" si="6"/>
        <v>108425402</v>
      </c>
      <c r="E69" s="514">
        <f t="shared" ref="E69:E77" si="7">D69-C69</f>
        <v>8729047</v>
      </c>
    </row>
    <row r="70" spans="1:5" s="506" customFormat="1" x14ac:dyDescent="0.2">
      <c r="A70" s="512">
        <v>2</v>
      </c>
      <c r="B70" s="511" t="s">
        <v>753</v>
      </c>
      <c r="C70" s="514">
        <f t="shared" si="6"/>
        <v>3494249</v>
      </c>
      <c r="D70" s="514">
        <f t="shared" si="6"/>
        <v>3595475</v>
      </c>
      <c r="E70" s="514">
        <f t="shared" si="7"/>
        <v>101226</v>
      </c>
    </row>
    <row r="71" spans="1:5" s="506" customFormat="1" x14ac:dyDescent="0.2">
      <c r="A71" s="512">
        <v>3</v>
      </c>
      <c r="B71" s="511" t="s">
        <v>754</v>
      </c>
      <c r="C71" s="514">
        <f t="shared" si="6"/>
        <v>59620686</v>
      </c>
      <c r="D71" s="514">
        <f t="shared" si="6"/>
        <v>65724554</v>
      </c>
      <c r="E71" s="514">
        <f t="shared" si="7"/>
        <v>6103868</v>
      </c>
    </row>
    <row r="72" spans="1:5" s="506" customFormat="1" x14ac:dyDescent="0.2">
      <c r="A72" s="512">
        <v>4</v>
      </c>
      <c r="B72" s="511" t="s">
        <v>755</v>
      </c>
      <c r="C72" s="514">
        <f t="shared" si="6"/>
        <v>59620686</v>
      </c>
      <c r="D72" s="514">
        <f t="shared" si="6"/>
        <v>65724554</v>
      </c>
      <c r="E72" s="514">
        <f t="shared" si="7"/>
        <v>6103868</v>
      </c>
    </row>
    <row r="73" spans="1:5" s="506" customFormat="1" x14ac:dyDescent="0.2">
      <c r="A73" s="512">
        <v>5</v>
      </c>
      <c r="B73" s="511" t="s">
        <v>756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757</v>
      </c>
      <c r="C74" s="514">
        <f t="shared" si="6"/>
        <v>428381</v>
      </c>
      <c r="D74" s="514">
        <f t="shared" si="6"/>
        <v>696509</v>
      </c>
      <c r="E74" s="514">
        <f t="shared" si="7"/>
        <v>268128</v>
      </c>
    </row>
    <row r="75" spans="1:5" s="506" customFormat="1" x14ac:dyDescent="0.2">
      <c r="A75" s="512">
        <v>7</v>
      </c>
      <c r="B75" s="511" t="s">
        <v>758</v>
      </c>
      <c r="C75" s="514">
        <f t="shared" si="6"/>
        <v>837107</v>
      </c>
      <c r="D75" s="514">
        <f t="shared" si="6"/>
        <v>1266206</v>
      </c>
      <c r="E75" s="514">
        <f t="shared" si="7"/>
        <v>429099</v>
      </c>
    </row>
    <row r="76" spans="1:5" s="506" customFormat="1" x14ac:dyDescent="0.2">
      <c r="A76" s="512"/>
      <c r="B76" s="516" t="s">
        <v>764</v>
      </c>
      <c r="C76" s="517">
        <f>SUM(C70+C71+C74)</f>
        <v>63543316</v>
      </c>
      <c r="D76" s="517">
        <f>SUM(D70+D71+D74)</f>
        <v>70016538</v>
      </c>
      <c r="E76" s="517">
        <f t="shared" si="7"/>
        <v>6473222</v>
      </c>
    </row>
    <row r="77" spans="1:5" s="506" customFormat="1" x14ac:dyDescent="0.2">
      <c r="A77" s="512"/>
      <c r="B77" s="516" t="s">
        <v>698</v>
      </c>
      <c r="C77" s="517">
        <f>SUM(C69+C76)</f>
        <v>163239671</v>
      </c>
      <c r="D77" s="517">
        <f>SUM(D69+D76)</f>
        <v>178441940</v>
      </c>
      <c r="E77" s="517">
        <f t="shared" si="7"/>
        <v>15202269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765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766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623</v>
      </c>
      <c r="C83" s="523">
        <f t="shared" ref="C83:D89" si="8">IF(C$44=0,0,C14/C$44)</f>
        <v>0.28325729839516822</v>
      </c>
      <c r="D83" s="523">
        <f t="shared" si="8"/>
        <v>0.27966055759264902</v>
      </c>
      <c r="E83" s="523">
        <f t="shared" ref="E83:E91" si="9">D83-C83</f>
        <v>-3.5967408025192049E-3</v>
      </c>
    </row>
    <row r="84" spans="1:5" s="506" customFormat="1" x14ac:dyDescent="0.2">
      <c r="A84" s="512">
        <v>2</v>
      </c>
      <c r="B84" s="511" t="s">
        <v>602</v>
      </c>
      <c r="C84" s="523">
        <f t="shared" si="8"/>
        <v>1.2711288445354206E-3</v>
      </c>
      <c r="D84" s="523">
        <f t="shared" si="8"/>
        <v>8.8296948897999673E-4</v>
      </c>
      <c r="E84" s="523">
        <f t="shared" si="9"/>
        <v>-3.8815935555542387E-4</v>
      </c>
    </row>
    <row r="85" spans="1:5" s="506" customFormat="1" x14ac:dyDescent="0.2">
      <c r="A85" s="512">
        <v>3</v>
      </c>
      <c r="B85" s="511" t="s">
        <v>748</v>
      </c>
      <c r="C85" s="523">
        <f t="shared" si="8"/>
        <v>0.3058794797077321</v>
      </c>
      <c r="D85" s="523">
        <f t="shared" si="8"/>
        <v>0.31796365484680389</v>
      </c>
      <c r="E85" s="523">
        <f t="shared" si="9"/>
        <v>1.2084175139071784E-2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0.3058794797077321</v>
      </c>
      <c r="D86" s="523">
        <f t="shared" si="8"/>
        <v>0.31796365484680389</v>
      </c>
      <c r="E86" s="523">
        <f t="shared" si="9"/>
        <v>1.2084175139071784E-2</v>
      </c>
    </row>
    <row r="87" spans="1:5" s="506" customFormat="1" x14ac:dyDescent="0.2">
      <c r="A87" s="512">
        <v>5</v>
      </c>
      <c r="B87" s="511" t="s">
        <v>715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1.3265780888713156E-3</v>
      </c>
      <c r="D88" s="523">
        <f t="shared" si="8"/>
        <v>2.3631162278423558E-3</v>
      </c>
      <c r="E88" s="523">
        <f t="shared" si="9"/>
        <v>1.0365381389710402E-3</v>
      </c>
    </row>
    <row r="89" spans="1:5" s="506" customFormat="1" x14ac:dyDescent="0.2">
      <c r="A89" s="512">
        <v>7</v>
      </c>
      <c r="B89" s="511" t="s">
        <v>730</v>
      </c>
      <c r="C89" s="523">
        <f t="shared" si="8"/>
        <v>2.1882824231273389E-3</v>
      </c>
      <c r="D89" s="523">
        <f t="shared" si="8"/>
        <v>9.5934218987332297E-3</v>
      </c>
      <c r="E89" s="523">
        <f t="shared" si="9"/>
        <v>7.4051394756058913E-3</v>
      </c>
    </row>
    <row r="90" spans="1:5" s="506" customFormat="1" x14ac:dyDescent="0.2">
      <c r="A90" s="512"/>
      <c r="B90" s="516" t="s">
        <v>767</v>
      </c>
      <c r="C90" s="524">
        <f>SUM(C84+C85+C88)</f>
        <v>0.30847718664113882</v>
      </c>
      <c r="D90" s="524">
        <f>SUM(D84+D85+D88)</f>
        <v>0.32120974056362622</v>
      </c>
      <c r="E90" s="525">
        <f t="shared" si="9"/>
        <v>1.27325539224874E-2</v>
      </c>
    </row>
    <row r="91" spans="1:5" s="506" customFormat="1" x14ac:dyDescent="0.2">
      <c r="A91" s="512"/>
      <c r="B91" s="516" t="s">
        <v>768</v>
      </c>
      <c r="C91" s="524">
        <f>SUM(C83+C90)</f>
        <v>0.5917344850363071</v>
      </c>
      <c r="D91" s="524">
        <f>SUM(D83+D90)</f>
        <v>0.60087029815627524</v>
      </c>
      <c r="E91" s="525">
        <f t="shared" si="9"/>
        <v>9.1358131199681392E-3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769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623</v>
      </c>
      <c r="C95" s="523">
        <f t="shared" ref="C95:D101" si="10">IF(C$44=0,0,C25/C$44)</f>
        <v>0.22598586537125837</v>
      </c>
      <c r="D95" s="523">
        <f t="shared" si="10"/>
        <v>0.20848736946857693</v>
      </c>
      <c r="E95" s="523">
        <f t="shared" ref="E95:E103" si="11">D95-C95</f>
        <v>-1.7498495902681432E-2</v>
      </c>
    </row>
    <row r="96" spans="1:5" s="506" customFormat="1" x14ac:dyDescent="0.2">
      <c r="A96" s="512">
        <v>2</v>
      </c>
      <c r="B96" s="511" t="s">
        <v>602</v>
      </c>
      <c r="C96" s="523">
        <f t="shared" si="10"/>
        <v>4.1928743662210952E-4</v>
      </c>
      <c r="D96" s="523">
        <f t="shared" si="10"/>
        <v>1.7590448846601211E-4</v>
      </c>
      <c r="E96" s="523">
        <f t="shared" si="11"/>
        <v>-2.4338294815609741E-4</v>
      </c>
    </row>
    <row r="97" spans="1:5" s="506" customFormat="1" x14ac:dyDescent="0.2">
      <c r="A97" s="512">
        <v>3</v>
      </c>
      <c r="B97" s="511" t="s">
        <v>748</v>
      </c>
      <c r="C97" s="523">
        <f t="shared" si="10"/>
        <v>0.18001104607162211</v>
      </c>
      <c r="D97" s="523">
        <f t="shared" si="10"/>
        <v>0.18863250204492876</v>
      </c>
      <c r="E97" s="523">
        <f t="shared" si="11"/>
        <v>8.6214559733066576E-3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0.18001104607162211</v>
      </c>
      <c r="D98" s="523">
        <f t="shared" si="10"/>
        <v>0.18863250204492876</v>
      </c>
      <c r="E98" s="523">
        <f t="shared" si="11"/>
        <v>8.6214559733066576E-3</v>
      </c>
    </row>
    <row r="99" spans="1:5" s="506" customFormat="1" x14ac:dyDescent="0.2">
      <c r="A99" s="512">
        <v>5</v>
      </c>
      <c r="B99" s="511" t="s">
        <v>715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1.8493160841903684E-3</v>
      </c>
      <c r="D100" s="523">
        <f t="shared" si="10"/>
        <v>1.8339258417530255E-3</v>
      </c>
      <c r="E100" s="523">
        <f t="shared" si="11"/>
        <v>-1.5390242437342879E-5</v>
      </c>
    </row>
    <row r="101" spans="1:5" s="506" customFormat="1" x14ac:dyDescent="0.2">
      <c r="A101" s="512">
        <v>7</v>
      </c>
      <c r="B101" s="511" t="s">
        <v>730</v>
      </c>
      <c r="C101" s="523">
        <f t="shared" si="10"/>
        <v>5.8767153631501499E-3</v>
      </c>
      <c r="D101" s="523">
        <f t="shared" si="10"/>
        <v>5.5984161114410614E-3</v>
      </c>
      <c r="E101" s="523">
        <f t="shared" si="11"/>
        <v>-2.7829925170908855E-4</v>
      </c>
    </row>
    <row r="102" spans="1:5" s="506" customFormat="1" x14ac:dyDescent="0.2">
      <c r="A102" s="512"/>
      <c r="B102" s="516" t="s">
        <v>770</v>
      </c>
      <c r="C102" s="524">
        <f>SUM(C96+C97+C100)</f>
        <v>0.18227964959243459</v>
      </c>
      <c r="D102" s="524">
        <f>SUM(D96+D97+D100)</f>
        <v>0.1906423323751478</v>
      </c>
      <c r="E102" s="525">
        <f t="shared" si="11"/>
        <v>8.36268278271321E-3</v>
      </c>
    </row>
    <row r="103" spans="1:5" s="506" customFormat="1" x14ac:dyDescent="0.2">
      <c r="A103" s="512"/>
      <c r="B103" s="516" t="s">
        <v>771</v>
      </c>
      <c r="C103" s="524">
        <f>SUM(C95+C102)</f>
        <v>0.40826551496369295</v>
      </c>
      <c r="D103" s="524">
        <f>SUM(D95+D102)</f>
        <v>0.39912970184372476</v>
      </c>
      <c r="E103" s="525">
        <f t="shared" si="11"/>
        <v>-9.1358131199681947E-3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772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773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623</v>
      </c>
      <c r="C109" s="523">
        <f t="shared" ref="C109:D115" si="12">IF(C$77=0,0,C47/C$77)</f>
        <v>0.34914162501589457</v>
      </c>
      <c r="D109" s="523">
        <f t="shared" si="12"/>
        <v>0.37332520594653923</v>
      </c>
      <c r="E109" s="523">
        <f t="shared" ref="E109:E117" si="13">D109-C109</f>
        <v>2.4183580930644655E-2</v>
      </c>
    </row>
    <row r="110" spans="1:5" s="506" customFormat="1" x14ac:dyDescent="0.2">
      <c r="A110" s="512">
        <v>2</v>
      </c>
      <c r="B110" s="511" t="s">
        <v>602</v>
      </c>
      <c r="C110" s="523">
        <f t="shared" si="12"/>
        <v>1.6062382286962586E-2</v>
      </c>
      <c r="D110" s="523">
        <f t="shared" si="12"/>
        <v>1.6796639848232989E-2</v>
      </c>
      <c r="E110" s="523">
        <f t="shared" si="13"/>
        <v>7.3425756127040373E-4</v>
      </c>
    </row>
    <row r="111" spans="1:5" s="506" customFormat="1" x14ac:dyDescent="0.2">
      <c r="A111" s="512">
        <v>3</v>
      </c>
      <c r="B111" s="511" t="s">
        <v>748</v>
      </c>
      <c r="C111" s="523">
        <f t="shared" si="12"/>
        <v>0.23979399590924194</v>
      </c>
      <c r="D111" s="523">
        <f t="shared" si="12"/>
        <v>0.24039330103674059</v>
      </c>
      <c r="E111" s="523">
        <f t="shared" si="13"/>
        <v>5.9930512749864495E-4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0.23979399590924194</v>
      </c>
      <c r="D112" s="523">
        <f t="shared" si="12"/>
        <v>0.24039330103674059</v>
      </c>
      <c r="E112" s="523">
        <f t="shared" si="13"/>
        <v>5.9930512749864495E-4</v>
      </c>
    </row>
    <row r="113" spans="1:5" s="506" customFormat="1" x14ac:dyDescent="0.2">
      <c r="A113" s="512">
        <v>5</v>
      </c>
      <c r="B113" s="511" t="s">
        <v>715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4.6815825792738825E-4</v>
      </c>
      <c r="D114" s="523">
        <f t="shared" si="12"/>
        <v>1.8285947799043206E-3</v>
      </c>
      <c r="E114" s="523">
        <f t="shared" si="13"/>
        <v>1.3604365219769324E-3</v>
      </c>
    </row>
    <row r="115" spans="1:5" s="506" customFormat="1" x14ac:dyDescent="0.2">
      <c r="A115" s="512">
        <v>7</v>
      </c>
      <c r="B115" s="511" t="s">
        <v>730</v>
      </c>
      <c r="C115" s="523">
        <f t="shared" si="12"/>
        <v>1.3914080971162948E-3</v>
      </c>
      <c r="D115" s="523">
        <f t="shared" si="12"/>
        <v>2.82624140939064E-3</v>
      </c>
      <c r="E115" s="523">
        <f t="shared" si="13"/>
        <v>1.4348333122743452E-3</v>
      </c>
    </row>
    <row r="116" spans="1:5" s="506" customFormat="1" x14ac:dyDescent="0.2">
      <c r="A116" s="512"/>
      <c r="B116" s="516" t="s">
        <v>767</v>
      </c>
      <c r="C116" s="524">
        <f>SUM(C110+C111+C114)</f>
        <v>0.25632453645413195</v>
      </c>
      <c r="D116" s="524">
        <f>SUM(D110+D111+D114)</f>
        <v>0.25901853566487792</v>
      </c>
      <c r="E116" s="525">
        <f t="shared" si="13"/>
        <v>2.6939992107459787E-3</v>
      </c>
    </row>
    <row r="117" spans="1:5" s="506" customFormat="1" x14ac:dyDescent="0.2">
      <c r="A117" s="512"/>
      <c r="B117" s="516" t="s">
        <v>768</v>
      </c>
      <c r="C117" s="524">
        <f>SUM(C109+C116)</f>
        <v>0.60546616147002652</v>
      </c>
      <c r="D117" s="524">
        <f>SUM(D109+D116)</f>
        <v>0.63234374161141715</v>
      </c>
      <c r="E117" s="525">
        <f t="shared" si="13"/>
        <v>2.6877580141390633E-2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774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623</v>
      </c>
      <c r="C121" s="523">
        <f t="shared" ref="C121:D127" si="14">IF(C$77=0,0,C58/C$77)</f>
        <v>0.26159444415934896</v>
      </c>
      <c r="D121" s="523">
        <f t="shared" si="14"/>
        <v>0.23429765446396739</v>
      </c>
      <c r="E121" s="523">
        <f t="shared" ref="E121:E129" si="15">D121-C121</f>
        <v>-2.7296789695381574E-2</v>
      </c>
    </row>
    <row r="122" spans="1:5" s="506" customFormat="1" x14ac:dyDescent="0.2">
      <c r="A122" s="512">
        <v>2</v>
      </c>
      <c r="B122" s="511" t="s">
        <v>602</v>
      </c>
      <c r="C122" s="523">
        <f t="shared" si="14"/>
        <v>5.3432538466706416E-3</v>
      </c>
      <c r="D122" s="523">
        <f t="shared" si="14"/>
        <v>3.35263111351513E-3</v>
      </c>
      <c r="E122" s="523">
        <f t="shared" si="15"/>
        <v>-1.9906227331555116E-3</v>
      </c>
    </row>
    <row r="123" spans="1:5" s="506" customFormat="1" x14ac:dyDescent="0.2">
      <c r="A123" s="512">
        <v>3</v>
      </c>
      <c r="B123" s="511" t="s">
        <v>748</v>
      </c>
      <c r="C123" s="523">
        <f t="shared" si="14"/>
        <v>0.12544005311061918</v>
      </c>
      <c r="D123" s="523">
        <f t="shared" si="14"/>
        <v>0.12793128678157165</v>
      </c>
      <c r="E123" s="523">
        <f t="shared" si="15"/>
        <v>2.4912336709524696E-3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0.12544005311061918</v>
      </c>
      <c r="D124" s="523">
        <f t="shared" si="14"/>
        <v>0.12793128678157165</v>
      </c>
      <c r="E124" s="523">
        <f t="shared" si="15"/>
        <v>2.4912336709524696E-3</v>
      </c>
    </row>
    <row r="125" spans="1:5" s="506" customFormat="1" x14ac:dyDescent="0.2">
      <c r="A125" s="512">
        <v>5</v>
      </c>
      <c r="B125" s="511" t="s">
        <v>715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2.1560874133347155E-3</v>
      </c>
      <c r="D126" s="523">
        <f t="shared" si="14"/>
        <v>2.0746860295287085E-3</v>
      </c>
      <c r="E126" s="523">
        <f t="shared" si="15"/>
        <v>-8.1401383806006984E-5</v>
      </c>
    </row>
    <row r="127" spans="1:5" s="506" customFormat="1" x14ac:dyDescent="0.2">
      <c r="A127" s="512">
        <v>7</v>
      </c>
      <c r="B127" s="511" t="s">
        <v>730</v>
      </c>
      <c r="C127" s="523">
        <f t="shared" si="14"/>
        <v>3.7366774648792326E-3</v>
      </c>
      <c r="D127" s="523">
        <f t="shared" si="14"/>
        <v>4.2696576824932525E-3</v>
      </c>
      <c r="E127" s="523">
        <f t="shared" si="15"/>
        <v>5.3298021761401986E-4</v>
      </c>
    </row>
    <row r="128" spans="1:5" s="506" customFormat="1" x14ac:dyDescent="0.2">
      <c r="A128" s="512"/>
      <c r="B128" s="516" t="s">
        <v>770</v>
      </c>
      <c r="C128" s="524">
        <f>SUM(C122+C123+C126)</f>
        <v>0.13293939437062455</v>
      </c>
      <c r="D128" s="524">
        <f>SUM(D122+D123+D126)</f>
        <v>0.13335860392461549</v>
      </c>
      <c r="E128" s="525">
        <f t="shared" si="15"/>
        <v>4.1920955399094018E-4</v>
      </c>
    </row>
    <row r="129" spans="1:5" s="506" customFormat="1" x14ac:dyDescent="0.2">
      <c r="A129" s="512"/>
      <c r="B129" s="516" t="s">
        <v>771</v>
      </c>
      <c r="C129" s="524">
        <f>SUM(C121+C128)</f>
        <v>0.39453383852997348</v>
      </c>
      <c r="D129" s="524">
        <f>SUM(D121+D128)</f>
        <v>0.36765625838858285</v>
      </c>
      <c r="E129" s="525">
        <f t="shared" si="15"/>
        <v>-2.6877580141390633E-2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775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776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777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623</v>
      </c>
      <c r="C137" s="530">
        <v>3065</v>
      </c>
      <c r="D137" s="530">
        <v>3110</v>
      </c>
      <c r="E137" s="531">
        <f t="shared" ref="E137:E145" si="16">D137-C137</f>
        <v>45</v>
      </c>
    </row>
    <row r="138" spans="1:5" s="506" customFormat="1" x14ac:dyDescent="0.2">
      <c r="A138" s="512">
        <v>2</v>
      </c>
      <c r="B138" s="511" t="s">
        <v>602</v>
      </c>
      <c r="C138" s="530">
        <v>8</v>
      </c>
      <c r="D138" s="530">
        <v>8</v>
      </c>
      <c r="E138" s="531">
        <f t="shared" si="16"/>
        <v>0</v>
      </c>
    </row>
    <row r="139" spans="1:5" s="506" customFormat="1" x14ac:dyDescent="0.2">
      <c r="A139" s="512">
        <v>3</v>
      </c>
      <c r="B139" s="511" t="s">
        <v>748</v>
      </c>
      <c r="C139" s="530">
        <f>C140+C141</f>
        <v>3255</v>
      </c>
      <c r="D139" s="530">
        <f>D140+D141</f>
        <v>3644</v>
      </c>
      <c r="E139" s="531">
        <f t="shared" si="16"/>
        <v>389</v>
      </c>
    </row>
    <row r="140" spans="1:5" s="506" customFormat="1" x14ac:dyDescent="0.2">
      <c r="A140" s="512">
        <v>4</v>
      </c>
      <c r="B140" s="511" t="s">
        <v>114</v>
      </c>
      <c r="C140" s="530">
        <v>3255</v>
      </c>
      <c r="D140" s="530">
        <v>3644</v>
      </c>
      <c r="E140" s="531">
        <f t="shared" si="16"/>
        <v>389</v>
      </c>
    </row>
    <row r="141" spans="1:5" s="506" customFormat="1" x14ac:dyDescent="0.2">
      <c r="A141" s="512">
        <v>5</v>
      </c>
      <c r="B141" s="511" t="s">
        <v>715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418</v>
      </c>
      <c r="C142" s="530">
        <v>31</v>
      </c>
      <c r="D142" s="530">
        <v>38</v>
      </c>
      <c r="E142" s="531">
        <f t="shared" si="16"/>
        <v>7</v>
      </c>
    </row>
    <row r="143" spans="1:5" s="506" customFormat="1" x14ac:dyDescent="0.2">
      <c r="A143" s="512">
        <v>7</v>
      </c>
      <c r="B143" s="511" t="s">
        <v>730</v>
      </c>
      <c r="C143" s="530">
        <v>51</v>
      </c>
      <c r="D143" s="530">
        <v>80</v>
      </c>
      <c r="E143" s="531">
        <f t="shared" si="16"/>
        <v>29</v>
      </c>
    </row>
    <row r="144" spans="1:5" s="506" customFormat="1" x14ac:dyDescent="0.2">
      <c r="A144" s="512"/>
      <c r="B144" s="516" t="s">
        <v>778</v>
      </c>
      <c r="C144" s="532">
        <f>SUM(C138+C139+C142)</f>
        <v>3294</v>
      </c>
      <c r="D144" s="532">
        <f>SUM(D138+D139+D142)</f>
        <v>3690</v>
      </c>
      <c r="E144" s="533">
        <f t="shared" si="16"/>
        <v>396</v>
      </c>
    </row>
    <row r="145" spans="1:5" s="506" customFormat="1" x14ac:dyDescent="0.2">
      <c r="A145" s="512"/>
      <c r="B145" s="516" t="s">
        <v>692</v>
      </c>
      <c r="C145" s="532">
        <f>SUM(C137+C144)</f>
        <v>6359</v>
      </c>
      <c r="D145" s="532">
        <f>SUM(D137+D144)</f>
        <v>6800</v>
      </c>
      <c r="E145" s="533">
        <f t="shared" si="16"/>
        <v>441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623</v>
      </c>
      <c r="C149" s="534">
        <v>16827</v>
      </c>
      <c r="D149" s="534">
        <v>17275</v>
      </c>
      <c r="E149" s="531">
        <f t="shared" ref="E149:E157" si="17">D149-C149</f>
        <v>448</v>
      </c>
    </row>
    <row r="150" spans="1:5" s="506" customFormat="1" x14ac:dyDescent="0.2">
      <c r="A150" s="512">
        <v>2</v>
      </c>
      <c r="B150" s="511" t="s">
        <v>602</v>
      </c>
      <c r="C150" s="534">
        <v>77</v>
      </c>
      <c r="D150" s="534">
        <v>46</v>
      </c>
      <c r="E150" s="531">
        <f t="shared" si="17"/>
        <v>-31</v>
      </c>
    </row>
    <row r="151" spans="1:5" s="506" customFormat="1" x14ac:dyDescent="0.2">
      <c r="A151" s="512">
        <v>3</v>
      </c>
      <c r="B151" s="511" t="s">
        <v>748</v>
      </c>
      <c r="C151" s="534">
        <f>C152+C153</f>
        <v>18909</v>
      </c>
      <c r="D151" s="534">
        <f>D152+D153</f>
        <v>19338</v>
      </c>
      <c r="E151" s="531">
        <f t="shared" si="17"/>
        <v>429</v>
      </c>
    </row>
    <row r="152" spans="1:5" s="506" customFormat="1" x14ac:dyDescent="0.2">
      <c r="A152" s="512">
        <v>4</v>
      </c>
      <c r="B152" s="511" t="s">
        <v>114</v>
      </c>
      <c r="C152" s="534">
        <v>18909</v>
      </c>
      <c r="D152" s="534">
        <v>19338</v>
      </c>
      <c r="E152" s="531">
        <f t="shared" si="17"/>
        <v>429</v>
      </c>
    </row>
    <row r="153" spans="1:5" s="506" customFormat="1" x14ac:dyDescent="0.2">
      <c r="A153" s="512">
        <v>5</v>
      </c>
      <c r="B153" s="511" t="s">
        <v>715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418</v>
      </c>
      <c r="C154" s="534">
        <v>98</v>
      </c>
      <c r="D154" s="534">
        <v>140</v>
      </c>
      <c r="E154" s="531">
        <f t="shared" si="17"/>
        <v>42</v>
      </c>
    </row>
    <row r="155" spans="1:5" s="506" customFormat="1" x14ac:dyDescent="0.2">
      <c r="A155" s="512">
        <v>7</v>
      </c>
      <c r="B155" s="511" t="s">
        <v>730</v>
      </c>
      <c r="C155" s="534">
        <v>147</v>
      </c>
      <c r="D155" s="534">
        <v>585</v>
      </c>
      <c r="E155" s="531">
        <f t="shared" si="17"/>
        <v>438</v>
      </c>
    </row>
    <row r="156" spans="1:5" s="506" customFormat="1" x14ac:dyDescent="0.2">
      <c r="A156" s="512"/>
      <c r="B156" s="516" t="s">
        <v>779</v>
      </c>
      <c r="C156" s="532">
        <f>SUM(C150+C151+C154)</f>
        <v>19084</v>
      </c>
      <c r="D156" s="532">
        <f>SUM(D150+D151+D154)</f>
        <v>19524</v>
      </c>
      <c r="E156" s="533">
        <f t="shared" si="17"/>
        <v>440</v>
      </c>
    </row>
    <row r="157" spans="1:5" s="506" customFormat="1" x14ac:dyDescent="0.2">
      <c r="A157" s="512"/>
      <c r="B157" s="516" t="s">
        <v>780</v>
      </c>
      <c r="C157" s="532">
        <f>SUM(C149+C156)</f>
        <v>35911</v>
      </c>
      <c r="D157" s="532">
        <f>SUM(D149+D156)</f>
        <v>36799</v>
      </c>
      <c r="E157" s="533">
        <f t="shared" si="17"/>
        <v>888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781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623</v>
      </c>
      <c r="C161" s="536">
        <f t="shared" ref="C161:D169" si="18">IF(C137=0,0,C149/C137)</f>
        <v>5.4900489396411096</v>
      </c>
      <c r="D161" s="536">
        <f t="shared" si="18"/>
        <v>5.554662379421222</v>
      </c>
      <c r="E161" s="537">
        <f t="shared" ref="E161:E169" si="19">D161-C161</f>
        <v>6.4613439780112358E-2</v>
      </c>
    </row>
    <row r="162" spans="1:5" s="506" customFormat="1" x14ac:dyDescent="0.2">
      <c r="A162" s="512">
        <v>2</v>
      </c>
      <c r="B162" s="511" t="s">
        <v>602</v>
      </c>
      <c r="C162" s="536">
        <f t="shared" si="18"/>
        <v>9.625</v>
      </c>
      <c r="D162" s="536">
        <f t="shared" si="18"/>
        <v>5.75</v>
      </c>
      <c r="E162" s="537">
        <f t="shared" si="19"/>
        <v>-3.875</v>
      </c>
    </row>
    <row r="163" spans="1:5" s="506" customFormat="1" x14ac:dyDescent="0.2">
      <c r="A163" s="512">
        <v>3</v>
      </c>
      <c r="B163" s="511" t="s">
        <v>748</v>
      </c>
      <c r="C163" s="536">
        <f t="shared" si="18"/>
        <v>5.8092165898617507</v>
      </c>
      <c r="D163" s="536">
        <f t="shared" si="18"/>
        <v>5.3068057080131723</v>
      </c>
      <c r="E163" s="537">
        <f t="shared" si="19"/>
        <v>-0.50241088184857841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5.8092165898617507</v>
      </c>
      <c r="D164" s="536">
        <f t="shared" si="18"/>
        <v>5.3068057080131723</v>
      </c>
      <c r="E164" s="537">
        <f t="shared" si="19"/>
        <v>-0.50241088184857841</v>
      </c>
    </row>
    <row r="165" spans="1:5" s="506" customFormat="1" x14ac:dyDescent="0.2">
      <c r="A165" s="512">
        <v>5</v>
      </c>
      <c r="B165" s="511" t="s">
        <v>715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3.161290322580645</v>
      </c>
      <c r="D166" s="536">
        <f t="shared" si="18"/>
        <v>3.6842105263157894</v>
      </c>
      <c r="E166" s="537">
        <f t="shared" si="19"/>
        <v>0.52292020373514436</v>
      </c>
    </row>
    <row r="167" spans="1:5" s="506" customFormat="1" x14ac:dyDescent="0.2">
      <c r="A167" s="512">
        <v>7</v>
      </c>
      <c r="B167" s="511" t="s">
        <v>730</v>
      </c>
      <c r="C167" s="536">
        <f t="shared" si="18"/>
        <v>2.8823529411764706</v>
      </c>
      <c r="D167" s="536">
        <f t="shared" si="18"/>
        <v>7.3125</v>
      </c>
      <c r="E167" s="537">
        <f t="shared" si="19"/>
        <v>4.430147058823529</v>
      </c>
    </row>
    <row r="168" spans="1:5" s="506" customFormat="1" x14ac:dyDescent="0.2">
      <c r="A168" s="512"/>
      <c r="B168" s="516" t="s">
        <v>782</v>
      </c>
      <c r="C168" s="538">
        <f t="shared" si="18"/>
        <v>5.7935640558591377</v>
      </c>
      <c r="D168" s="538">
        <f t="shared" si="18"/>
        <v>5.2910569105691057</v>
      </c>
      <c r="E168" s="539">
        <f t="shared" si="19"/>
        <v>-0.50250714529003204</v>
      </c>
    </row>
    <row r="169" spans="1:5" s="506" customFormat="1" x14ac:dyDescent="0.2">
      <c r="A169" s="512"/>
      <c r="B169" s="516" t="s">
        <v>716</v>
      </c>
      <c r="C169" s="538">
        <f t="shared" si="18"/>
        <v>5.6472715835823246</v>
      </c>
      <c r="D169" s="538">
        <f t="shared" si="18"/>
        <v>5.4116176470588231</v>
      </c>
      <c r="E169" s="539">
        <f t="shared" si="19"/>
        <v>-0.23565393652350153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783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623</v>
      </c>
      <c r="C173" s="541">
        <f t="shared" ref="C173:D181" si="20">IF(C137=0,0,C203/C137)</f>
        <v>1.4488000000000001</v>
      </c>
      <c r="D173" s="541">
        <f t="shared" si="20"/>
        <v>1.3976</v>
      </c>
      <c r="E173" s="542">
        <f t="shared" ref="E173:E181" si="21">D173-C173</f>
        <v>-5.1200000000000134E-2</v>
      </c>
    </row>
    <row r="174" spans="1:5" s="506" customFormat="1" x14ac:dyDescent="0.2">
      <c r="A174" s="512">
        <v>2</v>
      </c>
      <c r="B174" s="511" t="s">
        <v>602</v>
      </c>
      <c r="C174" s="541">
        <f t="shared" si="20"/>
        <v>2.1772</v>
      </c>
      <c r="D174" s="541">
        <f t="shared" si="20"/>
        <v>1.7611000000000001</v>
      </c>
      <c r="E174" s="542">
        <f t="shared" si="21"/>
        <v>-0.41609999999999991</v>
      </c>
    </row>
    <row r="175" spans="1:5" s="506" customFormat="1" x14ac:dyDescent="0.2">
      <c r="A175" s="512">
        <v>0</v>
      </c>
      <c r="B175" s="511" t="s">
        <v>748</v>
      </c>
      <c r="C175" s="541">
        <f t="shared" si="20"/>
        <v>1.3611</v>
      </c>
      <c r="D175" s="541">
        <f t="shared" si="20"/>
        <v>1.2623</v>
      </c>
      <c r="E175" s="542">
        <f t="shared" si="21"/>
        <v>-9.8799999999999999E-2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1.3611</v>
      </c>
      <c r="D176" s="541">
        <f t="shared" si="20"/>
        <v>1.2623</v>
      </c>
      <c r="E176" s="542">
        <f t="shared" si="21"/>
        <v>-9.8799999999999999E-2</v>
      </c>
    </row>
    <row r="177" spans="1:5" s="506" customFormat="1" x14ac:dyDescent="0.2">
      <c r="A177" s="512">
        <v>5</v>
      </c>
      <c r="B177" s="511" t="s">
        <v>715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0.94550000000000001</v>
      </c>
      <c r="D178" s="541">
        <f t="shared" si="20"/>
        <v>1.1345000000000001</v>
      </c>
      <c r="E178" s="542">
        <f t="shared" si="21"/>
        <v>0.18900000000000006</v>
      </c>
    </row>
    <row r="179" spans="1:5" s="506" customFormat="1" x14ac:dyDescent="0.2">
      <c r="A179" s="512">
        <v>7</v>
      </c>
      <c r="B179" s="511" t="s">
        <v>730</v>
      </c>
      <c r="C179" s="541">
        <f t="shared" si="20"/>
        <v>1.1555</v>
      </c>
      <c r="D179" s="541">
        <f t="shared" si="20"/>
        <v>1.0314000000000001</v>
      </c>
      <c r="E179" s="542">
        <f t="shared" si="21"/>
        <v>-0.12409999999999988</v>
      </c>
    </row>
    <row r="180" spans="1:5" s="506" customFormat="1" x14ac:dyDescent="0.2">
      <c r="A180" s="512"/>
      <c r="B180" s="516" t="s">
        <v>784</v>
      </c>
      <c r="C180" s="543">
        <f t="shared" si="20"/>
        <v>1.3591707953855494</v>
      </c>
      <c r="D180" s="543">
        <f t="shared" si="20"/>
        <v>1.2620653116531166</v>
      </c>
      <c r="E180" s="544">
        <f t="shared" si="21"/>
        <v>-9.7105483732432774E-2</v>
      </c>
    </row>
    <row r="181" spans="1:5" s="506" customFormat="1" x14ac:dyDescent="0.2">
      <c r="A181" s="512"/>
      <c r="B181" s="516" t="s">
        <v>693</v>
      </c>
      <c r="C181" s="543">
        <f t="shared" si="20"/>
        <v>1.402371536405095</v>
      </c>
      <c r="D181" s="543">
        <f t="shared" si="20"/>
        <v>1.3240525000000001</v>
      </c>
      <c r="E181" s="544">
        <f t="shared" si="21"/>
        <v>-7.8319036405094966E-2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785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786</v>
      </c>
      <c r="C185" s="513">
        <v>172870410</v>
      </c>
      <c r="D185" s="513">
        <v>175486699</v>
      </c>
      <c r="E185" s="514">
        <f>D185-C185</f>
        <v>2616289</v>
      </c>
    </row>
    <row r="186" spans="1:5" s="506" customFormat="1" ht="25.5" x14ac:dyDescent="0.2">
      <c r="A186" s="512">
        <v>2</v>
      </c>
      <c r="B186" s="511" t="s">
        <v>787</v>
      </c>
      <c r="C186" s="513">
        <v>97607451</v>
      </c>
      <c r="D186" s="513">
        <v>107159196</v>
      </c>
      <c r="E186" s="514">
        <f>D186-C186</f>
        <v>9551745</v>
      </c>
    </row>
    <row r="187" spans="1:5" s="506" customFormat="1" x14ac:dyDescent="0.2">
      <c r="A187" s="512"/>
      <c r="B187" s="511" t="s">
        <v>635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719</v>
      </c>
      <c r="C188" s="546">
        <f>+C185-C186</f>
        <v>75262959</v>
      </c>
      <c r="D188" s="546">
        <f>+D185-D186</f>
        <v>68327503</v>
      </c>
      <c r="E188" s="514">
        <f t="shared" ref="E188:E197" si="22">D188-C188</f>
        <v>-6935456</v>
      </c>
    </row>
    <row r="189" spans="1:5" s="506" customFormat="1" x14ac:dyDescent="0.2">
      <c r="A189" s="512">
        <v>4</v>
      </c>
      <c r="B189" s="511" t="s">
        <v>637</v>
      </c>
      <c r="C189" s="547">
        <f>IF(C185=0,0,+C188/C185)</f>
        <v>0.43537213222320698</v>
      </c>
      <c r="D189" s="547">
        <f>IF(D185=0,0,+D188/D185)</f>
        <v>0.38936001069801879</v>
      </c>
      <c r="E189" s="523">
        <f t="shared" si="22"/>
        <v>-4.6012121525188188E-2</v>
      </c>
    </row>
    <row r="190" spans="1:5" s="506" customFormat="1" x14ac:dyDescent="0.2">
      <c r="A190" s="512">
        <v>5</v>
      </c>
      <c r="B190" s="511" t="s">
        <v>734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720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788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789</v>
      </c>
      <c r="C193" s="513">
        <v>442542</v>
      </c>
      <c r="D193" s="513">
        <v>1326729</v>
      </c>
      <c r="E193" s="546">
        <f t="shared" si="22"/>
        <v>884187</v>
      </c>
    </row>
    <row r="194" spans="1:5" s="506" customFormat="1" x14ac:dyDescent="0.2">
      <c r="A194" s="512">
        <v>9</v>
      </c>
      <c r="B194" s="511" t="s">
        <v>790</v>
      </c>
      <c r="C194" s="513">
        <v>3808276</v>
      </c>
      <c r="D194" s="513">
        <v>3302352</v>
      </c>
      <c r="E194" s="546">
        <f t="shared" si="22"/>
        <v>-505924</v>
      </c>
    </row>
    <row r="195" spans="1:5" s="506" customFormat="1" x14ac:dyDescent="0.2">
      <c r="A195" s="512">
        <v>10</v>
      </c>
      <c r="B195" s="511" t="s">
        <v>791</v>
      </c>
      <c r="C195" s="513">
        <f>+C193+C194</f>
        <v>4250818</v>
      </c>
      <c r="D195" s="513">
        <f>+D193+D194</f>
        <v>4629081</v>
      </c>
      <c r="E195" s="549">
        <f t="shared" si="22"/>
        <v>378263</v>
      </c>
    </row>
    <row r="196" spans="1:5" s="506" customFormat="1" x14ac:dyDescent="0.2">
      <c r="A196" s="512">
        <v>11</v>
      </c>
      <c r="B196" s="511" t="s">
        <v>792</v>
      </c>
      <c r="C196" s="513">
        <v>172870410</v>
      </c>
      <c r="D196" s="513">
        <v>175486699</v>
      </c>
      <c r="E196" s="546">
        <f t="shared" si="22"/>
        <v>2616289</v>
      </c>
    </row>
    <row r="197" spans="1:5" s="506" customFormat="1" x14ac:dyDescent="0.2">
      <c r="A197" s="512">
        <v>12</v>
      </c>
      <c r="B197" s="511" t="s">
        <v>677</v>
      </c>
      <c r="C197" s="513">
        <v>185535330</v>
      </c>
      <c r="D197" s="513">
        <v>200115623</v>
      </c>
      <c r="E197" s="546">
        <f t="shared" si="22"/>
        <v>14580293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793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794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623</v>
      </c>
      <c r="C203" s="553">
        <v>4440.5720000000001</v>
      </c>
      <c r="D203" s="553">
        <v>4346.5360000000001</v>
      </c>
      <c r="E203" s="554">
        <f t="shared" ref="E203:E211" si="23">D203-C203</f>
        <v>-94.036000000000058</v>
      </c>
    </row>
    <row r="204" spans="1:5" s="506" customFormat="1" x14ac:dyDescent="0.2">
      <c r="A204" s="512">
        <v>2</v>
      </c>
      <c r="B204" s="511" t="s">
        <v>602</v>
      </c>
      <c r="C204" s="553">
        <v>17.4176</v>
      </c>
      <c r="D204" s="553">
        <v>14.088800000000001</v>
      </c>
      <c r="E204" s="554">
        <f t="shared" si="23"/>
        <v>-3.3287999999999993</v>
      </c>
    </row>
    <row r="205" spans="1:5" s="506" customFormat="1" x14ac:dyDescent="0.2">
      <c r="A205" s="512">
        <v>3</v>
      </c>
      <c r="B205" s="511" t="s">
        <v>748</v>
      </c>
      <c r="C205" s="553">
        <f>C206+C207</f>
        <v>4430.3805000000002</v>
      </c>
      <c r="D205" s="553">
        <f>D206+D207</f>
        <v>4599.8212000000003</v>
      </c>
      <c r="E205" s="554">
        <f t="shared" si="23"/>
        <v>169.44070000000011</v>
      </c>
    </row>
    <row r="206" spans="1:5" s="506" customFormat="1" x14ac:dyDescent="0.2">
      <c r="A206" s="512">
        <v>4</v>
      </c>
      <c r="B206" s="511" t="s">
        <v>114</v>
      </c>
      <c r="C206" s="553">
        <v>4430.3805000000002</v>
      </c>
      <c r="D206" s="553">
        <v>4599.8212000000003</v>
      </c>
      <c r="E206" s="554">
        <f t="shared" si="23"/>
        <v>169.44070000000011</v>
      </c>
    </row>
    <row r="207" spans="1:5" s="506" customFormat="1" x14ac:dyDescent="0.2">
      <c r="A207" s="512">
        <v>5</v>
      </c>
      <c r="B207" s="511" t="s">
        <v>715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418</v>
      </c>
      <c r="C208" s="553">
        <v>29.310500000000001</v>
      </c>
      <c r="D208" s="553">
        <v>43.111000000000004</v>
      </c>
      <c r="E208" s="554">
        <f t="shared" si="23"/>
        <v>13.800500000000003</v>
      </c>
    </row>
    <row r="209" spans="1:5" s="506" customFormat="1" x14ac:dyDescent="0.2">
      <c r="A209" s="512">
        <v>7</v>
      </c>
      <c r="B209" s="511" t="s">
        <v>730</v>
      </c>
      <c r="C209" s="553">
        <v>58.930499999999995</v>
      </c>
      <c r="D209" s="553">
        <v>82.512</v>
      </c>
      <c r="E209" s="554">
        <f t="shared" si="23"/>
        <v>23.581500000000005</v>
      </c>
    </row>
    <row r="210" spans="1:5" s="506" customFormat="1" x14ac:dyDescent="0.2">
      <c r="A210" s="512"/>
      <c r="B210" s="516" t="s">
        <v>795</v>
      </c>
      <c r="C210" s="555">
        <f>C204+C205+C208</f>
        <v>4477.1085999999996</v>
      </c>
      <c r="D210" s="555">
        <f>D204+D205+D208</f>
        <v>4657.0210000000006</v>
      </c>
      <c r="E210" s="556">
        <f t="shared" si="23"/>
        <v>179.91240000000107</v>
      </c>
    </row>
    <row r="211" spans="1:5" s="506" customFormat="1" x14ac:dyDescent="0.2">
      <c r="A211" s="512"/>
      <c r="B211" s="516" t="s">
        <v>694</v>
      </c>
      <c r="C211" s="555">
        <f>C210+C203</f>
        <v>8917.6805999999997</v>
      </c>
      <c r="D211" s="555">
        <f>D210+D203</f>
        <v>9003.5570000000007</v>
      </c>
      <c r="E211" s="556">
        <f t="shared" si="23"/>
        <v>85.876400000001013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796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623</v>
      </c>
      <c r="C215" s="557">
        <f>IF(C14*C137=0,0,C25/C14*C137)</f>
        <v>2445.2915468981328</v>
      </c>
      <c r="D215" s="557">
        <f>IF(D14*D137=0,0,D25/D14*D137)</f>
        <v>2318.5097127343979</v>
      </c>
      <c r="E215" s="557">
        <f t="shared" ref="E215:E223" si="24">D215-C215</f>
        <v>-126.78183416373486</v>
      </c>
    </row>
    <row r="216" spans="1:5" s="506" customFormat="1" x14ac:dyDescent="0.2">
      <c r="A216" s="512">
        <v>2</v>
      </c>
      <c r="B216" s="511" t="s">
        <v>602</v>
      </c>
      <c r="C216" s="557">
        <f>IF(C15*C138=0,0,C26/C15*C138)</f>
        <v>2.6388351640331349</v>
      </c>
      <c r="D216" s="557">
        <f>IF(D15*D138=0,0,D26/D15*D138)</f>
        <v>1.5937537200223431</v>
      </c>
      <c r="E216" s="557">
        <f t="shared" si="24"/>
        <v>-1.0450814440107918</v>
      </c>
    </row>
    <row r="217" spans="1:5" s="506" customFormat="1" x14ac:dyDescent="0.2">
      <c r="A217" s="512">
        <v>3</v>
      </c>
      <c r="B217" s="511" t="s">
        <v>748</v>
      </c>
      <c r="C217" s="557">
        <f>C218+C219</f>
        <v>1915.5778462909375</v>
      </c>
      <c r="D217" s="557">
        <f>D218+D219</f>
        <v>2161.8094614710012</v>
      </c>
      <c r="E217" s="557">
        <f t="shared" si="24"/>
        <v>246.23161518006373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1915.5778462909375</v>
      </c>
      <c r="D218" s="557">
        <f t="shared" si="25"/>
        <v>2161.8094614710012</v>
      </c>
      <c r="E218" s="557">
        <f t="shared" si="24"/>
        <v>246.23161518006373</v>
      </c>
    </row>
    <row r="219" spans="1:5" s="506" customFormat="1" x14ac:dyDescent="0.2">
      <c r="A219" s="512">
        <v>5</v>
      </c>
      <c r="B219" s="511" t="s">
        <v>715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43.215547649123423</v>
      </c>
      <c r="D220" s="557">
        <f t="shared" si="25"/>
        <v>29.490374263243375</v>
      </c>
      <c r="E220" s="557">
        <f t="shared" si="24"/>
        <v>-13.725173385880048</v>
      </c>
    </row>
    <row r="221" spans="1:5" s="506" customFormat="1" x14ac:dyDescent="0.2">
      <c r="A221" s="512">
        <v>7</v>
      </c>
      <c r="B221" s="511" t="s">
        <v>730</v>
      </c>
      <c r="C221" s="557">
        <f t="shared" si="25"/>
        <v>136.96243243243245</v>
      </c>
      <c r="D221" s="557">
        <f t="shared" si="25"/>
        <v>46.685457352232646</v>
      </c>
      <c r="E221" s="557">
        <f t="shared" si="24"/>
        <v>-90.276975080199804</v>
      </c>
    </row>
    <row r="222" spans="1:5" s="506" customFormat="1" x14ac:dyDescent="0.2">
      <c r="A222" s="512"/>
      <c r="B222" s="516" t="s">
        <v>797</v>
      </c>
      <c r="C222" s="558">
        <f>C216+C218+C219+C220</f>
        <v>1961.4322291040939</v>
      </c>
      <c r="D222" s="558">
        <f>D216+D218+D219+D220</f>
        <v>2192.8935894542669</v>
      </c>
      <c r="E222" s="558">
        <f t="shared" si="24"/>
        <v>231.46136035017298</v>
      </c>
    </row>
    <row r="223" spans="1:5" s="506" customFormat="1" x14ac:dyDescent="0.2">
      <c r="A223" s="512"/>
      <c r="B223" s="516" t="s">
        <v>798</v>
      </c>
      <c r="C223" s="558">
        <f>C215+C222</f>
        <v>4406.7237760022272</v>
      </c>
      <c r="D223" s="558">
        <f>D215+D222</f>
        <v>4511.4033021886644</v>
      </c>
      <c r="E223" s="558">
        <f t="shared" si="24"/>
        <v>104.67952618643722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799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623</v>
      </c>
      <c r="C227" s="560">
        <f t="shared" ref="C227:D235" si="26">IF(C203=0,0,C47/C203)</f>
        <v>12834.779843677796</v>
      </c>
      <c r="D227" s="560">
        <f t="shared" si="26"/>
        <v>15326.428677917311</v>
      </c>
      <c r="E227" s="560">
        <f t="shared" ref="E227:E235" si="27">D227-C227</f>
        <v>2491.6488342395151</v>
      </c>
    </row>
    <row r="228" spans="1:5" s="506" customFormat="1" x14ac:dyDescent="0.2">
      <c r="A228" s="512">
        <v>2</v>
      </c>
      <c r="B228" s="511" t="s">
        <v>602</v>
      </c>
      <c r="C228" s="560">
        <f t="shared" si="26"/>
        <v>150538.42090758772</v>
      </c>
      <c r="D228" s="560">
        <f t="shared" si="26"/>
        <v>212738.13241723922</v>
      </c>
      <c r="E228" s="560">
        <f t="shared" si="27"/>
        <v>62199.711509651504</v>
      </c>
    </row>
    <row r="229" spans="1:5" s="506" customFormat="1" x14ac:dyDescent="0.2">
      <c r="A229" s="512">
        <v>3</v>
      </c>
      <c r="B229" s="511" t="s">
        <v>748</v>
      </c>
      <c r="C229" s="560">
        <f t="shared" si="26"/>
        <v>8835.3343465645885</v>
      </c>
      <c r="D229" s="560">
        <f t="shared" si="26"/>
        <v>9325.6335702787746</v>
      </c>
      <c r="E229" s="560">
        <f t="shared" si="27"/>
        <v>490.29922371418616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8835.3343465645885</v>
      </c>
      <c r="D230" s="560">
        <f t="shared" si="26"/>
        <v>9325.6335702787746</v>
      </c>
      <c r="E230" s="560">
        <f t="shared" si="27"/>
        <v>490.29922371418616</v>
      </c>
    </row>
    <row r="231" spans="1:5" s="506" customFormat="1" x14ac:dyDescent="0.2">
      <c r="A231" s="512">
        <v>5</v>
      </c>
      <c r="B231" s="511" t="s">
        <v>715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2607.3250200440116</v>
      </c>
      <c r="D232" s="560">
        <f t="shared" si="26"/>
        <v>7568.7875484215156</v>
      </c>
      <c r="E232" s="560">
        <f t="shared" si="27"/>
        <v>4961.462528377504</v>
      </c>
    </row>
    <row r="233" spans="1:5" s="506" customFormat="1" x14ac:dyDescent="0.2">
      <c r="A233" s="512">
        <v>7</v>
      </c>
      <c r="B233" s="511" t="s">
        <v>730</v>
      </c>
      <c r="C233" s="560">
        <f t="shared" si="26"/>
        <v>3854.2520426604224</v>
      </c>
      <c r="D233" s="560">
        <f t="shared" si="26"/>
        <v>6112.0806670544889</v>
      </c>
      <c r="E233" s="560">
        <f t="shared" si="27"/>
        <v>2257.8286243940665</v>
      </c>
    </row>
    <row r="234" spans="1:5" x14ac:dyDescent="0.2">
      <c r="A234" s="512"/>
      <c r="B234" s="516" t="s">
        <v>800</v>
      </c>
      <c r="C234" s="561">
        <f t="shared" si="26"/>
        <v>9345.8382939381918</v>
      </c>
      <c r="D234" s="561">
        <f t="shared" si="26"/>
        <v>9924.7501782792042</v>
      </c>
      <c r="E234" s="561">
        <f t="shared" si="27"/>
        <v>578.91188434101241</v>
      </c>
    </row>
    <row r="235" spans="1:5" s="506" customFormat="1" x14ac:dyDescent="0.2">
      <c r="A235" s="512"/>
      <c r="B235" s="516" t="s">
        <v>801</v>
      </c>
      <c r="C235" s="561">
        <f t="shared" si="26"/>
        <v>11083.161803305671</v>
      </c>
      <c r="D235" s="561">
        <f t="shared" si="26"/>
        <v>12532.451785444351</v>
      </c>
      <c r="E235" s="561">
        <f t="shared" si="27"/>
        <v>1449.28998213868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802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623</v>
      </c>
      <c r="C239" s="560">
        <f t="shared" ref="C239:D247" si="28">IF(C215=0,0,C58/C215)</f>
        <v>17463.190045444069</v>
      </c>
      <c r="D239" s="560">
        <f t="shared" si="28"/>
        <v>18032.500692305475</v>
      </c>
      <c r="E239" s="562">
        <f t="shared" ref="E239:E247" si="29">D239-C239</f>
        <v>569.31064686140598</v>
      </c>
    </row>
    <row r="240" spans="1:5" s="506" customFormat="1" x14ac:dyDescent="0.2">
      <c r="A240" s="512">
        <v>2</v>
      </c>
      <c r="B240" s="511" t="s">
        <v>602</v>
      </c>
      <c r="C240" s="560">
        <f t="shared" si="28"/>
        <v>330536.37145978538</v>
      </c>
      <c r="D240" s="560">
        <f t="shared" si="28"/>
        <v>375371.67285269964</v>
      </c>
      <c r="E240" s="562">
        <f t="shared" si="29"/>
        <v>44835.301392914262</v>
      </c>
    </row>
    <row r="241" spans="1:5" x14ac:dyDescent="0.2">
      <c r="A241" s="512">
        <v>3</v>
      </c>
      <c r="B241" s="511" t="s">
        <v>748</v>
      </c>
      <c r="C241" s="560">
        <f t="shared" si="28"/>
        <v>10689.616733482513</v>
      </c>
      <c r="D241" s="560">
        <f t="shared" si="28"/>
        <v>10559.814547423852</v>
      </c>
      <c r="E241" s="562">
        <f t="shared" si="29"/>
        <v>-129.80218605866139</v>
      </c>
    </row>
    <row r="242" spans="1:5" x14ac:dyDescent="0.2">
      <c r="A242" s="512">
        <v>4</v>
      </c>
      <c r="B242" s="511" t="s">
        <v>114</v>
      </c>
      <c r="C242" s="560">
        <f t="shared" si="28"/>
        <v>10689.616733482513</v>
      </c>
      <c r="D242" s="560">
        <f t="shared" si="28"/>
        <v>10559.814547423852</v>
      </c>
      <c r="E242" s="562">
        <f t="shared" si="29"/>
        <v>-129.80218605866139</v>
      </c>
    </row>
    <row r="243" spans="1:5" x14ac:dyDescent="0.2">
      <c r="A243" s="512">
        <v>5</v>
      </c>
      <c r="B243" s="511" t="s">
        <v>715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418</v>
      </c>
      <c r="C244" s="560">
        <f t="shared" si="28"/>
        <v>8144.2679578570396</v>
      </c>
      <c r="D244" s="560">
        <f t="shared" si="28"/>
        <v>12553.62162227384</v>
      </c>
      <c r="E244" s="562">
        <f t="shared" si="29"/>
        <v>4409.3536644168007</v>
      </c>
    </row>
    <row r="245" spans="1:5" x14ac:dyDescent="0.2">
      <c r="A245" s="512">
        <v>7</v>
      </c>
      <c r="B245" s="511" t="s">
        <v>730</v>
      </c>
      <c r="C245" s="560">
        <f t="shared" si="28"/>
        <v>4453.5862073048238</v>
      </c>
      <c r="D245" s="560">
        <f t="shared" si="28"/>
        <v>16319.557378472682</v>
      </c>
      <c r="E245" s="562">
        <f t="shared" si="29"/>
        <v>11865.971171167857</v>
      </c>
    </row>
    <row r="246" spans="1:5" ht="25.5" x14ac:dyDescent="0.2">
      <c r="A246" s="512"/>
      <c r="B246" s="516" t="s">
        <v>803</v>
      </c>
      <c r="C246" s="561">
        <f t="shared" si="28"/>
        <v>11063.84542784441</v>
      </c>
      <c r="D246" s="561">
        <f t="shared" si="28"/>
        <v>10851.765956378287</v>
      </c>
      <c r="E246" s="563">
        <f t="shared" si="29"/>
        <v>-212.07947146612241</v>
      </c>
    </row>
    <row r="247" spans="1:5" x14ac:dyDescent="0.2">
      <c r="A247" s="512"/>
      <c r="B247" s="516" t="s">
        <v>804</v>
      </c>
      <c r="C247" s="561">
        <f t="shared" si="28"/>
        <v>14614.842516502547</v>
      </c>
      <c r="D247" s="561">
        <f t="shared" si="28"/>
        <v>14542.103998587803</v>
      </c>
      <c r="E247" s="563">
        <f t="shared" si="29"/>
        <v>-72.738517914744079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732</v>
      </c>
      <c r="B249" s="550" t="s">
        <v>729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612691357.56175697</v>
      </c>
      <c r="D251" s="546">
        <f>((IF((IF(D15=0,0,D26/D15)*D138)=0,0,D59/(IF(D15=0,0,D26/D15)*D138)))-(IF((IF(D17=0,0,D28/D17)*D140)=0,0,D61/(IF(D17=0,0,D28/D17)*D140))))*(IF(D17=0,0,D28/D17)*D140)</f>
        <v>788653726.94116342</v>
      </c>
      <c r="E251" s="546">
        <f>D251-C251</f>
        <v>175962369.37940645</v>
      </c>
    </row>
    <row r="252" spans="1:5" x14ac:dyDescent="0.2">
      <c r="A252" s="512">
        <v>2</v>
      </c>
      <c r="B252" s="511" t="s">
        <v>715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730</v>
      </c>
      <c r="C253" s="546">
        <f>IF(C233=0,0,(C228-C233)*C209+IF(C221=0,0,(C240-C245)*C221))</f>
        <v>53305262.855816841</v>
      </c>
      <c r="D253" s="546">
        <f>IF(D233=0,0,(D228-D233)*D209+IF(D221=0,0,(D240-D245)*D221))</f>
        <v>33811641.006212175</v>
      </c>
      <c r="E253" s="546">
        <f>D253-C253</f>
        <v>-19493621.849604666</v>
      </c>
    </row>
    <row r="254" spans="1:5" ht="15" customHeight="1" x14ac:dyDescent="0.2">
      <c r="A254" s="512"/>
      <c r="B254" s="516" t="s">
        <v>731</v>
      </c>
      <c r="C254" s="564">
        <f>+C251+C252+C253</f>
        <v>665996620.41757381</v>
      </c>
      <c r="D254" s="564">
        <f>+D251+D252+D253</f>
        <v>822465367.94737554</v>
      </c>
      <c r="E254" s="564">
        <f>D254-C254</f>
        <v>156468747.52980173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805</v>
      </c>
      <c r="B256" s="550" t="s">
        <v>806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697</v>
      </c>
      <c r="C258" s="546">
        <f>+C44</f>
        <v>344928055</v>
      </c>
      <c r="D258" s="549">
        <f>+D44</f>
        <v>371042266</v>
      </c>
      <c r="E258" s="546">
        <f t="shared" ref="E258:E271" si="30">D258-C258</f>
        <v>26114211</v>
      </c>
    </row>
    <row r="259" spans="1:5" x14ac:dyDescent="0.2">
      <c r="A259" s="512">
        <v>2</v>
      </c>
      <c r="B259" s="511" t="s">
        <v>714</v>
      </c>
      <c r="C259" s="546">
        <f>+(C43-C76)</f>
        <v>105732485</v>
      </c>
      <c r="D259" s="549">
        <f>+(D43-D76)</f>
        <v>119902215</v>
      </c>
      <c r="E259" s="546">
        <f t="shared" si="30"/>
        <v>14169730</v>
      </c>
    </row>
    <row r="260" spans="1:5" x14ac:dyDescent="0.2">
      <c r="A260" s="512">
        <v>3</v>
      </c>
      <c r="B260" s="511" t="s">
        <v>718</v>
      </c>
      <c r="C260" s="546">
        <f>C195</f>
        <v>4250818</v>
      </c>
      <c r="D260" s="546">
        <f>D195</f>
        <v>4629081</v>
      </c>
      <c r="E260" s="546">
        <f t="shared" si="30"/>
        <v>378263</v>
      </c>
    </row>
    <row r="261" spans="1:5" x14ac:dyDescent="0.2">
      <c r="A261" s="512">
        <v>4</v>
      </c>
      <c r="B261" s="511" t="s">
        <v>719</v>
      </c>
      <c r="C261" s="546">
        <f>C188</f>
        <v>75262959</v>
      </c>
      <c r="D261" s="546">
        <f>D188</f>
        <v>68327503</v>
      </c>
      <c r="E261" s="546">
        <f t="shared" si="30"/>
        <v>-6935456</v>
      </c>
    </row>
    <row r="262" spans="1:5" x14ac:dyDescent="0.2">
      <c r="A262" s="512">
        <v>5</v>
      </c>
      <c r="B262" s="511" t="s">
        <v>720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721</v>
      </c>
      <c r="C263" s="546">
        <f>+C259+C260+C261+C262</f>
        <v>185246262</v>
      </c>
      <c r="D263" s="546">
        <f>+D259+D260+D261+D262</f>
        <v>192858799</v>
      </c>
      <c r="E263" s="546">
        <f t="shared" si="30"/>
        <v>7612537</v>
      </c>
    </row>
    <row r="264" spans="1:5" x14ac:dyDescent="0.2">
      <c r="A264" s="512">
        <v>7</v>
      </c>
      <c r="B264" s="511" t="s">
        <v>621</v>
      </c>
      <c r="C264" s="546">
        <f>+C258-C263</f>
        <v>159681793</v>
      </c>
      <c r="D264" s="546">
        <f>+D258-D263</f>
        <v>178183467</v>
      </c>
      <c r="E264" s="546">
        <f t="shared" si="30"/>
        <v>18501674</v>
      </c>
    </row>
    <row r="265" spans="1:5" x14ac:dyDescent="0.2">
      <c r="A265" s="512">
        <v>8</v>
      </c>
      <c r="B265" s="511" t="s">
        <v>807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808</v>
      </c>
      <c r="C266" s="546">
        <f>+C264+C265</f>
        <v>159681793</v>
      </c>
      <c r="D266" s="546">
        <f>+D264+D265</f>
        <v>178183467</v>
      </c>
      <c r="E266" s="565">
        <f t="shared" si="30"/>
        <v>18501674</v>
      </c>
    </row>
    <row r="267" spans="1:5" x14ac:dyDescent="0.2">
      <c r="A267" s="512">
        <v>10</v>
      </c>
      <c r="B267" s="511" t="s">
        <v>809</v>
      </c>
      <c r="C267" s="566">
        <f>IF(C258=0,0,C266/C258)</f>
        <v>0.46294231705797317</v>
      </c>
      <c r="D267" s="566">
        <f>IF(D258=0,0,D266/D258)</f>
        <v>0.48022417747955431</v>
      </c>
      <c r="E267" s="567">
        <f t="shared" si="30"/>
        <v>1.7281860421581141E-2</v>
      </c>
    </row>
    <row r="268" spans="1:5" x14ac:dyDescent="0.2">
      <c r="A268" s="512">
        <v>11</v>
      </c>
      <c r="B268" s="511" t="s">
        <v>683</v>
      </c>
      <c r="C268" s="546">
        <f>+C260*C267</f>
        <v>1967883.5343117395</v>
      </c>
      <c r="D268" s="568">
        <f>+D260*D267</f>
        <v>2222996.6157112326</v>
      </c>
      <c r="E268" s="546">
        <f t="shared" si="30"/>
        <v>255113.08139949315</v>
      </c>
    </row>
    <row r="269" spans="1:5" x14ac:dyDescent="0.2">
      <c r="A269" s="512">
        <v>12</v>
      </c>
      <c r="B269" s="511" t="s">
        <v>810</v>
      </c>
      <c r="C269" s="546">
        <f>((C17+C18+C28+C29)*C267)-(C50+C51+C61+C62)</f>
        <v>17967184.358160004</v>
      </c>
      <c r="D269" s="568">
        <f>((D17+D18+D28+D29)*D267)-(D50+D51+D61+D62)</f>
        <v>24542505.603844866</v>
      </c>
      <c r="E269" s="546">
        <f t="shared" si="30"/>
        <v>6575321.2456848621</v>
      </c>
    </row>
    <row r="270" spans="1:5" s="569" customFormat="1" x14ac:dyDescent="0.2">
      <c r="A270" s="570">
        <v>13</v>
      </c>
      <c r="B270" s="571" t="s">
        <v>811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812</v>
      </c>
      <c r="C271" s="546">
        <f>+C268+C269+C270</f>
        <v>19935067.892471742</v>
      </c>
      <c r="D271" s="546">
        <f>+D268+D269+D270</f>
        <v>26765502.219556101</v>
      </c>
      <c r="E271" s="549">
        <f t="shared" si="30"/>
        <v>6830434.3270843588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813</v>
      </c>
      <c r="B273" s="550" t="s">
        <v>814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815</v>
      </c>
      <c r="C275" s="340"/>
      <c r="D275" s="340"/>
      <c r="E275" s="520"/>
    </row>
    <row r="276" spans="1:5" x14ac:dyDescent="0.2">
      <c r="A276" s="512">
        <v>1</v>
      </c>
      <c r="B276" s="511" t="s">
        <v>623</v>
      </c>
      <c r="C276" s="547">
        <f t="shared" ref="C276:D284" si="31">IF(C14=0,0,+C47/C14)</f>
        <v>0.5833345658050817</v>
      </c>
      <c r="D276" s="547">
        <f t="shared" si="31"/>
        <v>0.64199204503499308</v>
      </c>
      <c r="E276" s="574">
        <f t="shared" ref="E276:E284" si="32">D276-C276</f>
        <v>5.865747922991138E-2</v>
      </c>
    </row>
    <row r="277" spans="1:5" x14ac:dyDescent="0.2">
      <c r="A277" s="512">
        <v>2</v>
      </c>
      <c r="B277" s="511" t="s">
        <v>602</v>
      </c>
      <c r="C277" s="547">
        <f t="shared" si="31"/>
        <v>5.9802257052147576</v>
      </c>
      <c r="D277" s="547">
        <f t="shared" si="31"/>
        <v>9.1485078704226552</v>
      </c>
      <c r="E277" s="574">
        <f t="shared" si="32"/>
        <v>3.1682821652078976</v>
      </c>
    </row>
    <row r="278" spans="1:5" x14ac:dyDescent="0.2">
      <c r="A278" s="512">
        <v>3</v>
      </c>
      <c r="B278" s="511" t="s">
        <v>748</v>
      </c>
      <c r="C278" s="547">
        <f t="shared" si="31"/>
        <v>0.37100960516011849</v>
      </c>
      <c r="D278" s="547">
        <f t="shared" si="31"/>
        <v>0.36359544458962695</v>
      </c>
      <c r="E278" s="574">
        <f t="shared" si="32"/>
        <v>-7.4141605704915459E-3</v>
      </c>
    </row>
    <row r="279" spans="1:5" x14ac:dyDescent="0.2">
      <c r="A279" s="512">
        <v>4</v>
      </c>
      <c r="B279" s="511" t="s">
        <v>114</v>
      </c>
      <c r="C279" s="547">
        <f t="shared" si="31"/>
        <v>0.37100960516011849</v>
      </c>
      <c r="D279" s="547">
        <f t="shared" si="31"/>
        <v>0.36359544458962695</v>
      </c>
      <c r="E279" s="574">
        <f t="shared" si="32"/>
        <v>-7.4141605704915459E-3</v>
      </c>
    </row>
    <row r="280" spans="1:5" x14ac:dyDescent="0.2">
      <c r="A280" s="512">
        <v>5</v>
      </c>
      <c r="B280" s="511" t="s">
        <v>715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418</v>
      </c>
      <c r="C281" s="547">
        <f t="shared" si="31"/>
        <v>0.16701560840432367</v>
      </c>
      <c r="D281" s="547">
        <f t="shared" si="31"/>
        <v>0.37213965073630045</v>
      </c>
      <c r="E281" s="574">
        <f t="shared" si="32"/>
        <v>0.20512404233197679</v>
      </c>
    </row>
    <row r="282" spans="1:5" x14ac:dyDescent="0.2">
      <c r="A282" s="512">
        <v>7</v>
      </c>
      <c r="B282" s="511" t="s">
        <v>730</v>
      </c>
      <c r="C282" s="547">
        <f t="shared" si="31"/>
        <v>0.30091812400635931</v>
      </c>
      <c r="D282" s="547">
        <f t="shared" si="31"/>
        <v>0.14168023339930583</v>
      </c>
      <c r="E282" s="574">
        <f t="shared" si="32"/>
        <v>-0.15923789060705348</v>
      </c>
    </row>
    <row r="283" spans="1:5" ht="29.25" customHeight="1" x14ac:dyDescent="0.2">
      <c r="A283" s="512"/>
      <c r="B283" s="516" t="s">
        <v>816</v>
      </c>
      <c r="C283" s="575">
        <f t="shared" si="31"/>
        <v>0.39324600613467159</v>
      </c>
      <c r="D283" s="575">
        <f t="shared" si="31"/>
        <v>0.38780704095630236</v>
      </c>
      <c r="E283" s="576">
        <f t="shared" si="32"/>
        <v>-5.4389651783692261E-3</v>
      </c>
    </row>
    <row r="284" spans="1:5" x14ac:dyDescent="0.2">
      <c r="A284" s="512"/>
      <c r="B284" s="516" t="s">
        <v>817</v>
      </c>
      <c r="C284" s="575">
        <f t="shared" si="31"/>
        <v>0.48423947234234987</v>
      </c>
      <c r="D284" s="575">
        <f t="shared" si="31"/>
        <v>0.50611130760162815</v>
      </c>
      <c r="E284" s="576">
        <f t="shared" si="32"/>
        <v>2.1871835259278272E-2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818</v>
      </c>
      <c r="C286" s="520"/>
      <c r="D286" s="520"/>
      <c r="E286" s="520"/>
    </row>
    <row r="287" spans="1:5" x14ac:dyDescent="0.2">
      <c r="A287" s="512">
        <v>1</v>
      </c>
      <c r="B287" s="511" t="s">
        <v>623</v>
      </c>
      <c r="C287" s="547">
        <f t="shared" ref="C287:D295" si="33">IF(C25=0,0,+C58/C25)</f>
        <v>0.54782825894899179</v>
      </c>
      <c r="D287" s="547">
        <f t="shared" si="33"/>
        <v>0.5404577436231045</v>
      </c>
      <c r="E287" s="574">
        <f t="shared" ref="E287:E295" si="34">D287-C287</f>
        <v>-7.3705153258872835E-3</v>
      </c>
    </row>
    <row r="288" spans="1:5" x14ac:dyDescent="0.2">
      <c r="A288" s="512">
        <v>2</v>
      </c>
      <c r="B288" s="511" t="s">
        <v>602</v>
      </c>
      <c r="C288" s="547">
        <f t="shared" si="33"/>
        <v>6.0310252793450605</v>
      </c>
      <c r="D288" s="547">
        <f t="shared" si="33"/>
        <v>9.1660538089109522</v>
      </c>
      <c r="E288" s="574">
        <f t="shared" si="34"/>
        <v>3.1350285295658917</v>
      </c>
    </row>
    <row r="289" spans="1:5" x14ac:dyDescent="0.2">
      <c r="A289" s="512">
        <v>3</v>
      </c>
      <c r="B289" s="511" t="s">
        <v>748</v>
      </c>
      <c r="C289" s="547">
        <f t="shared" si="33"/>
        <v>0.32978755649382213</v>
      </c>
      <c r="D289" s="547">
        <f t="shared" si="33"/>
        <v>0.32616232592616573</v>
      </c>
      <c r="E289" s="574">
        <f t="shared" si="34"/>
        <v>-3.6252305676564012E-3</v>
      </c>
    </row>
    <row r="290" spans="1:5" x14ac:dyDescent="0.2">
      <c r="A290" s="512">
        <v>4</v>
      </c>
      <c r="B290" s="511" t="s">
        <v>114</v>
      </c>
      <c r="C290" s="547">
        <f t="shared" si="33"/>
        <v>0.32978755649382213</v>
      </c>
      <c r="D290" s="547">
        <f t="shared" si="33"/>
        <v>0.32616232592616573</v>
      </c>
      <c r="E290" s="574">
        <f t="shared" si="34"/>
        <v>-3.6252305676564012E-3</v>
      </c>
    </row>
    <row r="291" spans="1:5" x14ac:dyDescent="0.2">
      <c r="A291" s="512">
        <v>5</v>
      </c>
      <c r="B291" s="511" t="s">
        <v>715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418</v>
      </c>
      <c r="C292" s="547">
        <f t="shared" si="33"/>
        <v>0.55176278961122838</v>
      </c>
      <c r="D292" s="547">
        <f t="shared" si="33"/>
        <v>0.54405670248536298</v>
      </c>
      <c r="E292" s="574">
        <f t="shared" si="34"/>
        <v>-7.7060871258654018E-3</v>
      </c>
    </row>
    <row r="293" spans="1:5" x14ac:dyDescent="0.2">
      <c r="A293" s="512">
        <v>7</v>
      </c>
      <c r="B293" s="511" t="s">
        <v>730</v>
      </c>
      <c r="C293" s="547">
        <f t="shared" si="33"/>
        <v>0.30091798698005567</v>
      </c>
      <c r="D293" s="547">
        <f t="shared" si="33"/>
        <v>0.36677644326703251</v>
      </c>
      <c r="E293" s="574">
        <f t="shared" si="34"/>
        <v>6.5858456286976841E-2</v>
      </c>
    </row>
    <row r="294" spans="1:5" ht="29.25" customHeight="1" x14ac:dyDescent="0.2">
      <c r="A294" s="512"/>
      <c r="B294" s="516" t="s">
        <v>819</v>
      </c>
      <c r="C294" s="575">
        <f t="shared" si="33"/>
        <v>0.34515383421898921</v>
      </c>
      <c r="D294" s="575">
        <f t="shared" si="33"/>
        <v>0.33641492141743279</v>
      </c>
      <c r="E294" s="576">
        <f t="shared" si="34"/>
        <v>-8.7389128015564199E-3</v>
      </c>
    </row>
    <row r="295" spans="1:5" x14ac:dyDescent="0.2">
      <c r="A295" s="512"/>
      <c r="B295" s="516" t="s">
        <v>820</v>
      </c>
      <c r="C295" s="575">
        <f t="shared" si="33"/>
        <v>0.45733954078130989</v>
      </c>
      <c r="D295" s="575">
        <f t="shared" si="33"/>
        <v>0.44299769655066823</v>
      </c>
      <c r="E295" s="576">
        <f t="shared" si="34"/>
        <v>-1.4341844230641665E-2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821</v>
      </c>
      <c r="B297" s="501" t="s">
        <v>822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823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621</v>
      </c>
      <c r="C301" s="514">
        <f>+C48+C47+C50+C51+C52+C59+C58+C61+C62+C63</f>
        <v>163239671</v>
      </c>
      <c r="D301" s="514">
        <f>+D48+D47+D50+D51+D52+D59+D58+D61+D62+D63</f>
        <v>178441940</v>
      </c>
      <c r="E301" s="514">
        <f>D301-C301</f>
        <v>15202269</v>
      </c>
    </row>
    <row r="302" spans="1:5" ht="25.5" x14ac:dyDescent="0.2">
      <c r="A302" s="512">
        <v>2</v>
      </c>
      <c r="B302" s="511" t="s">
        <v>824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825</v>
      </c>
      <c r="C303" s="517">
        <f>+C301+C302</f>
        <v>163239671</v>
      </c>
      <c r="D303" s="517">
        <f>+D301+D302</f>
        <v>178441940</v>
      </c>
      <c r="E303" s="517">
        <f>D303-C303</f>
        <v>15202269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826</v>
      </c>
      <c r="C305" s="513">
        <v>15236782</v>
      </c>
      <c r="D305" s="578">
        <v>6786090</v>
      </c>
      <c r="E305" s="579">
        <f>D305-C305</f>
        <v>-8450692</v>
      </c>
    </row>
    <row r="306" spans="1:5" x14ac:dyDescent="0.2">
      <c r="A306" s="512">
        <v>4</v>
      </c>
      <c r="B306" s="516" t="s">
        <v>827</v>
      </c>
      <c r="C306" s="580">
        <f>+C303+C305</f>
        <v>178476453</v>
      </c>
      <c r="D306" s="580">
        <f>+D303+D305</f>
        <v>185228030</v>
      </c>
      <c r="E306" s="580">
        <f>D306-C306</f>
        <v>6751577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828</v>
      </c>
      <c r="C308" s="513">
        <v>178476453</v>
      </c>
      <c r="D308" s="513">
        <v>185228030</v>
      </c>
      <c r="E308" s="514">
        <f>D308-C308</f>
        <v>6751577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829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830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831</v>
      </c>
      <c r="C314" s="514">
        <f>+C14+C15+C16+C19+C25+C26+C27+C30</f>
        <v>344928055</v>
      </c>
      <c r="D314" s="514">
        <f>+D14+D15+D16+D19+D25+D26+D27+D30</f>
        <v>371042266</v>
      </c>
      <c r="E314" s="514">
        <f>D314-C314</f>
        <v>26114211</v>
      </c>
    </row>
    <row r="315" spans="1:5" x14ac:dyDescent="0.2">
      <c r="A315" s="512">
        <v>2</v>
      </c>
      <c r="B315" s="583" t="s">
        <v>832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833</v>
      </c>
      <c r="C316" s="581">
        <f>C314+C315</f>
        <v>344928055</v>
      </c>
      <c r="D316" s="581">
        <f>D314+D315</f>
        <v>371042266</v>
      </c>
      <c r="E316" s="517">
        <f>D316-C316</f>
        <v>26114211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834</v>
      </c>
      <c r="C318" s="513">
        <v>344928056</v>
      </c>
      <c r="D318" s="513">
        <v>371042266</v>
      </c>
      <c r="E318" s="514">
        <f>D318-C318</f>
        <v>26114210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829</v>
      </c>
      <c r="C320" s="581">
        <f>C316-C318</f>
        <v>-1</v>
      </c>
      <c r="D320" s="581">
        <f>D316-D318</f>
        <v>0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835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836</v>
      </c>
      <c r="C324" s="513">
        <f>+C193+C194</f>
        <v>4250818</v>
      </c>
      <c r="D324" s="513">
        <f>+D193+D194</f>
        <v>4629081</v>
      </c>
      <c r="E324" s="514">
        <f>D324-C324</f>
        <v>378263</v>
      </c>
    </row>
    <row r="325" spans="1:5" x14ac:dyDescent="0.2">
      <c r="A325" s="512">
        <v>2</v>
      </c>
      <c r="B325" s="511" t="s">
        <v>837</v>
      </c>
      <c r="C325" s="513">
        <v>4591494</v>
      </c>
      <c r="D325" s="513">
        <v>7536262</v>
      </c>
      <c r="E325" s="514">
        <f>D325-C325</f>
        <v>2944768</v>
      </c>
    </row>
    <row r="326" spans="1:5" x14ac:dyDescent="0.2">
      <c r="A326" s="512"/>
      <c r="B326" s="516" t="s">
        <v>838</v>
      </c>
      <c r="C326" s="581">
        <f>C324+C325</f>
        <v>8842312</v>
      </c>
      <c r="D326" s="581">
        <f>D324+D325</f>
        <v>12165343</v>
      </c>
      <c r="E326" s="517">
        <f>D326-C326</f>
        <v>3323031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839</v>
      </c>
      <c r="C328" s="513">
        <v>8842313</v>
      </c>
      <c r="D328" s="513">
        <v>12165343</v>
      </c>
      <c r="E328" s="514">
        <f>D328-C328</f>
        <v>3323030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840</v>
      </c>
      <c r="C330" s="581">
        <f>C326-C328</f>
        <v>-1</v>
      </c>
      <c r="D330" s="581">
        <f>D326-D328</f>
        <v>0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activeCell="B35" sqref="B35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593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841</v>
      </c>
      <c r="B5" s="696"/>
      <c r="C5" s="697"/>
      <c r="D5" s="585"/>
    </row>
    <row r="6" spans="1:58" s="338" customFormat="1" ht="15.75" customHeight="1" x14ac:dyDescent="0.25">
      <c r="A6" s="695" t="s">
        <v>842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843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844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747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623</v>
      </c>
      <c r="C14" s="513">
        <v>103765887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602</v>
      </c>
      <c r="C15" s="515">
        <v>327619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748</v>
      </c>
      <c r="C16" s="515">
        <v>117977955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117977955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715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876816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730</v>
      </c>
      <c r="C20" s="515">
        <v>3559565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749</v>
      </c>
      <c r="C21" s="517">
        <f>SUM(C15+C16+C19)</f>
        <v>119182390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689</v>
      </c>
      <c r="C22" s="517">
        <f>SUM(C14+C21)</f>
        <v>222948277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750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623</v>
      </c>
      <c r="C25" s="513">
        <v>77357626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602</v>
      </c>
      <c r="C26" s="515">
        <v>65268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748</v>
      </c>
      <c r="C27" s="515">
        <v>69990631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69990631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715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680464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730</v>
      </c>
      <c r="C31" s="518">
        <v>2077249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751</v>
      </c>
      <c r="C32" s="517">
        <f>SUM(C26+C27+C30)</f>
        <v>70736363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695</v>
      </c>
      <c r="C33" s="517">
        <f>SUM(C25+C32)</f>
        <v>148093989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620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845</v>
      </c>
      <c r="C36" s="514">
        <f>SUM(C14+C25)</f>
        <v>181123513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846</v>
      </c>
      <c r="C37" s="518">
        <f>SUM(C21+C32)</f>
        <v>189918753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620</v>
      </c>
      <c r="C38" s="517">
        <f>SUM(+C36+C37)</f>
        <v>371042266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760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623</v>
      </c>
      <c r="C41" s="513">
        <v>66616874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602</v>
      </c>
      <c r="C42" s="515">
        <v>2997225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748</v>
      </c>
      <c r="C43" s="515">
        <v>42896247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42896247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715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326298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730</v>
      </c>
      <c r="C47" s="515">
        <v>504320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761</v>
      </c>
      <c r="C48" s="517">
        <f>SUM(C42+C43+C46)</f>
        <v>46219770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690</v>
      </c>
      <c r="C49" s="517">
        <f>SUM(C41+C48)</f>
        <v>112836644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762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623</v>
      </c>
      <c r="C52" s="513">
        <v>41808528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602</v>
      </c>
      <c r="C53" s="515">
        <v>598250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748</v>
      </c>
      <c r="C54" s="515">
        <v>22828307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22828307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715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370211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730</v>
      </c>
      <c r="C58" s="515">
        <v>761886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763</v>
      </c>
      <c r="C59" s="517">
        <f>SUM(C53+C54+C57)</f>
        <v>23796768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696</v>
      </c>
      <c r="C60" s="517">
        <f>SUM(C52+C59)</f>
        <v>65605296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621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847</v>
      </c>
      <c r="C63" s="514">
        <f>SUM(C41+C52)</f>
        <v>108425402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848</v>
      </c>
      <c r="C64" s="518">
        <f>SUM(C48+C59)</f>
        <v>70016538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621</v>
      </c>
      <c r="C65" s="517">
        <f>SUM(+C63+C64)</f>
        <v>178441940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849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850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623</v>
      </c>
      <c r="C70" s="530">
        <v>3110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602</v>
      </c>
      <c r="C71" s="530">
        <v>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748</v>
      </c>
      <c r="C72" s="530">
        <v>3644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3644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715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730</v>
      </c>
      <c r="C76" s="545">
        <v>80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778</v>
      </c>
      <c r="C77" s="532">
        <f>SUM(C71+C72+C75)</f>
        <v>3690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692</v>
      </c>
      <c r="C78" s="596">
        <f>SUM(C70+C77)</f>
        <v>6800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783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623</v>
      </c>
      <c r="C81" s="541">
        <v>1.3976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602</v>
      </c>
      <c r="C82" s="541">
        <v>1.7611000000000001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748</v>
      </c>
      <c r="C83" s="541">
        <f>((C73*C84)+(C74*C85))/(C73+C74)</f>
        <v>1.2623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1.2623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715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1.1345000000000001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730</v>
      </c>
      <c r="C87" s="541">
        <v>1.0314000000000001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784</v>
      </c>
      <c r="C88" s="543">
        <f>((C71*C82)+(C73*C84)+(C74*C85)+(C75*C86))/(C71+C73+C74+C75)</f>
        <v>1.2620653116531166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693</v>
      </c>
      <c r="C89" s="543">
        <f>((C70*C81)+(C71*C82)+(C73*C84)+(C74*C85)+(C75*C86))/(C70+C71+C73+C74+C75)</f>
        <v>1.3240525000000001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785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786</v>
      </c>
      <c r="C92" s="513">
        <v>175486699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787</v>
      </c>
      <c r="C93" s="546">
        <v>107159196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635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719</v>
      </c>
      <c r="C95" s="513">
        <f>+C92-C93</f>
        <v>68327503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637</v>
      </c>
      <c r="C96" s="597">
        <f>(+C92-C93)/C92</f>
        <v>0.38936001069801879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734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720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851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789</v>
      </c>
      <c r="C103" s="513">
        <v>1326729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790</v>
      </c>
      <c r="C104" s="513">
        <v>3302352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791</v>
      </c>
      <c r="C105" s="578">
        <f>+C103+C104</f>
        <v>4629081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792</v>
      </c>
      <c r="C107" s="513">
        <v>24648825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677</v>
      </c>
      <c r="C108" s="513">
        <v>200115623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822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823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621</v>
      </c>
      <c r="C114" s="514">
        <f>+C65</f>
        <v>178441940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824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825</v>
      </c>
      <c r="C116" s="517">
        <f>+C114+C115</f>
        <v>178441940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826</v>
      </c>
      <c r="C118" s="578">
        <v>6786090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827</v>
      </c>
      <c r="C119" s="580">
        <f>+C116+C118</f>
        <v>185228030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828</v>
      </c>
      <c r="C121" s="513">
        <v>185228030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829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830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831</v>
      </c>
      <c r="C127" s="514">
        <f>+C38</f>
        <v>371042266</v>
      </c>
      <c r="D127" s="588"/>
      <c r="AR127" s="507"/>
    </row>
    <row r="128" spans="1:58" s="506" customFormat="1" x14ac:dyDescent="0.2">
      <c r="A128" s="512">
        <v>2</v>
      </c>
      <c r="B128" s="583" t="s">
        <v>832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833</v>
      </c>
      <c r="C129" s="581">
        <f>C127+C128</f>
        <v>371042266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834</v>
      </c>
      <c r="C131" s="513">
        <v>371042266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829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835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836</v>
      </c>
      <c r="C137" s="513">
        <f>C105</f>
        <v>4629081</v>
      </c>
      <c r="D137" s="588"/>
      <c r="AR137" s="507"/>
    </row>
    <row r="138" spans="1:44" s="506" customFormat="1" x14ac:dyDescent="0.2">
      <c r="A138" s="512">
        <v>2</v>
      </c>
      <c r="B138" s="511" t="s">
        <v>852</v>
      </c>
      <c r="C138" s="513">
        <v>7536262</v>
      </c>
      <c r="D138" s="588"/>
      <c r="AR138" s="507"/>
    </row>
    <row r="139" spans="1:44" s="506" customFormat="1" x14ac:dyDescent="0.2">
      <c r="A139" s="512"/>
      <c r="B139" s="516" t="s">
        <v>838</v>
      </c>
      <c r="C139" s="581">
        <f>C137+C138</f>
        <v>12165343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853</v>
      </c>
      <c r="C141" s="513">
        <v>12165343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840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35" sqref="B35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854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597</v>
      </c>
      <c r="D8" s="35" t="s">
        <v>597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599</v>
      </c>
      <c r="D9" s="607" t="s">
        <v>600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855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856</v>
      </c>
      <c r="C12" s="49">
        <v>263</v>
      </c>
      <c r="D12" s="49">
        <v>123</v>
      </c>
      <c r="E12" s="49">
        <f>+D12-C12</f>
        <v>-140</v>
      </c>
      <c r="F12" s="70">
        <f>IF(C12=0,0,+E12/C12)</f>
        <v>-0.53231939163498099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857</v>
      </c>
      <c r="C13" s="49">
        <v>236</v>
      </c>
      <c r="D13" s="49">
        <v>83</v>
      </c>
      <c r="E13" s="49">
        <f>+D13-C13</f>
        <v>-153</v>
      </c>
      <c r="F13" s="70">
        <f>IF(C13=0,0,+E13/C13)</f>
        <v>-0.64830508474576276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858</v>
      </c>
      <c r="C15" s="51">
        <v>442542</v>
      </c>
      <c r="D15" s="51">
        <v>1326729</v>
      </c>
      <c r="E15" s="51">
        <f>+D15-C15</f>
        <v>884187</v>
      </c>
      <c r="F15" s="70">
        <f>IF(C15=0,0,+E15/C15)</f>
        <v>1.9979730737421533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859</v>
      </c>
      <c r="C16" s="27">
        <f>IF(C13=0,0,+C15/+C13)</f>
        <v>1875.1779661016949</v>
      </c>
      <c r="D16" s="27">
        <f>IF(D13=0,0,+D15/+D13)</f>
        <v>15984.686746987953</v>
      </c>
      <c r="E16" s="27">
        <f>+D16-C16</f>
        <v>14109.508780886257</v>
      </c>
      <c r="F16" s="28">
        <f>IF(C16=0,0,+E16/C16)</f>
        <v>7.5243571735319064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860</v>
      </c>
      <c r="C18" s="210">
        <v>0.50359100000000001</v>
      </c>
      <c r="D18" s="210">
        <v>0.49359399999999998</v>
      </c>
      <c r="E18" s="210">
        <f>+D18-C18</f>
        <v>-9.9970000000000336E-3</v>
      </c>
      <c r="F18" s="70">
        <f>IF(C18=0,0,+E18/C18)</f>
        <v>-1.9851427050920356E-2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861</v>
      </c>
      <c r="C19" s="27">
        <f>+C15*C18</f>
        <v>222860.16832200001</v>
      </c>
      <c r="D19" s="27">
        <f>+D15*D18</f>
        <v>654865.47402600001</v>
      </c>
      <c r="E19" s="27">
        <f>+D19-C19</f>
        <v>432005.305704</v>
      </c>
      <c r="F19" s="28">
        <f>IF(C19=0,0,+E19/C19)</f>
        <v>1.9384590299681375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862</v>
      </c>
      <c r="C20" s="27">
        <f>IF(C13=0,0,+C19/C13)</f>
        <v>944.32274712711865</v>
      </c>
      <c r="D20" s="27">
        <f>IF(D13=0,0,+D19/D13)</f>
        <v>7889.9454701927716</v>
      </c>
      <c r="E20" s="27">
        <f>+D20-C20</f>
        <v>6945.6227230656532</v>
      </c>
      <c r="F20" s="28">
        <f>IF(C20=0,0,+E20/C20)</f>
        <v>7.3551365189455487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863</v>
      </c>
      <c r="C22" s="51">
        <v>253958</v>
      </c>
      <c r="D22" s="51">
        <v>1133080</v>
      </c>
      <c r="E22" s="51">
        <f>+D22-C22</f>
        <v>879122</v>
      </c>
      <c r="F22" s="70">
        <f>IF(C22=0,0,+E22/C22)</f>
        <v>3.4616826404366074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864</v>
      </c>
      <c r="C23" s="49">
        <v>140236</v>
      </c>
      <c r="D23" s="49">
        <v>142553</v>
      </c>
      <c r="E23" s="49">
        <f>+D23-C23</f>
        <v>2317</v>
      </c>
      <c r="F23" s="70">
        <f>IF(C23=0,0,+E23/C23)</f>
        <v>1.652214837844776E-2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865</v>
      </c>
      <c r="C24" s="49">
        <v>48348</v>
      </c>
      <c r="D24" s="49">
        <v>51096</v>
      </c>
      <c r="E24" s="49">
        <f>+D24-C24</f>
        <v>2748</v>
      </c>
      <c r="F24" s="70">
        <f>IF(C24=0,0,+E24/C24)</f>
        <v>5.6837925043435093E-2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858</v>
      </c>
      <c r="C25" s="27">
        <f>+C22+C23+C24</f>
        <v>442542</v>
      </c>
      <c r="D25" s="27">
        <f>+D22+D23+D24</f>
        <v>1326729</v>
      </c>
      <c r="E25" s="27">
        <f>+E22+E23+E24</f>
        <v>884187</v>
      </c>
      <c r="F25" s="28">
        <f>IF(C25=0,0,+E25/C25)</f>
        <v>1.9979730737421533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866</v>
      </c>
      <c r="C27" s="49">
        <v>186</v>
      </c>
      <c r="D27" s="49">
        <v>262</v>
      </c>
      <c r="E27" s="49">
        <f>+D27-C27</f>
        <v>76</v>
      </c>
      <c r="F27" s="70">
        <f>IF(C27=0,0,+E27/C27)</f>
        <v>0.40860215053763443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867</v>
      </c>
      <c r="C28" s="49">
        <v>44</v>
      </c>
      <c r="D28" s="49">
        <v>11</v>
      </c>
      <c r="E28" s="49">
        <f>+D28-C28</f>
        <v>-33</v>
      </c>
      <c r="F28" s="70">
        <f>IF(C28=0,0,+E28/C28)</f>
        <v>-0.75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868</v>
      </c>
      <c r="C29" s="49">
        <v>68</v>
      </c>
      <c r="D29" s="49">
        <v>70</v>
      </c>
      <c r="E29" s="49">
        <f>+D29-C29</f>
        <v>2</v>
      </c>
      <c r="F29" s="70">
        <f>IF(C29=0,0,+E29/C29)</f>
        <v>2.9411764705882353E-2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869</v>
      </c>
      <c r="C30" s="49">
        <v>181</v>
      </c>
      <c r="D30" s="49">
        <v>127</v>
      </c>
      <c r="E30" s="49">
        <f>+D30-C30</f>
        <v>-54</v>
      </c>
      <c r="F30" s="70">
        <f>IF(C30=0,0,+E30/C30)</f>
        <v>-0.2983425414364641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870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871</v>
      </c>
      <c r="C33" s="51">
        <v>762813</v>
      </c>
      <c r="D33" s="51">
        <v>1467676</v>
      </c>
      <c r="E33" s="51">
        <f>+D33-C33</f>
        <v>704863</v>
      </c>
      <c r="F33" s="70">
        <f>IF(C33=0,0,+E33/C33)</f>
        <v>0.92403118457603628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872</v>
      </c>
      <c r="C34" s="49">
        <v>1166272</v>
      </c>
      <c r="D34" s="49">
        <v>1163821</v>
      </c>
      <c r="E34" s="49">
        <f>+D34-C34</f>
        <v>-2451</v>
      </c>
      <c r="F34" s="70">
        <f>IF(C34=0,0,+E34/C34)</f>
        <v>-2.1015680733139437E-3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873</v>
      </c>
      <c r="C35" s="49">
        <v>1879191</v>
      </c>
      <c r="D35" s="49">
        <v>670855</v>
      </c>
      <c r="E35" s="49">
        <f>+D35-C35</f>
        <v>-1208336</v>
      </c>
      <c r="F35" s="70">
        <f>IF(C35=0,0,+E35/C35)</f>
        <v>-0.64300861381307173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874</v>
      </c>
      <c r="C36" s="27">
        <f>+C33+C34+C35</f>
        <v>3808276</v>
      </c>
      <c r="D36" s="27">
        <f>+D33+D34+D35</f>
        <v>3302352</v>
      </c>
      <c r="E36" s="27">
        <f>+E33+E34+E35</f>
        <v>-505924</v>
      </c>
      <c r="F36" s="28">
        <f>IF(C36=0,0,+E36/C36)</f>
        <v>-0.13284856454731747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875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876</v>
      </c>
      <c r="C39" s="51">
        <f>+C25</f>
        <v>442542</v>
      </c>
      <c r="D39" s="51">
        <f>+D25</f>
        <v>1326729</v>
      </c>
      <c r="E39" s="51">
        <f>+D39-C39</f>
        <v>884187</v>
      </c>
      <c r="F39" s="70">
        <f>IF(C39=0,0,+E39/C39)</f>
        <v>1.9979730737421533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877</v>
      </c>
      <c r="C40" s="49">
        <f>+C36</f>
        <v>3808276</v>
      </c>
      <c r="D40" s="49">
        <f>+D36</f>
        <v>3302352</v>
      </c>
      <c r="E40" s="49">
        <f>+D40-C40</f>
        <v>-505924</v>
      </c>
      <c r="F40" s="70">
        <f>IF(C40=0,0,+E40/C40)</f>
        <v>-0.13284856454731747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878</v>
      </c>
      <c r="C41" s="27">
        <f>+C39+C40</f>
        <v>4250818</v>
      </c>
      <c r="D41" s="27">
        <f>+D39+D40</f>
        <v>4629081</v>
      </c>
      <c r="E41" s="27">
        <f>+E39+E40</f>
        <v>378263</v>
      </c>
      <c r="F41" s="28">
        <f>IF(C41=0,0,+E41/C41)</f>
        <v>8.8985931648920283E-2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879</v>
      </c>
      <c r="C43" s="51">
        <f t="shared" ref="C43:D45" si="0">+C22+C33</f>
        <v>1016771</v>
      </c>
      <c r="D43" s="51">
        <f t="shared" si="0"/>
        <v>2600756</v>
      </c>
      <c r="E43" s="51">
        <f>+D43-C43</f>
        <v>1583985</v>
      </c>
      <c r="F43" s="70">
        <f>IF(C43=0,0,+E43/C43)</f>
        <v>1.5578581607854669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880</v>
      </c>
      <c r="C44" s="49">
        <f t="shared" si="0"/>
        <v>1306508</v>
      </c>
      <c r="D44" s="49">
        <f t="shared" si="0"/>
        <v>1306374</v>
      </c>
      <c r="E44" s="49">
        <f>+D44-C44</f>
        <v>-134</v>
      </c>
      <c r="F44" s="70">
        <f>IF(C44=0,0,+E44/C44)</f>
        <v>-1.0256347454435794E-4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881</v>
      </c>
      <c r="C45" s="49">
        <f t="shared" si="0"/>
        <v>1927539</v>
      </c>
      <c r="D45" s="49">
        <f t="shared" si="0"/>
        <v>721951</v>
      </c>
      <c r="E45" s="49">
        <f>+D45-C45</f>
        <v>-1205588</v>
      </c>
      <c r="F45" s="70">
        <f>IF(C45=0,0,+E45/C45)</f>
        <v>-0.62545453036229093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878</v>
      </c>
      <c r="C46" s="27">
        <f>+C43+C44+C45</f>
        <v>4250818</v>
      </c>
      <c r="D46" s="27">
        <f>+D43+D44+D45</f>
        <v>4629081</v>
      </c>
      <c r="E46" s="27">
        <f>+E43+E44+E45</f>
        <v>378263</v>
      </c>
      <c r="F46" s="28">
        <f>IF(C46=0,0,+E46/C46)</f>
        <v>8.8985931648920283E-2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882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>
      <selection activeCell="B35" sqref="B3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883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884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599</v>
      </c>
      <c r="D9" s="35" t="s">
        <v>600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885</v>
      </c>
      <c r="D10" s="35" t="s">
        <v>885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886</v>
      </c>
      <c r="D11" s="605" t="s">
        <v>886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887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172870410</v>
      </c>
      <c r="D15" s="51">
        <v>175486699</v>
      </c>
      <c r="E15" s="51">
        <f>+D15-C15</f>
        <v>2616289</v>
      </c>
      <c r="F15" s="70">
        <f>+E15/C15</f>
        <v>1.513439460229197E-2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888</v>
      </c>
      <c r="C17" s="51">
        <v>75262959</v>
      </c>
      <c r="D17" s="51">
        <v>68327503</v>
      </c>
      <c r="E17" s="51">
        <f>+D17-C17</f>
        <v>-6935456</v>
      </c>
      <c r="F17" s="70">
        <f>+E17/C17</f>
        <v>-9.2149658904588108E-2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889</v>
      </c>
      <c r="C19" s="27">
        <f>+C15-C17</f>
        <v>97607451</v>
      </c>
      <c r="D19" s="27">
        <f>+D15-D17</f>
        <v>107159196</v>
      </c>
      <c r="E19" s="27">
        <f>+D19-C19</f>
        <v>9551745</v>
      </c>
      <c r="F19" s="28">
        <f>+E19/C19</f>
        <v>9.7858768999100287E-2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890</v>
      </c>
      <c r="C21" s="628">
        <f>+C17/C15</f>
        <v>0.43537213222320698</v>
      </c>
      <c r="D21" s="628">
        <f>+D17/D15</f>
        <v>0.38936001069801879</v>
      </c>
      <c r="E21" s="628">
        <f>+D21-C21</f>
        <v>-4.6012121525188188E-2</v>
      </c>
      <c r="F21" s="28">
        <f>+E21/C21</f>
        <v>-0.1056845813493608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891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activeCell="B35" sqref="B35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892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893</v>
      </c>
      <c r="B6" s="632" t="s">
        <v>894</v>
      </c>
      <c r="C6" s="632" t="s">
        <v>895</v>
      </c>
      <c r="D6" s="632" t="s">
        <v>896</v>
      </c>
      <c r="E6" s="632" t="s">
        <v>897</v>
      </c>
    </row>
    <row r="7" spans="1:6" ht="37.5" customHeight="1" x14ac:dyDescent="0.25">
      <c r="A7" s="633" t="s">
        <v>8</v>
      </c>
      <c r="B7" s="634" t="s">
        <v>898</v>
      </c>
      <c r="C7" s="631" t="s">
        <v>899</v>
      </c>
      <c r="D7" s="631" t="s">
        <v>900</v>
      </c>
      <c r="E7" s="631" t="s">
        <v>901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902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903</v>
      </c>
      <c r="C10" s="641">
        <v>198906585</v>
      </c>
      <c r="D10" s="641">
        <v>204105825</v>
      </c>
      <c r="E10" s="641">
        <v>222948277</v>
      </c>
    </row>
    <row r="11" spans="1:6" ht="26.1" customHeight="1" x14ac:dyDescent="0.25">
      <c r="A11" s="639">
        <v>2</v>
      </c>
      <c r="B11" s="640" t="s">
        <v>904</v>
      </c>
      <c r="C11" s="641">
        <v>119583149</v>
      </c>
      <c r="D11" s="641">
        <v>140822230</v>
      </c>
      <c r="E11" s="641">
        <v>148093989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318489734</v>
      </c>
      <c r="D12" s="641">
        <f>+D11+D10</f>
        <v>344928055</v>
      </c>
      <c r="E12" s="641">
        <f>+E11+E10</f>
        <v>371042266</v>
      </c>
    </row>
    <row r="13" spans="1:6" ht="26.1" customHeight="1" x14ac:dyDescent="0.25">
      <c r="A13" s="639">
        <v>4</v>
      </c>
      <c r="B13" s="640" t="s">
        <v>484</v>
      </c>
      <c r="C13" s="641">
        <v>173156229</v>
      </c>
      <c r="D13" s="641">
        <v>178476453</v>
      </c>
      <c r="E13" s="641">
        <v>185228029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905</v>
      </c>
      <c r="C16" s="641">
        <v>184175127</v>
      </c>
      <c r="D16" s="641">
        <v>185535330</v>
      </c>
      <c r="E16" s="641">
        <v>200115623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906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37137</v>
      </c>
      <c r="D19" s="644">
        <v>35911</v>
      </c>
      <c r="E19" s="644">
        <v>36799</v>
      </c>
    </row>
    <row r="20" spans="1:5" ht="26.1" customHeight="1" x14ac:dyDescent="0.25">
      <c r="A20" s="639">
        <v>2</v>
      </c>
      <c r="B20" s="640" t="s">
        <v>373</v>
      </c>
      <c r="C20" s="645">
        <v>5806</v>
      </c>
      <c r="D20" s="645">
        <v>6359</v>
      </c>
      <c r="E20" s="645">
        <v>6800</v>
      </c>
    </row>
    <row r="21" spans="1:5" ht="26.1" customHeight="1" x14ac:dyDescent="0.25">
      <c r="A21" s="639">
        <v>3</v>
      </c>
      <c r="B21" s="640" t="s">
        <v>907</v>
      </c>
      <c r="C21" s="646">
        <f>IF(C20=0,0,+C19/C20)</f>
        <v>6.3963141577678266</v>
      </c>
      <c r="D21" s="646">
        <f>IF(D20=0,0,+D19/D20)</f>
        <v>5.6472715835823246</v>
      </c>
      <c r="E21" s="646">
        <f>IF(E20=0,0,+E19/E20)</f>
        <v>5.4116176470588231</v>
      </c>
    </row>
    <row r="22" spans="1:5" ht="26.1" customHeight="1" x14ac:dyDescent="0.25">
      <c r="A22" s="639">
        <v>4</v>
      </c>
      <c r="B22" s="640" t="s">
        <v>908</v>
      </c>
      <c r="C22" s="645">
        <f>IF(C10=0,0,C19*(C12/C10))</f>
        <v>59463.859638221627</v>
      </c>
      <c r="D22" s="645">
        <f>IF(D10=0,0,D19*(D12/D10))</f>
        <v>60687.691706520382</v>
      </c>
      <c r="E22" s="645">
        <f>IF(E10=0,0,E19*(E12/E10))</f>
        <v>61242.834123961409</v>
      </c>
    </row>
    <row r="23" spans="1:5" ht="26.1" customHeight="1" x14ac:dyDescent="0.25">
      <c r="A23" s="639">
        <v>0</v>
      </c>
      <c r="B23" s="640" t="s">
        <v>909</v>
      </c>
      <c r="C23" s="645">
        <f>IF(C10=0,0,C20*(C12/C10))</f>
        <v>9296.5820895472116</v>
      </c>
      <c r="D23" s="645">
        <f>IF(D10=0,0,D20*(D12/D10))</f>
        <v>10746.373856527613</v>
      </c>
      <c r="E23" s="645">
        <f>IF(E10=0,0,E20*(E12/E10))</f>
        <v>11316.918178291191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910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1.5210610747502584</v>
      </c>
      <c r="D26" s="647">
        <v>1.402371536405095</v>
      </c>
      <c r="E26" s="647">
        <v>1.3240525000000001</v>
      </c>
    </row>
    <row r="27" spans="1:5" ht="26.1" customHeight="1" x14ac:dyDescent="0.25">
      <c r="A27" s="639">
        <v>2</v>
      </c>
      <c r="B27" s="640" t="s">
        <v>911</v>
      </c>
      <c r="C27" s="645">
        <f>C19*C26</f>
        <v>56487.645133000347</v>
      </c>
      <c r="D27" s="645">
        <f>D19*D26</f>
        <v>50360.564243843372</v>
      </c>
      <c r="E27" s="645">
        <f>E19*E26</f>
        <v>48723.807947500005</v>
      </c>
    </row>
    <row r="28" spans="1:5" ht="26.1" customHeight="1" x14ac:dyDescent="0.25">
      <c r="A28" s="639">
        <v>3</v>
      </c>
      <c r="B28" s="640" t="s">
        <v>912</v>
      </c>
      <c r="C28" s="645">
        <f>C20*C26</f>
        <v>8831.2806</v>
      </c>
      <c r="D28" s="645">
        <f>D20*D26</f>
        <v>8917.6805999999997</v>
      </c>
      <c r="E28" s="645">
        <f>E20*E26</f>
        <v>9003.5570000000007</v>
      </c>
    </row>
    <row r="29" spans="1:5" ht="26.1" customHeight="1" x14ac:dyDescent="0.25">
      <c r="A29" s="639">
        <v>4</v>
      </c>
      <c r="B29" s="640" t="s">
        <v>913</v>
      </c>
      <c r="C29" s="645">
        <f>C22*C26</f>
        <v>90448.162250111898</v>
      </c>
      <c r="D29" s="645">
        <f>D22*D26</f>
        <v>85106.691459351729</v>
      </c>
      <c r="E29" s="645">
        <f>E22*E26</f>
        <v>81088.727628916415</v>
      </c>
    </row>
    <row r="30" spans="1:5" ht="26.1" customHeight="1" x14ac:dyDescent="0.25">
      <c r="A30" s="639">
        <v>5</v>
      </c>
      <c r="B30" s="640" t="s">
        <v>914</v>
      </c>
      <c r="C30" s="645">
        <f>C23*C26</f>
        <v>14140.669144630685</v>
      </c>
      <c r="D30" s="645">
        <f>D23*D26</f>
        <v>15070.408815962175</v>
      </c>
      <c r="E30" s="645">
        <f>E23*E26</f>
        <v>14984.193806261897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915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916</v>
      </c>
      <c r="C33" s="641">
        <f>IF(C19=0,0,C12/C19)</f>
        <v>8576.0759889059427</v>
      </c>
      <c r="D33" s="641">
        <f>IF(D19=0,0,D12/D19)</f>
        <v>9605.0807552003571</v>
      </c>
      <c r="E33" s="641">
        <f>IF(E19=0,0,E12/E19)</f>
        <v>10082.944264789805</v>
      </c>
    </row>
    <row r="34" spans="1:5" ht="26.1" customHeight="1" x14ac:dyDescent="0.25">
      <c r="A34" s="639">
        <v>2</v>
      </c>
      <c r="B34" s="640" t="s">
        <v>917</v>
      </c>
      <c r="C34" s="641">
        <f>IF(C20=0,0,C12/C20)</f>
        <v>54855.276265931796</v>
      </c>
      <c r="D34" s="641">
        <f>IF(D20=0,0,D12/D20)</f>
        <v>54242.499606856421</v>
      </c>
      <c r="E34" s="641">
        <f>IF(E20=0,0,E12/E20)</f>
        <v>54565.039117647058</v>
      </c>
    </row>
    <row r="35" spans="1:5" ht="26.1" customHeight="1" x14ac:dyDescent="0.25">
      <c r="A35" s="639">
        <v>3</v>
      </c>
      <c r="B35" s="640" t="s">
        <v>918</v>
      </c>
      <c r="C35" s="641">
        <f>IF(C22=0,0,C12/C22)</f>
        <v>5356.0218919137251</v>
      </c>
      <c r="D35" s="641">
        <f>IF(D22=0,0,D12/D22)</f>
        <v>5683.6575144106264</v>
      </c>
      <c r="E35" s="641">
        <f>IF(E22=0,0,E12/E22)</f>
        <v>6058.5417266773547</v>
      </c>
    </row>
    <row r="36" spans="1:5" ht="26.1" customHeight="1" x14ac:dyDescent="0.25">
      <c r="A36" s="639">
        <v>4</v>
      </c>
      <c r="B36" s="640" t="s">
        <v>919</v>
      </c>
      <c r="C36" s="641">
        <f>IF(C23=0,0,C12/C23)</f>
        <v>34258.798656562176</v>
      </c>
      <c r="D36" s="641">
        <f>IF(D23=0,0,D12/D23)</f>
        <v>32097.157571945274</v>
      </c>
      <c r="E36" s="641">
        <f>IF(E23=0,0,E12/E23)</f>
        <v>32786.511323529412</v>
      </c>
    </row>
    <row r="37" spans="1:5" ht="26.1" customHeight="1" x14ac:dyDescent="0.25">
      <c r="A37" s="639">
        <v>5</v>
      </c>
      <c r="B37" s="640" t="s">
        <v>920</v>
      </c>
      <c r="C37" s="641">
        <f>IF(C29=0,0,C12/C29)</f>
        <v>3521.2405213861157</v>
      </c>
      <c r="D37" s="641">
        <f>IF(D29=0,0,D12/D29)</f>
        <v>4052.8899559530282</v>
      </c>
      <c r="E37" s="641">
        <f>IF(E29=0,0,E12/E29)</f>
        <v>4575.7564195357472</v>
      </c>
    </row>
    <row r="38" spans="1:5" ht="26.1" customHeight="1" x14ac:dyDescent="0.25">
      <c r="A38" s="639">
        <v>6</v>
      </c>
      <c r="B38" s="640" t="s">
        <v>921</v>
      </c>
      <c r="C38" s="641">
        <f>IF(C30=0,0,C12/C30)</f>
        <v>22522.960599847771</v>
      </c>
      <c r="D38" s="641">
        <f>IF(D30=0,0,D12/D30)</f>
        <v>22887.770279639753</v>
      </c>
      <c r="E38" s="641">
        <f>IF(E30=0,0,E12/E30)</f>
        <v>24762.244188602352</v>
      </c>
    </row>
    <row r="39" spans="1:5" ht="26.1" customHeight="1" x14ac:dyDescent="0.25">
      <c r="A39" s="639">
        <v>7</v>
      </c>
      <c r="B39" s="640" t="s">
        <v>922</v>
      </c>
      <c r="C39" s="641">
        <f>IF(C22=0,0,C10/C22)</f>
        <v>3344.999571338768</v>
      </c>
      <c r="D39" s="641">
        <f>IF(D22=0,0,D10/D22)</f>
        <v>3363.216152412509</v>
      </c>
      <c r="E39" s="641">
        <f>IF(E22=0,0,E10/E22)</f>
        <v>3640.3977737008572</v>
      </c>
    </row>
    <row r="40" spans="1:5" ht="26.1" customHeight="1" x14ac:dyDescent="0.25">
      <c r="A40" s="639">
        <v>8</v>
      </c>
      <c r="B40" s="640" t="s">
        <v>923</v>
      </c>
      <c r="C40" s="641">
        <f>IF(C23=0,0,C10/C23)</f>
        <v>21395.668115881468</v>
      </c>
      <c r="D40" s="641">
        <f>IF(D23=0,0,D10/D23)</f>
        <v>18992.99500696424</v>
      </c>
      <c r="E40" s="641">
        <f>IF(E23=0,0,E10/E23)</f>
        <v>19700.440834473215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924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925</v>
      </c>
      <c r="C43" s="641">
        <f>IF(C19=0,0,C13/C19)</f>
        <v>4662.633734550448</v>
      </c>
      <c r="D43" s="641">
        <f>IF(D19=0,0,D13/D19)</f>
        <v>4969.9661106624708</v>
      </c>
      <c r="E43" s="641">
        <f>IF(E19=0,0,E13/E19)</f>
        <v>5033.5071333460146</v>
      </c>
    </row>
    <row r="44" spans="1:5" ht="26.1" customHeight="1" x14ac:dyDescent="0.25">
      <c r="A44" s="639">
        <v>2</v>
      </c>
      <c r="B44" s="640" t="s">
        <v>926</v>
      </c>
      <c r="C44" s="641">
        <f>IF(C20=0,0,C13/C20)</f>
        <v>29823.670168790904</v>
      </c>
      <c r="D44" s="641">
        <f>IF(D20=0,0,D13/D20)</f>
        <v>28066.748388111337</v>
      </c>
      <c r="E44" s="641">
        <f>IF(E20=0,0,E13/E20)</f>
        <v>27239.416029411765</v>
      </c>
    </row>
    <row r="45" spans="1:5" ht="26.1" customHeight="1" x14ac:dyDescent="0.25">
      <c r="A45" s="639">
        <v>3</v>
      </c>
      <c r="B45" s="640" t="s">
        <v>927</v>
      </c>
      <c r="C45" s="641">
        <f>IF(C22=0,0,C13/C22)</f>
        <v>2911.957448666858</v>
      </c>
      <c r="D45" s="641">
        <f>IF(D22=0,0,D13/D22)</f>
        <v>2940.9003371407553</v>
      </c>
      <c r="E45" s="641">
        <f>IF(E22=0,0,E13/E22)</f>
        <v>3024.4849319853583</v>
      </c>
    </row>
    <row r="46" spans="1:5" ht="26.1" customHeight="1" x14ac:dyDescent="0.25">
      <c r="A46" s="639">
        <v>4</v>
      </c>
      <c r="B46" s="640" t="s">
        <v>928</v>
      </c>
      <c r="C46" s="641">
        <f>IF(C23=0,0,C13/C23)</f>
        <v>18625.794655725302</v>
      </c>
      <c r="D46" s="641">
        <f>IF(D23=0,0,D13/D23)</f>
        <v>16608.062904082664</v>
      </c>
      <c r="E46" s="641">
        <f>IF(E23=0,0,E13/E23)</f>
        <v>16367.356031195472</v>
      </c>
    </row>
    <row r="47" spans="1:5" ht="26.1" customHeight="1" x14ac:dyDescent="0.25">
      <c r="A47" s="639">
        <v>5</v>
      </c>
      <c r="B47" s="640" t="s">
        <v>929</v>
      </c>
      <c r="C47" s="641">
        <f>IF(C29=0,0,C13/C29)</f>
        <v>1914.4250661630858</v>
      </c>
      <c r="D47" s="641">
        <f>IF(D29=0,0,D13/D29)</f>
        <v>2097.0907215356046</v>
      </c>
      <c r="E47" s="641">
        <f>IF(E29=0,0,E13/E29)</f>
        <v>2284.2636013189494</v>
      </c>
    </row>
    <row r="48" spans="1:5" ht="26.1" customHeight="1" x14ac:dyDescent="0.25">
      <c r="A48" s="639">
        <v>6</v>
      </c>
      <c r="B48" s="640" t="s">
        <v>930</v>
      </c>
      <c r="C48" s="641">
        <f>IF(C30=0,0,C13/C30)</f>
        <v>12245.264154684553</v>
      </c>
      <c r="D48" s="641">
        <f>IF(D30=0,0,D13/D30)</f>
        <v>11842.840839922172</v>
      </c>
      <c r="E48" s="641">
        <f>IF(E30=0,0,E13/E30)</f>
        <v>12361.561215431768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931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932</v>
      </c>
      <c r="C51" s="641">
        <f>IF(C19=0,0,C16/C19)</f>
        <v>4959.343161806285</v>
      </c>
      <c r="D51" s="641">
        <f>IF(D19=0,0,D16/D19)</f>
        <v>5166.531981844003</v>
      </c>
      <c r="E51" s="641">
        <f>IF(E19=0,0,E16/E19)</f>
        <v>5438.0723117476018</v>
      </c>
    </row>
    <row r="52" spans="1:6" ht="26.1" customHeight="1" x14ac:dyDescent="0.25">
      <c r="A52" s="639">
        <v>2</v>
      </c>
      <c r="B52" s="640" t="s">
        <v>933</v>
      </c>
      <c r="C52" s="641">
        <f>IF(C20=0,0,C16/C20)</f>
        <v>31721.516879090595</v>
      </c>
      <c r="D52" s="641">
        <f>IF(D20=0,0,D16/D20)</f>
        <v>29176.80924673691</v>
      </c>
      <c r="E52" s="641">
        <f>IF(E20=0,0,E16/E20)</f>
        <v>29428.768088235294</v>
      </c>
    </row>
    <row r="53" spans="1:6" ht="26.1" customHeight="1" x14ac:dyDescent="0.25">
      <c r="A53" s="639">
        <v>3</v>
      </c>
      <c r="B53" s="640" t="s">
        <v>934</v>
      </c>
      <c r="C53" s="641">
        <f>IF(C22=0,0,C16/C22)</f>
        <v>3097.2615656050962</v>
      </c>
      <c r="D53" s="641">
        <f>IF(D22=0,0,D16/D22)</f>
        <v>3057.2151417000723</v>
      </c>
      <c r="E53" s="641">
        <f>IF(E22=0,0,E16/E22)</f>
        <v>3267.5761313551666</v>
      </c>
    </row>
    <row r="54" spans="1:6" ht="26.1" customHeight="1" x14ac:dyDescent="0.25">
      <c r="A54" s="639">
        <v>4</v>
      </c>
      <c r="B54" s="640" t="s">
        <v>935</v>
      </c>
      <c r="C54" s="641">
        <f>IF(C23=0,0,C16/C23)</f>
        <v>19811.058002390018</v>
      </c>
      <c r="D54" s="641">
        <f>IF(D23=0,0,D16/D23)</f>
        <v>17264.924194620427</v>
      </c>
      <c r="E54" s="641">
        <f>IF(E23=0,0,E16/E23)</f>
        <v>17682.872655549822</v>
      </c>
    </row>
    <row r="55" spans="1:6" ht="26.1" customHeight="1" x14ac:dyDescent="0.25">
      <c r="A55" s="639">
        <v>5</v>
      </c>
      <c r="B55" s="640" t="s">
        <v>936</v>
      </c>
      <c r="C55" s="641">
        <f>IF(C29=0,0,C16/C29)</f>
        <v>2036.2506259741297</v>
      </c>
      <c r="D55" s="641">
        <f>IF(D29=0,0,D16/D29)</f>
        <v>2180.0322256518989</v>
      </c>
      <c r="E55" s="641">
        <f>IF(E29=0,0,E16/E29)</f>
        <v>2467.8599461540734</v>
      </c>
    </row>
    <row r="56" spans="1:6" ht="26.1" customHeight="1" x14ac:dyDescent="0.25">
      <c r="A56" s="639">
        <v>6</v>
      </c>
      <c r="B56" s="640" t="s">
        <v>937</v>
      </c>
      <c r="C56" s="641">
        <f>IF(C30=0,0,C16/C30)</f>
        <v>13024.498707681923</v>
      </c>
      <c r="D56" s="641">
        <f>IF(D30=0,0,D16/D30)</f>
        <v>12311.234039217698</v>
      </c>
      <c r="E56" s="641">
        <f>IF(E30=0,0,E16/E30)</f>
        <v>13355.114435077025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938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939</v>
      </c>
      <c r="C59" s="649">
        <v>30432035</v>
      </c>
      <c r="D59" s="649">
        <v>31734175</v>
      </c>
      <c r="E59" s="649">
        <v>30506666</v>
      </c>
    </row>
    <row r="60" spans="1:6" ht="26.1" customHeight="1" x14ac:dyDescent="0.25">
      <c r="A60" s="639">
        <v>2</v>
      </c>
      <c r="B60" s="640" t="s">
        <v>940</v>
      </c>
      <c r="C60" s="649">
        <v>7390356</v>
      </c>
      <c r="D60" s="649">
        <v>6873731</v>
      </c>
      <c r="E60" s="649">
        <v>7993371</v>
      </c>
    </row>
    <row r="61" spans="1:6" ht="26.1" customHeight="1" x14ac:dyDescent="0.25">
      <c r="A61" s="650">
        <v>3</v>
      </c>
      <c r="B61" s="651" t="s">
        <v>941</v>
      </c>
      <c r="C61" s="652">
        <f>C59+C60</f>
        <v>37822391</v>
      </c>
      <c r="D61" s="652">
        <f>D59+D60</f>
        <v>38607906</v>
      </c>
      <c r="E61" s="652">
        <f>E59+E60</f>
        <v>38500037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942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943</v>
      </c>
      <c r="C64" s="641">
        <v>0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944</v>
      </c>
      <c r="C65" s="649">
        <v>0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945</v>
      </c>
      <c r="C66" s="654">
        <f>C64+C65</f>
        <v>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946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947</v>
      </c>
      <c r="C69" s="649">
        <v>50351528</v>
      </c>
      <c r="D69" s="649">
        <v>52090987</v>
      </c>
      <c r="E69" s="649">
        <v>57055366</v>
      </c>
    </row>
    <row r="70" spans="1:6" ht="26.1" customHeight="1" x14ac:dyDescent="0.25">
      <c r="A70" s="639">
        <v>2</v>
      </c>
      <c r="B70" s="640" t="s">
        <v>948</v>
      </c>
      <c r="C70" s="649">
        <v>12227763</v>
      </c>
      <c r="D70" s="649">
        <v>11283085</v>
      </c>
      <c r="E70" s="649">
        <v>14949675</v>
      </c>
    </row>
    <row r="71" spans="1:6" ht="26.1" customHeight="1" x14ac:dyDescent="0.25">
      <c r="A71" s="650">
        <v>3</v>
      </c>
      <c r="B71" s="651" t="s">
        <v>949</v>
      </c>
      <c r="C71" s="652">
        <f>C69+C70</f>
        <v>62579291</v>
      </c>
      <c r="D71" s="652">
        <f>D69+D70</f>
        <v>63374072</v>
      </c>
      <c r="E71" s="652">
        <f>E69+E70</f>
        <v>72005041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950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951</v>
      </c>
      <c r="C75" s="641">
        <f t="shared" ref="C75:E76" si="0">+C59+C64+C69</f>
        <v>80783563</v>
      </c>
      <c r="D75" s="641">
        <f t="shared" si="0"/>
        <v>83825162</v>
      </c>
      <c r="E75" s="641">
        <f t="shared" si="0"/>
        <v>87562032</v>
      </c>
    </row>
    <row r="76" spans="1:6" ht="26.1" customHeight="1" x14ac:dyDescent="0.25">
      <c r="A76" s="639">
        <v>2</v>
      </c>
      <c r="B76" s="640" t="s">
        <v>952</v>
      </c>
      <c r="C76" s="641">
        <f t="shared" si="0"/>
        <v>19618119</v>
      </c>
      <c r="D76" s="641">
        <f t="shared" si="0"/>
        <v>18156816</v>
      </c>
      <c r="E76" s="641">
        <f t="shared" si="0"/>
        <v>22943046</v>
      </c>
    </row>
    <row r="77" spans="1:6" ht="26.1" customHeight="1" x14ac:dyDescent="0.25">
      <c r="A77" s="650">
        <v>3</v>
      </c>
      <c r="B77" s="651" t="s">
        <v>950</v>
      </c>
      <c r="C77" s="654">
        <f>C75+C76</f>
        <v>100401682</v>
      </c>
      <c r="D77" s="654">
        <f>D75+D76</f>
        <v>101981978</v>
      </c>
      <c r="E77" s="654">
        <f>E75+E76</f>
        <v>110505078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953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354.7</v>
      </c>
      <c r="D80" s="646">
        <v>341.7</v>
      </c>
      <c r="E80" s="646">
        <v>341.8</v>
      </c>
    </row>
    <row r="81" spans="1:5" ht="26.1" customHeight="1" x14ac:dyDescent="0.25">
      <c r="A81" s="639">
        <v>2</v>
      </c>
      <c r="B81" s="640" t="s">
        <v>579</v>
      </c>
      <c r="C81" s="646">
        <v>8.3000000000000007</v>
      </c>
      <c r="D81" s="646">
        <v>30.1</v>
      </c>
      <c r="E81" s="646">
        <v>30</v>
      </c>
    </row>
    <row r="82" spans="1:5" ht="26.1" customHeight="1" x14ac:dyDescent="0.25">
      <c r="A82" s="639">
        <v>3</v>
      </c>
      <c r="B82" s="640" t="s">
        <v>954</v>
      </c>
      <c r="C82" s="646">
        <v>826.5</v>
      </c>
      <c r="D82" s="646">
        <v>823.4</v>
      </c>
      <c r="E82" s="646">
        <v>840.7</v>
      </c>
    </row>
    <row r="83" spans="1:5" ht="26.1" customHeight="1" x14ac:dyDescent="0.25">
      <c r="A83" s="650">
        <v>4</v>
      </c>
      <c r="B83" s="651" t="s">
        <v>953</v>
      </c>
      <c r="C83" s="656">
        <f>C80+C81+C82</f>
        <v>1189.5</v>
      </c>
      <c r="D83" s="656">
        <f>D80+D81+D82</f>
        <v>1195.2</v>
      </c>
      <c r="E83" s="656">
        <f>E80+E81+E82</f>
        <v>1212.5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955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956</v>
      </c>
      <c r="C86" s="649">
        <f>IF(C80=0,0,C59/C80)</f>
        <v>85796.546377220191</v>
      </c>
      <c r="D86" s="649">
        <f>IF(D80=0,0,D59/D80)</f>
        <v>92871.451565700903</v>
      </c>
      <c r="E86" s="649">
        <f>IF(E80=0,0,E59/E80)</f>
        <v>89252.972498537158</v>
      </c>
    </row>
    <row r="87" spans="1:5" ht="26.1" customHeight="1" x14ac:dyDescent="0.25">
      <c r="A87" s="639">
        <v>2</v>
      </c>
      <c r="B87" s="640" t="s">
        <v>957</v>
      </c>
      <c r="C87" s="649">
        <f>IF(C80=0,0,C60/C80)</f>
        <v>20835.511700028193</v>
      </c>
      <c r="D87" s="649">
        <f>IF(D80=0,0,D60/D80)</f>
        <v>20116.274509803923</v>
      </c>
      <c r="E87" s="649">
        <f>IF(E80=0,0,E60/E80)</f>
        <v>23386.105909888822</v>
      </c>
    </row>
    <row r="88" spans="1:5" ht="26.1" customHeight="1" x14ac:dyDescent="0.25">
      <c r="A88" s="650">
        <v>3</v>
      </c>
      <c r="B88" s="651" t="s">
        <v>958</v>
      </c>
      <c r="C88" s="652">
        <f>+C86+C87</f>
        <v>106632.05807724838</v>
      </c>
      <c r="D88" s="652">
        <f>+D86+D87</f>
        <v>112987.72607550482</v>
      </c>
      <c r="E88" s="652">
        <f>+E86+E87</f>
        <v>112639.07840842598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959</v>
      </c>
    </row>
    <row r="91" spans="1:5" ht="26.1" customHeight="1" x14ac:dyDescent="0.25">
      <c r="A91" s="639">
        <v>1</v>
      </c>
      <c r="B91" s="640" t="s">
        <v>960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961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962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963</v>
      </c>
      <c r="B95" s="642" t="s">
        <v>964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965</v>
      </c>
      <c r="C96" s="649">
        <f>IF(C82=0,0,C69/C82)</f>
        <v>60921.38898971567</v>
      </c>
      <c r="D96" s="649">
        <f>IF(D82=0,0,D69/D82)</f>
        <v>63263.282730143314</v>
      </c>
      <c r="E96" s="649">
        <f>IF(E82=0,0,E69/E82)</f>
        <v>67866.499345783275</v>
      </c>
    </row>
    <row r="97" spans="1:5" ht="26.1" customHeight="1" x14ac:dyDescent="0.25">
      <c r="A97" s="639">
        <v>2</v>
      </c>
      <c r="B97" s="640" t="s">
        <v>966</v>
      </c>
      <c r="C97" s="649">
        <f>IF(C82=0,0,C70/C82)</f>
        <v>14794.631578947368</v>
      </c>
      <c r="D97" s="649">
        <f>IF(D82=0,0,D70/D82)</f>
        <v>13703.042263784309</v>
      </c>
      <c r="E97" s="649">
        <f>IF(E82=0,0,E70/E82)</f>
        <v>17782.413464969668</v>
      </c>
    </row>
    <row r="98" spans="1:5" ht="26.1" customHeight="1" x14ac:dyDescent="0.25">
      <c r="A98" s="650">
        <v>3</v>
      </c>
      <c r="B98" s="651" t="s">
        <v>967</v>
      </c>
      <c r="C98" s="654">
        <f>+C96+C97</f>
        <v>75716.020568663036</v>
      </c>
      <c r="D98" s="654">
        <f>+D96+D97</f>
        <v>76966.324993927628</v>
      </c>
      <c r="E98" s="654">
        <f>+E96+E97</f>
        <v>85648.91281075294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968</v>
      </c>
      <c r="B100" s="642" t="s">
        <v>969</v>
      </c>
    </row>
    <row r="101" spans="1:5" ht="26.1" customHeight="1" x14ac:dyDescent="0.25">
      <c r="A101" s="639">
        <v>1</v>
      </c>
      <c r="B101" s="640" t="s">
        <v>970</v>
      </c>
      <c r="C101" s="641">
        <f>IF(C83=0,0,C75/C83)</f>
        <v>67913.882303488863</v>
      </c>
      <c r="D101" s="641">
        <f>IF(D83=0,0,D75/D83)</f>
        <v>70134.84103078983</v>
      </c>
      <c r="E101" s="641">
        <f>IF(E83=0,0,E75/E83)</f>
        <v>72216.108865979375</v>
      </c>
    </row>
    <row r="102" spans="1:5" ht="26.1" customHeight="1" x14ac:dyDescent="0.25">
      <c r="A102" s="639">
        <v>2</v>
      </c>
      <c r="B102" s="640" t="s">
        <v>971</v>
      </c>
      <c r="C102" s="658">
        <f>IF(C83=0,0,C76/C83)</f>
        <v>16492.744010088274</v>
      </c>
      <c r="D102" s="658">
        <f>IF(D83=0,0,D76/D83)</f>
        <v>15191.445783132529</v>
      </c>
      <c r="E102" s="658">
        <f>IF(E83=0,0,E76/E83)</f>
        <v>18922.099793814432</v>
      </c>
    </row>
    <row r="103" spans="1:5" ht="26.1" customHeight="1" x14ac:dyDescent="0.25">
      <c r="A103" s="650">
        <v>3</v>
      </c>
      <c r="B103" s="651" t="s">
        <v>969</v>
      </c>
      <c r="C103" s="654">
        <f>+C101+C102</f>
        <v>84406.626313577144</v>
      </c>
      <c r="D103" s="654">
        <f>+D101+D102</f>
        <v>85326.286813922357</v>
      </c>
      <c r="E103" s="654">
        <f>+E101+E102</f>
        <v>91138.208659793803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972</v>
      </c>
      <c r="B107" s="634" t="s">
        <v>973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974</v>
      </c>
      <c r="C108" s="641">
        <f>IF(C19=0,0,C77/C19)</f>
        <v>2703.5485364999863</v>
      </c>
      <c r="D108" s="641">
        <f>IF(D19=0,0,D77/D19)</f>
        <v>2839.8534710812842</v>
      </c>
      <c r="E108" s="641">
        <f>IF(E19=0,0,E77/E19)</f>
        <v>3002.9369819832059</v>
      </c>
    </row>
    <row r="109" spans="1:5" ht="26.1" customHeight="1" x14ac:dyDescent="0.25">
      <c r="A109" s="639">
        <v>2</v>
      </c>
      <c r="B109" s="640" t="s">
        <v>975</v>
      </c>
      <c r="C109" s="641">
        <f>IF(C20=0,0,C77/C20)</f>
        <v>17292.745780227349</v>
      </c>
      <c r="D109" s="641">
        <f>IF(D20=0,0,D77/D20)</f>
        <v>16037.423808774965</v>
      </c>
      <c r="E109" s="641">
        <f>IF(E20=0,0,E77/E20)</f>
        <v>16250.746764705882</v>
      </c>
    </row>
    <row r="110" spans="1:5" ht="26.1" customHeight="1" x14ac:dyDescent="0.25">
      <c r="A110" s="639">
        <v>3</v>
      </c>
      <c r="B110" s="640" t="s">
        <v>976</v>
      </c>
      <c r="C110" s="641">
        <f>IF(C22=0,0,C77/C22)</f>
        <v>1688.4487924403875</v>
      </c>
      <c r="D110" s="641">
        <f>IF(D22=0,0,D77/D22)</f>
        <v>1680.4392312888529</v>
      </c>
      <c r="E110" s="641">
        <f>IF(E22=0,0,E77/E22)</f>
        <v>1804.3756397087543</v>
      </c>
    </row>
    <row r="111" spans="1:5" ht="26.1" customHeight="1" x14ac:dyDescent="0.25">
      <c r="A111" s="639">
        <v>4</v>
      </c>
      <c r="B111" s="640" t="s">
        <v>977</v>
      </c>
      <c r="C111" s="641">
        <f>IF(C23=0,0,C77/C23)</f>
        <v>10799.84891575244</v>
      </c>
      <c r="D111" s="641">
        <f>IF(D23=0,0,D77/D23)</f>
        <v>9489.8967187944636</v>
      </c>
      <c r="E111" s="641">
        <f>IF(E23=0,0,E77/E23)</f>
        <v>9764.5910537709497</v>
      </c>
    </row>
    <row r="112" spans="1:5" ht="26.1" customHeight="1" x14ac:dyDescent="0.25">
      <c r="A112" s="639">
        <v>5</v>
      </c>
      <c r="B112" s="640" t="s">
        <v>978</v>
      </c>
      <c r="C112" s="641">
        <f>IF(C29=0,0,C77/C29)</f>
        <v>1110.0466775915702</v>
      </c>
      <c r="D112" s="641">
        <f>IF(D29=0,0,D77/D29)</f>
        <v>1198.2838981434047</v>
      </c>
      <c r="E112" s="641">
        <f>IF(E29=0,0,E77/E29)</f>
        <v>1362.7674429138983</v>
      </c>
    </row>
    <row r="113" spans="1:7" ht="25.5" customHeight="1" x14ac:dyDescent="0.25">
      <c r="A113" s="639">
        <v>6</v>
      </c>
      <c r="B113" s="640" t="s">
        <v>979</v>
      </c>
      <c r="C113" s="641">
        <f>IF(C30=0,0,C77/C30)</f>
        <v>7100.2072796620978</v>
      </c>
      <c r="D113" s="641">
        <f>IF(D30=0,0,D77/D30)</f>
        <v>6767.0346070495052</v>
      </c>
      <c r="E113" s="641">
        <f>IF(E30=0,0,E77/E30)</f>
        <v>7374.7763429100805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FILING&amp;R&amp;12CT CHILDREN`S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B35" sqref="B35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344928055</v>
      </c>
      <c r="D12" s="51">
        <v>371042265</v>
      </c>
      <c r="E12" s="51">
        <f t="shared" ref="E12:E19" si="0">D12-C12</f>
        <v>26114210</v>
      </c>
      <c r="F12" s="70">
        <f t="shared" ref="F12:F19" si="1">IF(C12=0,0,E12/C12)</f>
        <v>7.5709150419788263E-2</v>
      </c>
    </row>
    <row r="13" spans="1:8" ht="23.1" customHeight="1" x14ac:dyDescent="0.2">
      <c r="A13" s="25">
        <v>2</v>
      </c>
      <c r="B13" s="48" t="s">
        <v>72</v>
      </c>
      <c r="C13" s="51">
        <v>161417567</v>
      </c>
      <c r="D13" s="51">
        <v>176951244</v>
      </c>
      <c r="E13" s="51">
        <f t="shared" si="0"/>
        <v>15533677</v>
      </c>
      <c r="F13" s="70">
        <f t="shared" si="1"/>
        <v>9.6232877800716696E-2</v>
      </c>
    </row>
    <row r="14" spans="1:8" ht="23.1" customHeight="1" x14ac:dyDescent="0.2">
      <c r="A14" s="25">
        <v>3</v>
      </c>
      <c r="B14" s="48" t="s">
        <v>73</v>
      </c>
      <c r="C14" s="51">
        <v>5034035</v>
      </c>
      <c r="D14" s="51">
        <v>1326729</v>
      </c>
      <c r="E14" s="51">
        <f t="shared" si="0"/>
        <v>-3707306</v>
      </c>
      <c r="F14" s="70">
        <f t="shared" si="1"/>
        <v>-0.73644819712218923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7536263</v>
      </c>
      <c r="E15" s="51">
        <f t="shared" si="0"/>
        <v>7536263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178476453</v>
      </c>
      <c r="D16" s="27">
        <f>D12-D13-D14-D15</f>
        <v>185228029</v>
      </c>
      <c r="E16" s="27">
        <f t="shared" si="0"/>
        <v>6751576</v>
      </c>
      <c r="F16" s="28">
        <f t="shared" si="1"/>
        <v>3.7828945423965817E-2</v>
      </c>
    </row>
    <row r="17" spans="1:7" ht="23.1" customHeight="1" x14ac:dyDescent="0.2">
      <c r="A17" s="25">
        <v>5</v>
      </c>
      <c r="B17" s="48" t="s">
        <v>76</v>
      </c>
      <c r="C17" s="51">
        <v>3049588</v>
      </c>
      <c r="D17" s="51">
        <v>2901151</v>
      </c>
      <c r="E17" s="51">
        <f t="shared" si="0"/>
        <v>-148437</v>
      </c>
      <c r="F17" s="70">
        <f t="shared" si="1"/>
        <v>-4.8674443892092967E-2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11889220</v>
      </c>
      <c r="D18" s="51">
        <v>10727674</v>
      </c>
      <c r="E18" s="51">
        <f t="shared" si="0"/>
        <v>-1161546</v>
      </c>
      <c r="F18" s="70">
        <f t="shared" si="1"/>
        <v>-9.769740992260216E-2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193415261</v>
      </c>
      <c r="D19" s="27">
        <f>SUM(D16:D18)</f>
        <v>198856854</v>
      </c>
      <c r="E19" s="27">
        <f t="shared" si="0"/>
        <v>5441593</v>
      </c>
      <c r="F19" s="28">
        <f t="shared" si="1"/>
        <v>2.8134248413831213E-2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83825162</v>
      </c>
      <c r="D22" s="51">
        <v>87562032</v>
      </c>
      <c r="E22" s="51">
        <f t="shared" ref="E22:E31" si="2">D22-C22</f>
        <v>3736870</v>
      </c>
      <c r="F22" s="70">
        <f t="shared" ref="F22:F31" si="3">IF(C22=0,0,E22/C22)</f>
        <v>4.457933525973979E-2</v>
      </c>
    </row>
    <row r="23" spans="1:7" ht="23.1" customHeight="1" x14ac:dyDescent="0.2">
      <c r="A23" s="25">
        <v>2</v>
      </c>
      <c r="B23" s="48" t="s">
        <v>81</v>
      </c>
      <c r="C23" s="51">
        <v>18156816</v>
      </c>
      <c r="D23" s="51">
        <v>22943046</v>
      </c>
      <c r="E23" s="51">
        <f t="shared" si="2"/>
        <v>4786230</v>
      </c>
      <c r="F23" s="70">
        <f t="shared" si="3"/>
        <v>0.26360513869832686</v>
      </c>
    </row>
    <row r="24" spans="1:7" ht="23.1" customHeight="1" x14ac:dyDescent="0.2">
      <c r="A24" s="25">
        <v>3</v>
      </c>
      <c r="B24" s="48" t="s">
        <v>82</v>
      </c>
      <c r="C24" s="51">
        <v>7012619</v>
      </c>
      <c r="D24" s="51">
        <v>8406976</v>
      </c>
      <c r="E24" s="51">
        <f t="shared" si="2"/>
        <v>1394357</v>
      </c>
      <c r="F24" s="70">
        <f t="shared" si="3"/>
        <v>0.1988354137020705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13644306</v>
      </c>
      <c r="D25" s="51">
        <v>15331012</v>
      </c>
      <c r="E25" s="51">
        <f t="shared" si="2"/>
        <v>1686706</v>
      </c>
      <c r="F25" s="70">
        <f t="shared" si="3"/>
        <v>0.12361977223319383</v>
      </c>
    </row>
    <row r="26" spans="1:7" ht="23.1" customHeight="1" x14ac:dyDescent="0.2">
      <c r="A26" s="25">
        <v>5</v>
      </c>
      <c r="B26" s="48" t="s">
        <v>84</v>
      </c>
      <c r="C26" s="51">
        <v>9422221</v>
      </c>
      <c r="D26" s="51">
        <v>9805033</v>
      </c>
      <c r="E26" s="51">
        <f t="shared" si="2"/>
        <v>382812</v>
      </c>
      <c r="F26" s="70">
        <f t="shared" si="3"/>
        <v>4.0628637345695884E-2</v>
      </c>
    </row>
    <row r="27" spans="1:7" ht="23.1" customHeight="1" x14ac:dyDescent="0.2">
      <c r="A27" s="25">
        <v>6</v>
      </c>
      <c r="B27" s="48" t="s">
        <v>85</v>
      </c>
      <c r="C27" s="51">
        <v>3808276</v>
      </c>
      <c r="D27" s="51">
        <v>3302352</v>
      </c>
      <c r="E27" s="51">
        <f t="shared" si="2"/>
        <v>-505924</v>
      </c>
      <c r="F27" s="70">
        <f t="shared" si="3"/>
        <v>-0.13284856454731747</v>
      </c>
    </row>
    <row r="28" spans="1:7" ht="23.1" customHeight="1" x14ac:dyDescent="0.2">
      <c r="A28" s="25">
        <v>7</v>
      </c>
      <c r="B28" s="48" t="s">
        <v>86</v>
      </c>
      <c r="C28" s="51">
        <v>1921628</v>
      </c>
      <c r="D28" s="51">
        <v>1388163</v>
      </c>
      <c r="E28" s="51">
        <f t="shared" si="2"/>
        <v>-533465</v>
      </c>
      <c r="F28" s="70">
        <f t="shared" si="3"/>
        <v>-0.27761096320411649</v>
      </c>
    </row>
    <row r="29" spans="1:7" ht="23.1" customHeight="1" x14ac:dyDescent="0.2">
      <c r="A29" s="25">
        <v>8</v>
      </c>
      <c r="B29" s="48" t="s">
        <v>87</v>
      </c>
      <c r="C29" s="51">
        <v>5204113</v>
      </c>
      <c r="D29" s="51">
        <v>4807075</v>
      </c>
      <c r="E29" s="51">
        <f t="shared" si="2"/>
        <v>-397038</v>
      </c>
      <c r="F29" s="70">
        <f t="shared" si="3"/>
        <v>-7.6293116617567686E-2</v>
      </c>
    </row>
    <row r="30" spans="1:7" ht="23.1" customHeight="1" x14ac:dyDescent="0.2">
      <c r="A30" s="25">
        <v>9</v>
      </c>
      <c r="B30" s="48" t="s">
        <v>88</v>
      </c>
      <c r="C30" s="51">
        <v>42540189</v>
      </c>
      <c r="D30" s="51">
        <v>46569934</v>
      </c>
      <c r="E30" s="51">
        <f t="shared" si="2"/>
        <v>4029745</v>
      </c>
      <c r="F30" s="70">
        <f t="shared" si="3"/>
        <v>9.4727952431052906E-2</v>
      </c>
    </row>
    <row r="31" spans="1:7" ht="23.1" customHeight="1" x14ac:dyDescent="0.25">
      <c r="A31" s="29"/>
      <c r="B31" s="71" t="s">
        <v>89</v>
      </c>
      <c r="C31" s="27">
        <f>SUM(C22:C30)</f>
        <v>185535330</v>
      </c>
      <c r="D31" s="27">
        <f>SUM(D22:D30)</f>
        <v>200115623</v>
      </c>
      <c r="E31" s="27">
        <f t="shared" si="2"/>
        <v>14580293</v>
      </c>
      <c r="F31" s="28">
        <f t="shared" si="3"/>
        <v>7.85849951057839E-2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7879931</v>
      </c>
      <c r="D33" s="27">
        <f>+D19-D31</f>
        <v>-1258769</v>
      </c>
      <c r="E33" s="27">
        <f>D33-C33</f>
        <v>-9138700</v>
      </c>
      <c r="F33" s="28">
        <f>IF(C33=0,0,E33/C33)</f>
        <v>-1.1597436576538551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2388602</v>
      </c>
      <c r="D36" s="51">
        <v>16535869</v>
      </c>
      <c r="E36" s="51">
        <f>D36-C36</f>
        <v>14147267</v>
      </c>
      <c r="F36" s="70">
        <f>IF(C36=0,0,E36/C36)</f>
        <v>5.9228230571690048</v>
      </c>
    </row>
    <row r="37" spans="1:6" ht="23.1" customHeight="1" x14ac:dyDescent="0.2">
      <c r="A37" s="44">
        <v>2</v>
      </c>
      <c r="B37" s="48" t="s">
        <v>93</v>
      </c>
      <c r="C37" s="51">
        <v>531228</v>
      </c>
      <c r="D37" s="51">
        <v>0</v>
      </c>
      <c r="E37" s="51">
        <f>D37-C37</f>
        <v>-531228</v>
      </c>
      <c r="F37" s="70">
        <f>IF(C37=0,0,E37/C37)</f>
        <v>-1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2919830</v>
      </c>
      <c r="D39" s="27">
        <f>SUM(D36:D38)</f>
        <v>16535869</v>
      </c>
      <c r="E39" s="27">
        <f>D39-C39</f>
        <v>13616039</v>
      </c>
      <c r="F39" s="28">
        <f>IF(C39=0,0,E39/C39)</f>
        <v>4.6632985482031488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10799761</v>
      </c>
      <c r="D41" s="27">
        <f>D33+D39</f>
        <v>15277100</v>
      </c>
      <c r="E41" s="27">
        <f>D41-C41</f>
        <v>4477339</v>
      </c>
      <c r="F41" s="28">
        <f>IF(C41=0,0,E41/C41)</f>
        <v>0.41457760037467495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10799761</v>
      </c>
      <c r="D48" s="27">
        <f>D41+D46</f>
        <v>15277100</v>
      </c>
      <c r="E48" s="27">
        <f>D48-C48</f>
        <v>4477339</v>
      </c>
      <c r="F48" s="28">
        <f>IF(C48=0,0,E48/C48)</f>
        <v>0.41457760037467495</v>
      </c>
    </row>
    <row r="49" spans="1:6" ht="23.1" customHeight="1" x14ac:dyDescent="0.2">
      <c r="A49" s="44"/>
      <c r="B49" s="48" t="s">
        <v>102</v>
      </c>
      <c r="C49" s="51">
        <v>5260291</v>
      </c>
      <c r="D49" s="51">
        <v>5777048</v>
      </c>
      <c r="E49" s="51">
        <f>D49-C49</f>
        <v>516757</v>
      </c>
      <c r="F49" s="70">
        <f>IF(C49=0,0,E49/C49)</f>
        <v>9.8237340861940914E-2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B35" sqref="B35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438448</v>
      </c>
      <c r="D14" s="97">
        <v>327619</v>
      </c>
      <c r="E14" s="97">
        <f t="shared" ref="E14:E25" si="0">D14-C14</f>
        <v>-110829</v>
      </c>
      <c r="F14" s="98">
        <f t="shared" ref="F14:F25" si="1">IF(C14=0,0,E14/C14)</f>
        <v>-0.2527756997409043</v>
      </c>
    </row>
    <row r="15" spans="1:6" ht="18" customHeight="1" x14ac:dyDescent="0.25">
      <c r="A15" s="99">
        <v>2</v>
      </c>
      <c r="B15" s="100" t="s">
        <v>113</v>
      </c>
      <c r="C15" s="97">
        <v>0</v>
      </c>
      <c r="D15" s="97">
        <v>0</v>
      </c>
      <c r="E15" s="97">
        <f t="shared" si="0"/>
        <v>0</v>
      </c>
      <c r="F15" s="98">
        <f t="shared" si="1"/>
        <v>0</v>
      </c>
    </row>
    <row r="16" spans="1:6" ht="18" customHeight="1" x14ac:dyDescent="0.25">
      <c r="A16" s="99">
        <v>3</v>
      </c>
      <c r="B16" s="100" t="s">
        <v>114</v>
      </c>
      <c r="C16" s="97">
        <v>23850353</v>
      </c>
      <c r="D16" s="97">
        <v>23049963</v>
      </c>
      <c r="E16" s="97">
        <f t="shared" si="0"/>
        <v>-800390</v>
      </c>
      <c r="F16" s="98">
        <f t="shared" si="1"/>
        <v>-3.3558832441599504E-2</v>
      </c>
    </row>
    <row r="17" spans="1:6" ht="18" customHeight="1" x14ac:dyDescent="0.25">
      <c r="A17" s="99">
        <v>4</v>
      </c>
      <c r="B17" s="100" t="s">
        <v>115</v>
      </c>
      <c r="C17" s="97">
        <v>81656061</v>
      </c>
      <c r="D17" s="97">
        <v>94927992</v>
      </c>
      <c r="E17" s="97">
        <f t="shared" si="0"/>
        <v>13271931</v>
      </c>
      <c r="F17" s="98">
        <f t="shared" si="1"/>
        <v>0.16253454841521195</v>
      </c>
    </row>
    <row r="18" spans="1:6" ht="18" customHeight="1" x14ac:dyDescent="0.25">
      <c r="A18" s="99">
        <v>5</v>
      </c>
      <c r="B18" s="100" t="s">
        <v>116</v>
      </c>
      <c r="C18" s="97">
        <v>457574</v>
      </c>
      <c r="D18" s="97">
        <v>876816</v>
      </c>
      <c r="E18" s="97">
        <f t="shared" si="0"/>
        <v>419242</v>
      </c>
      <c r="F18" s="98">
        <f t="shared" si="1"/>
        <v>0.91622775769602294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96948589</v>
      </c>
      <c r="D20" s="97">
        <v>100206322</v>
      </c>
      <c r="E20" s="97">
        <f t="shared" si="0"/>
        <v>3257733</v>
      </c>
      <c r="F20" s="98">
        <f t="shared" si="1"/>
        <v>3.3602686058690344E-2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754800</v>
      </c>
      <c r="D22" s="97">
        <v>3559565</v>
      </c>
      <c r="E22" s="97">
        <f t="shared" si="0"/>
        <v>2804765</v>
      </c>
      <c r="F22" s="98">
        <f t="shared" si="1"/>
        <v>3.715904875463699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204105825</v>
      </c>
      <c r="D25" s="103">
        <f>SUM(D14:D24)</f>
        <v>222948277</v>
      </c>
      <c r="E25" s="103">
        <f t="shared" si="0"/>
        <v>18842452</v>
      </c>
      <c r="F25" s="104">
        <f t="shared" si="1"/>
        <v>9.2317071303574999E-2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144624</v>
      </c>
      <c r="D27" s="97">
        <v>65268</v>
      </c>
      <c r="E27" s="97">
        <f t="shared" ref="E27:E38" si="2">D27-C27</f>
        <v>-79356</v>
      </c>
      <c r="F27" s="98">
        <f t="shared" ref="F27:F38" si="3">IF(C27=0,0,E27/C27)</f>
        <v>-0.54870560902754728</v>
      </c>
    </row>
    <row r="28" spans="1:6" ht="18" customHeight="1" x14ac:dyDescent="0.25">
      <c r="A28" s="99">
        <v>2</v>
      </c>
      <c r="B28" s="100" t="s">
        <v>113</v>
      </c>
      <c r="C28" s="97">
        <v>0</v>
      </c>
      <c r="D28" s="97">
        <v>0</v>
      </c>
      <c r="E28" s="97">
        <f t="shared" si="2"/>
        <v>0</v>
      </c>
      <c r="F28" s="98">
        <f t="shared" si="3"/>
        <v>0</v>
      </c>
    </row>
    <row r="29" spans="1:6" ht="18" customHeight="1" x14ac:dyDescent="0.25">
      <c r="A29" s="99">
        <v>3</v>
      </c>
      <c r="B29" s="100" t="s">
        <v>114</v>
      </c>
      <c r="C29" s="97">
        <v>6196003</v>
      </c>
      <c r="D29" s="97">
        <v>4035580</v>
      </c>
      <c r="E29" s="97">
        <f t="shared" si="2"/>
        <v>-2160423</v>
      </c>
      <c r="F29" s="98">
        <f t="shared" si="3"/>
        <v>-0.34868010877334954</v>
      </c>
    </row>
    <row r="30" spans="1:6" ht="18" customHeight="1" x14ac:dyDescent="0.25">
      <c r="A30" s="99">
        <v>4</v>
      </c>
      <c r="B30" s="100" t="s">
        <v>115</v>
      </c>
      <c r="C30" s="97">
        <v>55894857</v>
      </c>
      <c r="D30" s="97">
        <v>65955051</v>
      </c>
      <c r="E30" s="97">
        <f t="shared" si="2"/>
        <v>10060194</v>
      </c>
      <c r="F30" s="98">
        <f t="shared" si="3"/>
        <v>0.17998425150278138</v>
      </c>
    </row>
    <row r="31" spans="1:6" ht="18" customHeight="1" x14ac:dyDescent="0.25">
      <c r="A31" s="99">
        <v>5</v>
      </c>
      <c r="B31" s="100" t="s">
        <v>116</v>
      </c>
      <c r="C31" s="97">
        <v>637881</v>
      </c>
      <c r="D31" s="97">
        <v>680464</v>
      </c>
      <c r="E31" s="97">
        <f t="shared" si="2"/>
        <v>42583</v>
      </c>
      <c r="F31" s="98">
        <f t="shared" si="3"/>
        <v>6.6756965640926758E-2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75921821</v>
      </c>
      <c r="D33" s="97">
        <v>75280377</v>
      </c>
      <c r="E33" s="97">
        <f t="shared" si="2"/>
        <v>-641444</v>
      </c>
      <c r="F33" s="98">
        <f t="shared" si="3"/>
        <v>-8.4487436095612087E-3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2027044</v>
      </c>
      <c r="D35" s="97">
        <v>2077249</v>
      </c>
      <c r="E35" s="97">
        <f t="shared" si="2"/>
        <v>50205</v>
      </c>
      <c r="F35" s="98">
        <f t="shared" si="3"/>
        <v>2.4767592612691191E-2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140822230</v>
      </c>
      <c r="D38" s="103">
        <f>SUM(D27:D37)</f>
        <v>148093989</v>
      </c>
      <c r="E38" s="103">
        <f t="shared" si="2"/>
        <v>7271759</v>
      </c>
      <c r="F38" s="104">
        <f t="shared" si="3"/>
        <v>5.1637862857305983E-2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583072</v>
      </c>
      <c r="D41" s="103">
        <f t="shared" si="4"/>
        <v>392887</v>
      </c>
      <c r="E41" s="107">
        <f t="shared" ref="E41:E52" si="5">D41-C41</f>
        <v>-190185</v>
      </c>
      <c r="F41" s="108">
        <f t="shared" ref="F41:F52" si="6">IF(C41=0,0,E41/C41)</f>
        <v>-0.32617755611656879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0</v>
      </c>
      <c r="D42" s="103">
        <f t="shared" si="4"/>
        <v>0</v>
      </c>
      <c r="E42" s="107">
        <f t="shared" si="5"/>
        <v>0</v>
      </c>
      <c r="F42" s="108">
        <f t="shared" si="6"/>
        <v>0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30046356</v>
      </c>
      <c r="D43" s="103">
        <f t="shared" si="4"/>
        <v>27085543</v>
      </c>
      <c r="E43" s="107">
        <f t="shared" si="5"/>
        <v>-2960813</v>
      </c>
      <c r="F43" s="108">
        <f t="shared" si="6"/>
        <v>-9.8541500340340774E-2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137550918</v>
      </c>
      <c r="D44" s="103">
        <f t="shared" si="4"/>
        <v>160883043</v>
      </c>
      <c r="E44" s="107">
        <f t="shared" si="5"/>
        <v>23332125</v>
      </c>
      <c r="F44" s="108">
        <f t="shared" si="6"/>
        <v>0.16962536738577055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1095455</v>
      </c>
      <c r="D45" s="103">
        <f t="shared" si="4"/>
        <v>1557280</v>
      </c>
      <c r="E45" s="107">
        <f t="shared" si="5"/>
        <v>461825</v>
      </c>
      <c r="F45" s="108">
        <f t="shared" si="6"/>
        <v>0.42158281262123959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172870410</v>
      </c>
      <c r="D47" s="103">
        <f t="shared" si="4"/>
        <v>175486699</v>
      </c>
      <c r="E47" s="107">
        <f t="shared" si="5"/>
        <v>2616289</v>
      </c>
      <c r="F47" s="108">
        <f t="shared" si="6"/>
        <v>1.513439460229197E-2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2781844</v>
      </c>
      <c r="D49" s="103">
        <f t="shared" si="4"/>
        <v>5636814</v>
      </c>
      <c r="E49" s="107">
        <f t="shared" si="5"/>
        <v>2854970</v>
      </c>
      <c r="F49" s="108">
        <f t="shared" si="6"/>
        <v>1.0262868802132685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344928055</v>
      </c>
      <c r="D52" s="112">
        <f>SUM(D41:D51)</f>
        <v>371042266</v>
      </c>
      <c r="E52" s="111">
        <f t="shared" si="5"/>
        <v>26114211</v>
      </c>
      <c r="F52" s="113">
        <f t="shared" si="6"/>
        <v>7.5709153318943567E-2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2622018</v>
      </c>
      <c r="D57" s="97">
        <v>2997225</v>
      </c>
      <c r="E57" s="97">
        <f t="shared" ref="E57:E68" si="7">D57-C57</f>
        <v>375207</v>
      </c>
      <c r="F57" s="98">
        <f t="shared" ref="F57:F68" si="8">IF(C57=0,0,E57/C57)</f>
        <v>0.14309855996411924</v>
      </c>
    </row>
    <row r="58" spans="1:6" ht="18" customHeight="1" x14ac:dyDescent="0.25">
      <c r="A58" s="99">
        <v>2</v>
      </c>
      <c r="B58" s="100" t="s">
        <v>113</v>
      </c>
      <c r="C58" s="97">
        <v>0</v>
      </c>
      <c r="D58" s="97">
        <v>0</v>
      </c>
      <c r="E58" s="97">
        <f t="shared" si="7"/>
        <v>0</v>
      </c>
      <c r="F58" s="98">
        <f t="shared" si="8"/>
        <v>0</v>
      </c>
    </row>
    <row r="59" spans="1:6" ht="18" customHeight="1" x14ac:dyDescent="0.25">
      <c r="A59" s="99">
        <v>3</v>
      </c>
      <c r="B59" s="100" t="s">
        <v>114</v>
      </c>
      <c r="C59" s="97">
        <v>8485769</v>
      </c>
      <c r="D59" s="97">
        <v>7360983</v>
      </c>
      <c r="E59" s="97">
        <f t="shared" si="7"/>
        <v>-1124786</v>
      </c>
      <c r="F59" s="98">
        <f t="shared" si="8"/>
        <v>-0.1325496840651684</v>
      </c>
    </row>
    <row r="60" spans="1:6" ht="18" customHeight="1" x14ac:dyDescent="0.25">
      <c r="A60" s="99">
        <v>4</v>
      </c>
      <c r="B60" s="100" t="s">
        <v>115</v>
      </c>
      <c r="C60" s="97">
        <v>30658124</v>
      </c>
      <c r="D60" s="97">
        <v>35535264</v>
      </c>
      <c r="E60" s="97">
        <f t="shared" si="7"/>
        <v>4877140</v>
      </c>
      <c r="F60" s="98">
        <f t="shared" si="8"/>
        <v>0.15908148848246553</v>
      </c>
    </row>
    <row r="61" spans="1:6" ht="18" customHeight="1" x14ac:dyDescent="0.25">
      <c r="A61" s="99">
        <v>5</v>
      </c>
      <c r="B61" s="100" t="s">
        <v>116</v>
      </c>
      <c r="C61" s="97">
        <v>76422</v>
      </c>
      <c r="D61" s="97">
        <v>326298</v>
      </c>
      <c r="E61" s="97">
        <f t="shared" si="7"/>
        <v>249876</v>
      </c>
      <c r="F61" s="98">
        <f t="shared" si="8"/>
        <v>3.2696867394205857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56766631</v>
      </c>
      <c r="D63" s="97">
        <v>66112554</v>
      </c>
      <c r="E63" s="97">
        <f t="shared" si="7"/>
        <v>9345923</v>
      </c>
      <c r="F63" s="98">
        <f t="shared" si="8"/>
        <v>0.16463761959028358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227133</v>
      </c>
      <c r="D65" s="97">
        <v>504320</v>
      </c>
      <c r="E65" s="97">
        <f t="shared" si="7"/>
        <v>277187</v>
      </c>
      <c r="F65" s="98">
        <f t="shared" si="8"/>
        <v>1.2203730853728874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98836097</v>
      </c>
      <c r="D68" s="103">
        <f>SUM(D57:D67)</f>
        <v>112836644</v>
      </c>
      <c r="E68" s="103">
        <f t="shared" si="7"/>
        <v>14000547</v>
      </c>
      <c r="F68" s="104">
        <f t="shared" si="8"/>
        <v>0.14165418733602966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872231</v>
      </c>
      <c r="D70" s="97">
        <v>598250</v>
      </c>
      <c r="E70" s="97">
        <f t="shared" ref="E70:E81" si="9">D70-C70</f>
        <v>-273981</v>
      </c>
      <c r="F70" s="98">
        <f t="shared" ref="F70:F81" si="10">IF(C70=0,0,E70/C70)</f>
        <v>-0.31411518278988021</v>
      </c>
    </row>
    <row r="71" spans="1:6" ht="18" customHeight="1" x14ac:dyDescent="0.25">
      <c r="A71" s="99">
        <v>2</v>
      </c>
      <c r="B71" s="100" t="s">
        <v>113</v>
      </c>
      <c r="C71" s="97">
        <v>0</v>
      </c>
      <c r="D71" s="97">
        <v>0</v>
      </c>
      <c r="E71" s="97">
        <f t="shared" si="9"/>
        <v>0</v>
      </c>
      <c r="F71" s="98">
        <f t="shared" si="10"/>
        <v>0</v>
      </c>
    </row>
    <row r="72" spans="1:6" ht="18" customHeight="1" x14ac:dyDescent="0.25">
      <c r="A72" s="99">
        <v>3</v>
      </c>
      <c r="B72" s="100" t="s">
        <v>114</v>
      </c>
      <c r="C72" s="97">
        <v>2249905</v>
      </c>
      <c r="D72" s="97">
        <v>183687</v>
      </c>
      <c r="E72" s="97">
        <f t="shared" si="9"/>
        <v>-2066218</v>
      </c>
      <c r="F72" s="98">
        <f t="shared" si="10"/>
        <v>-0.91835788622186265</v>
      </c>
    </row>
    <row r="73" spans="1:6" ht="18" customHeight="1" x14ac:dyDescent="0.25">
      <c r="A73" s="99">
        <v>4</v>
      </c>
      <c r="B73" s="100" t="s">
        <v>115</v>
      </c>
      <c r="C73" s="97">
        <v>18226888</v>
      </c>
      <c r="D73" s="97">
        <v>22644620</v>
      </c>
      <c r="E73" s="97">
        <f t="shared" si="9"/>
        <v>4417732</v>
      </c>
      <c r="F73" s="98">
        <f t="shared" si="10"/>
        <v>0.24237445251213482</v>
      </c>
    </row>
    <row r="74" spans="1:6" ht="18" customHeight="1" x14ac:dyDescent="0.25">
      <c r="A74" s="99">
        <v>5</v>
      </c>
      <c r="B74" s="100" t="s">
        <v>116</v>
      </c>
      <c r="C74" s="97">
        <v>351959</v>
      </c>
      <c r="D74" s="97">
        <v>370211</v>
      </c>
      <c r="E74" s="97">
        <f t="shared" si="9"/>
        <v>18252</v>
      </c>
      <c r="F74" s="98">
        <f t="shared" si="10"/>
        <v>5.1858313042144111E-2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42092617</v>
      </c>
      <c r="D76" s="97">
        <v>41046642</v>
      </c>
      <c r="E76" s="97">
        <f t="shared" si="9"/>
        <v>-1045975</v>
      </c>
      <c r="F76" s="98">
        <f t="shared" si="10"/>
        <v>-2.4849369664993744E-2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609974</v>
      </c>
      <c r="D78" s="97">
        <v>761886</v>
      </c>
      <c r="E78" s="97">
        <f t="shared" si="9"/>
        <v>151912</v>
      </c>
      <c r="F78" s="98">
        <f t="shared" si="10"/>
        <v>0.24904668067819283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64403574</v>
      </c>
      <c r="D81" s="103">
        <f>SUM(D70:D80)</f>
        <v>65605296</v>
      </c>
      <c r="E81" s="103">
        <f t="shared" si="9"/>
        <v>1201722</v>
      </c>
      <c r="F81" s="104">
        <f t="shared" si="10"/>
        <v>1.8659243973013051E-2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3494249</v>
      </c>
      <c r="D84" s="103">
        <f t="shared" si="11"/>
        <v>3595475</v>
      </c>
      <c r="E84" s="103">
        <f t="shared" ref="E84:E95" si="12">D84-C84</f>
        <v>101226</v>
      </c>
      <c r="F84" s="104">
        <f t="shared" ref="F84:F95" si="13">IF(C84=0,0,E84/C84)</f>
        <v>2.8969315008747231E-2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0</v>
      </c>
      <c r="D85" s="103">
        <f t="shared" si="11"/>
        <v>0</v>
      </c>
      <c r="E85" s="103">
        <f t="shared" si="12"/>
        <v>0</v>
      </c>
      <c r="F85" s="104">
        <f t="shared" si="13"/>
        <v>0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10735674</v>
      </c>
      <c r="D86" s="103">
        <f t="shared" si="11"/>
        <v>7544670</v>
      </c>
      <c r="E86" s="103">
        <f t="shared" si="12"/>
        <v>-3191004</v>
      </c>
      <c r="F86" s="104">
        <f t="shared" si="13"/>
        <v>-0.29723369021823876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48885012</v>
      </c>
      <c r="D87" s="103">
        <f t="shared" si="11"/>
        <v>58179884</v>
      </c>
      <c r="E87" s="103">
        <f t="shared" si="12"/>
        <v>9294872</v>
      </c>
      <c r="F87" s="104">
        <f t="shared" si="13"/>
        <v>0.19013745971873752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428381</v>
      </c>
      <c r="D88" s="103">
        <f t="shared" si="11"/>
        <v>696509</v>
      </c>
      <c r="E88" s="103">
        <f t="shared" si="12"/>
        <v>268128</v>
      </c>
      <c r="F88" s="104">
        <f t="shared" si="13"/>
        <v>0.6259101127267549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98859248</v>
      </c>
      <c r="D90" s="103">
        <f t="shared" si="11"/>
        <v>107159196</v>
      </c>
      <c r="E90" s="103">
        <f t="shared" si="12"/>
        <v>8299948</v>
      </c>
      <c r="F90" s="104">
        <f t="shared" si="13"/>
        <v>8.3957223708600329E-2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837107</v>
      </c>
      <c r="D92" s="103">
        <f t="shared" si="11"/>
        <v>1266206</v>
      </c>
      <c r="E92" s="103">
        <f t="shared" si="12"/>
        <v>429099</v>
      </c>
      <c r="F92" s="104">
        <f t="shared" si="13"/>
        <v>0.51259755323990841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163239671</v>
      </c>
      <c r="D95" s="112">
        <f>SUM(D84:D94)</f>
        <v>178441940</v>
      </c>
      <c r="E95" s="112">
        <f t="shared" si="12"/>
        <v>15202269</v>
      </c>
      <c r="F95" s="113">
        <f t="shared" si="13"/>
        <v>9.312852021124203E-2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8</v>
      </c>
      <c r="D100" s="117">
        <v>8</v>
      </c>
      <c r="E100" s="117">
        <f t="shared" ref="E100:E111" si="14">D100-C100</f>
        <v>0</v>
      </c>
      <c r="F100" s="98">
        <f t="shared" ref="F100:F111" si="15">IF(C100=0,0,E100/C100)</f>
        <v>0</v>
      </c>
    </row>
    <row r="101" spans="1:6" ht="18" customHeight="1" x14ac:dyDescent="0.25">
      <c r="A101" s="99">
        <v>2</v>
      </c>
      <c r="B101" s="100" t="s">
        <v>113</v>
      </c>
      <c r="C101" s="117">
        <v>0</v>
      </c>
      <c r="D101" s="117">
        <v>0</v>
      </c>
      <c r="E101" s="117">
        <f t="shared" si="14"/>
        <v>0</v>
      </c>
      <c r="F101" s="98">
        <f t="shared" si="15"/>
        <v>0</v>
      </c>
    </row>
    <row r="102" spans="1:6" ht="18" customHeight="1" x14ac:dyDescent="0.25">
      <c r="A102" s="99">
        <v>3</v>
      </c>
      <c r="B102" s="100" t="s">
        <v>114</v>
      </c>
      <c r="C102" s="117">
        <v>474</v>
      </c>
      <c r="D102" s="117">
        <v>348</v>
      </c>
      <c r="E102" s="117">
        <f t="shared" si="14"/>
        <v>-126</v>
      </c>
      <c r="F102" s="98">
        <f t="shared" si="15"/>
        <v>-0.26582278481012656</v>
      </c>
    </row>
    <row r="103" spans="1:6" ht="18" customHeight="1" x14ac:dyDescent="0.25">
      <c r="A103" s="99">
        <v>4</v>
      </c>
      <c r="B103" s="100" t="s">
        <v>115</v>
      </c>
      <c r="C103" s="117">
        <v>2781</v>
      </c>
      <c r="D103" s="117">
        <v>3296</v>
      </c>
      <c r="E103" s="117">
        <f t="shared" si="14"/>
        <v>515</v>
      </c>
      <c r="F103" s="98">
        <f t="shared" si="15"/>
        <v>0.18518518518518517</v>
      </c>
    </row>
    <row r="104" spans="1:6" ht="18" customHeight="1" x14ac:dyDescent="0.25">
      <c r="A104" s="99">
        <v>5</v>
      </c>
      <c r="B104" s="100" t="s">
        <v>116</v>
      </c>
      <c r="C104" s="117">
        <v>31</v>
      </c>
      <c r="D104" s="117">
        <v>38</v>
      </c>
      <c r="E104" s="117">
        <f t="shared" si="14"/>
        <v>7</v>
      </c>
      <c r="F104" s="98">
        <f t="shared" si="15"/>
        <v>0.22580645161290322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3014</v>
      </c>
      <c r="D106" s="117">
        <v>3030</v>
      </c>
      <c r="E106" s="117">
        <f t="shared" si="14"/>
        <v>16</v>
      </c>
      <c r="F106" s="98">
        <f t="shared" si="15"/>
        <v>5.3085600530856005E-3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51</v>
      </c>
      <c r="D108" s="117">
        <v>80</v>
      </c>
      <c r="E108" s="117">
        <f t="shared" si="14"/>
        <v>29</v>
      </c>
      <c r="F108" s="98">
        <f t="shared" si="15"/>
        <v>0.56862745098039214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6359</v>
      </c>
      <c r="D111" s="118">
        <f>SUM(D100:D110)</f>
        <v>6800</v>
      </c>
      <c r="E111" s="118">
        <f t="shared" si="14"/>
        <v>441</v>
      </c>
      <c r="F111" s="104">
        <f t="shared" si="15"/>
        <v>6.9350526812391886E-2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77</v>
      </c>
      <c r="D113" s="117">
        <v>46</v>
      </c>
      <c r="E113" s="117">
        <f t="shared" ref="E113:E124" si="16">D113-C113</f>
        <v>-31</v>
      </c>
      <c r="F113" s="98">
        <f t="shared" ref="F113:F124" si="17">IF(C113=0,0,E113/C113)</f>
        <v>-0.40259740259740262</v>
      </c>
    </row>
    <row r="114" spans="1:6" ht="18" customHeight="1" x14ac:dyDescent="0.25">
      <c r="A114" s="99">
        <v>2</v>
      </c>
      <c r="B114" s="100" t="s">
        <v>113</v>
      </c>
      <c r="C114" s="117">
        <v>0</v>
      </c>
      <c r="D114" s="117">
        <v>0</v>
      </c>
      <c r="E114" s="117">
        <f t="shared" si="16"/>
        <v>0</v>
      </c>
      <c r="F114" s="98">
        <f t="shared" si="17"/>
        <v>0</v>
      </c>
    </row>
    <row r="115" spans="1:6" ht="18" customHeight="1" x14ac:dyDescent="0.25">
      <c r="A115" s="99">
        <v>3</v>
      </c>
      <c r="B115" s="100" t="s">
        <v>114</v>
      </c>
      <c r="C115" s="117">
        <v>4432</v>
      </c>
      <c r="D115" s="117">
        <v>3587</v>
      </c>
      <c r="E115" s="117">
        <f t="shared" si="16"/>
        <v>-845</v>
      </c>
      <c r="F115" s="98">
        <f t="shared" si="17"/>
        <v>-0.19065884476534295</v>
      </c>
    </row>
    <row r="116" spans="1:6" ht="18" customHeight="1" x14ac:dyDescent="0.25">
      <c r="A116" s="99">
        <v>4</v>
      </c>
      <c r="B116" s="100" t="s">
        <v>115</v>
      </c>
      <c r="C116" s="117">
        <v>14477</v>
      </c>
      <c r="D116" s="117">
        <v>15751</v>
      </c>
      <c r="E116" s="117">
        <f t="shared" si="16"/>
        <v>1274</v>
      </c>
      <c r="F116" s="98">
        <f t="shared" si="17"/>
        <v>8.8001657802030814E-2</v>
      </c>
    </row>
    <row r="117" spans="1:6" ht="18" customHeight="1" x14ac:dyDescent="0.25">
      <c r="A117" s="99">
        <v>5</v>
      </c>
      <c r="B117" s="100" t="s">
        <v>116</v>
      </c>
      <c r="C117" s="117">
        <v>98</v>
      </c>
      <c r="D117" s="117">
        <v>140</v>
      </c>
      <c r="E117" s="117">
        <f t="shared" si="16"/>
        <v>42</v>
      </c>
      <c r="F117" s="98">
        <f t="shared" si="17"/>
        <v>0.42857142857142855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16680</v>
      </c>
      <c r="D119" s="117">
        <v>16690</v>
      </c>
      <c r="E119" s="117">
        <f t="shared" si="16"/>
        <v>10</v>
      </c>
      <c r="F119" s="98">
        <f t="shared" si="17"/>
        <v>5.9952038369304552E-4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147</v>
      </c>
      <c r="D121" s="117">
        <v>585</v>
      </c>
      <c r="E121" s="117">
        <f t="shared" si="16"/>
        <v>438</v>
      </c>
      <c r="F121" s="98">
        <f t="shared" si="17"/>
        <v>2.9795918367346941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35911</v>
      </c>
      <c r="D124" s="118">
        <f>SUM(D113:D123)</f>
        <v>36799</v>
      </c>
      <c r="E124" s="118">
        <f t="shared" si="16"/>
        <v>888</v>
      </c>
      <c r="F124" s="104">
        <f t="shared" si="17"/>
        <v>2.4727799281557182E-2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94</v>
      </c>
      <c r="D126" s="117">
        <v>76</v>
      </c>
      <c r="E126" s="117">
        <f t="shared" ref="E126:E137" si="18">D126-C126</f>
        <v>-18</v>
      </c>
      <c r="F126" s="98">
        <f t="shared" ref="F126:F137" si="19">IF(C126=0,0,E126/C126)</f>
        <v>-0.19148936170212766</v>
      </c>
    </row>
    <row r="127" spans="1:6" ht="18" customHeight="1" x14ac:dyDescent="0.25">
      <c r="A127" s="99">
        <v>2</v>
      </c>
      <c r="B127" s="100" t="s">
        <v>113</v>
      </c>
      <c r="C127" s="117">
        <v>0</v>
      </c>
      <c r="D127" s="117">
        <v>0</v>
      </c>
      <c r="E127" s="117">
        <f t="shared" si="18"/>
        <v>0</v>
      </c>
      <c r="F127" s="98">
        <f t="shared" si="19"/>
        <v>0</v>
      </c>
    </row>
    <row r="128" spans="1:6" ht="18" customHeight="1" x14ac:dyDescent="0.25">
      <c r="A128" s="99">
        <v>3</v>
      </c>
      <c r="B128" s="100" t="s">
        <v>114</v>
      </c>
      <c r="C128" s="117">
        <v>5224</v>
      </c>
      <c r="D128" s="117">
        <v>3488</v>
      </c>
      <c r="E128" s="117">
        <f t="shared" si="18"/>
        <v>-1736</v>
      </c>
      <c r="F128" s="98">
        <f t="shared" si="19"/>
        <v>-0.33231240428790199</v>
      </c>
    </row>
    <row r="129" spans="1:6" ht="18" customHeight="1" x14ac:dyDescent="0.25">
      <c r="A129" s="99">
        <v>4</v>
      </c>
      <c r="B129" s="100" t="s">
        <v>115</v>
      </c>
      <c r="C129" s="117">
        <v>58991</v>
      </c>
      <c r="D129" s="117">
        <v>67916</v>
      </c>
      <c r="E129" s="117">
        <f t="shared" si="18"/>
        <v>8925</v>
      </c>
      <c r="F129" s="98">
        <f t="shared" si="19"/>
        <v>0.15129426522689901</v>
      </c>
    </row>
    <row r="130" spans="1:6" ht="18" customHeight="1" x14ac:dyDescent="0.25">
      <c r="A130" s="99">
        <v>5</v>
      </c>
      <c r="B130" s="100" t="s">
        <v>116</v>
      </c>
      <c r="C130" s="117">
        <v>570</v>
      </c>
      <c r="D130" s="117">
        <v>631</v>
      </c>
      <c r="E130" s="117">
        <f t="shared" si="18"/>
        <v>61</v>
      </c>
      <c r="F130" s="98">
        <f t="shared" si="19"/>
        <v>0.10701754385964912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72700</v>
      </c>
      <c r="D132" s="117">
        <v>70744</v>
      </c>
      <c r="E132" s="117">
        <f t="shared" si="18"/>
        <v>-1956</v>
      </c>
      <c r="F132" s="98">
        <f t="shared" si="19"/>
        <v>-2.6905089408528197E-2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2160</v>
      </c>
      <c r="D134" s="117">
        <v>2053</v>
      </c>
      <c r="E134" s="117">
        <f t="shared" si="18"/>
        <v>-107</v>
      </c>
      <c r="F134" s="98">
        <f t="shared" si="19"/>
        <v>-4.9537037037037039E-2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139739</v>
      </c>
      <c r="D137" s="118">
        <f>SUM(D126:D136)</f>
        <v>144908</v>
      </c>
      <c r="E137" s="118">
        <f t="shared" si="18"/>
        <v>5169</v>
      </c>
      <c r="F137" s="104">
        <f t="shared" si="19"/>
        <v>3.6990389225627779E-2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12966</v>
      </c>
      <c r="D142" s="97">
        <v>11775</v>
      </c>
      <c r="E142" s="97">
        <f t="shared" ref="E142:E153" si="20">D142-C142</f>
        <v>-1191</v>
      </c>
      <c r="F142" s="98">
        <f t="shared" ref="F142:F153" si="21">IF(C142=0,0,E142/C142)</f>
        <v>-9.1855622397038414E-2</v>
      </c>
    </row>
    <row r="143" spans="1:6" ht="18" customHeight="1" x14ac:dyDescent="0.25">
      <c r="A143" s="99">
        <v>2</v>
      </c>
      <c r="B143" s="100" t="s">
        <v>113</v>
      </c>
      <c r="C143" s="97">
        <v>0</v>
      </c>
      <c r="D143" s="97">
        <v>0</v>
      </c>
      <c r="E143" s="97">
        <f t="shared" si="20"/>
        <v>0</v>
      </c>
      <c r="F143" s="98">
        <f t="shared" si="21"/>
        <v>0</v>
      </c>
    </row>
    <row r="144" spans="1:6" ht="18" customHeight="1" x14ac:dyDescent="0.25">
      <c r="A144" s="99">
        <v>3</v>
      </c>
      <c r="B144" s="100" t="s">
        <v>114</v>
      </c>
      <c r="C144" s="97">
        <v>2915598</v>
      </c>
      <c r="D144" s="97">
        <v>1533466</v>
      </c>
      <c r="E144" s="97">
        <f t="shared" si="20"/>
        <v>-1382132</v>
      </c>
      <c r="F144" s="98">
        <f t="shared" si="21"/>
        <v>-0.47404751958260366</v>
      </c>
    </row>
    <row r="145" spans="1:6" ht="18" customHeight="1" x14ac:dyDescent="0.25">
      <c r="A145" s="99">
        <v>4</v>
      </c>
      <c r="B145" s="100" t="s">
        <v>115</v>
      </c>
      <c r="C145" s="97">
        <v>26960187</v>
      </c>
      <c r="D145" s="97">
        <v>27519964</v>
      </c>
      <c r="E145" s="97">
        <f t="shared" si="20"/>
        <v>559777</v>
      </c>
      <c r="F145" s="98">
        <f t="shared" si="21"/>
        <v>2.0763097822726527E-2</v>
      </c>
    </row>
    <row r="146" spans="1:6" ht="18" customHeight="1" x14ac:dyDescent="0.25">
      <c r="A146" s="99">
        <v>5</v>
      </c>
      <c r="B146" s="100" t="s">
        <v>116</v>
      </c>
      <c r="C146" s="97">
        <v>222146</v>
      </c>
      <c r="D146" s="97">
        <v>210138</v>
      </c>
      <c r="E146" s="97">
        <f t="shared" si="20"/>
        <v>-12008</v>
      </c>
      <c r="F146" s="98">
        <f t="shared" si="21"/>
        <v>-5.4054540707462663E-2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22418693</v>
      </c>
      <c r="D148" s="97">
        <v>14120930</v>
      </c>
      <c r="E148" s="97">
        <f t="shared" si="20"/>
        <v>-8297763</v>
      </c>
      <c r="F148" s="98">
        <f t="shared" si="21"/>
        <v>-0.37012697394981947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1512970</v>
      </c>
      <c r="D150" s="97">
        <v>1387637</v>
      </c>
      <c r="E150" s="97">
        <f t="shared" si="20"/>
        <v>-125333</v>
      </c>
      <c r="F150" s="98">
        <f t="shared" si="21"/>
        <v>-8.2839051666589558E-2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54042560</v>
      </c>
      <c r="D153" s="103">
        <f>SUM(D142:D152)</f>
        <v>44783910</v>
      </c>
      <c r="E153" s="103">
        <f t="shared" si="20"/>
        <v>-9258650</v>
      </c>
      <c r="F153" s="104">
        <f t="shared" si="21"/>
        <v>-0.17132145479414743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10114</v>
      </c>
      <c r="D155" s="97">
        <v>9184</v>
      </c>
      <c r="E155" s="97">
        <f t="shared" ref="E155:E166" si="22">D155-C155</f>
        <v>-930</v>
      </c>
      <c r="F155" s="98">
        <f t="shared" ref="F155:F166" si="23">IF(C155=0,0,E155/C155)</f>
        <v>-9.1951750049436426E-2</v>
      </c>
    </row>
    <row r="156" spans="1:6" ht="18" customHeight="1" x14ac:dyDescent="0.25">
      <c r="A156" s="99">
        <v>2</v>
      </c>
      <c r="B156" s="100" t="s">
        <v>113</v>
      </c>
      <c r="C156" s="97">
        <v>0</v>
      </c>
      <c r="D156" s="97">
        <v>0</v>
      </c>
      <c r="E156" s="97">
        <f t="shared" si="22"/>
        <v>0</v>
      </c>
      <c r="F156" s="98">
        <f t="shared" si="23"/>
        <v>0</v>
      </c>
    </row>
    <row r="157" spans="1:6" ht="18" customHeight="1" x14ac:dyDescent="0.25">
      <c r="A157" s="99">
        <v>3</v>
      </c>
      <c r="B157" s="100" t="s">
        <v>114</v>
      </c>
      <c r="C157" s="97">
        <v>645887</v>
      </c>
      <c r="D157" s="97">
        <v>311666</v>
      </c>
      <c r="E157" s="97">
        <f t="shared" si="22"/>
        <v>-334221</v>
      </c>
      <c r="F157" s="98">
        <f t="shared" si="23"/>
        <v>-0.51746048457392702</v>
      </c>
    </row>
    <row r="158" spans="1:6" ht="18" customHeight="1" x14ac:dyDescent="0.25">
      <c r="A158" s="99">
        <v>4</v>
      </c>
      <c r="B158" s="100" t="s">
        <v>115</v>
      </c>
      <c r="C158" s="97">
        <v>5687693</v>
      </c>
      <c r="D158" s="97">
        <v>6048888</v>
      </c>
      <c r="E158" s="97">
        <f t="shared" si="22"/>
        <v>361195</v>
      </c>
      <c r="F158" s="98">
        <f t="shared" si="23"/>
        <v>6.3504658215554177E-2</v>
      </c>
    </row>
    <row r="159" spans="1:6" ht="18" customHeight="1" x14ac:dyDescent="0.25">
      <c r="A159" s="99">
        <v>5</v>
      </c>
      <c r="B159" s="100" t="s">
        <v>116</v>
      </c>
      <c r="C159" s="97">
        <v>146617</v>
      </c>
      <c r="D159" s="97">
        <v>138691</v>
      </c>
      <c r="E159" s="97">
        <f t="shared" si="22"/>
        <v>-7926</v>
      </c>
      <c r="F159" s="98">
        <f t="shared" si="23"/>
        <v>-5.4059215507069443E-2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14478209</v>
      </c>
      <c r="D161" s="97">
        <v>8954157</v>
      </c>
      <c r="E161" s="97">
        <f t="shared" si="22"/>
        <v>-5524052</v>
      </c>
      <c r="F161" s="98">
        <f t="shared" si="23"/>
        <v>-0.38154249603662993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453891</v>
      </c>
      <c r="D163" s="97">
        <v>411386</v>
      </c>
      <c r="E163" s="97">
        <f t="shared" si="22"/>
        <v>-42505</v>
      </c>
      <c r="F163" s="98">
        <f t="shared" si="23"/>
        <v>-9.364583126785947E-2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21422411</v>
      </c>
      <c r="D166" s="103">
        <f>SUM(D155:D165)</f>
        <v>15873972</v>
      </c>
      <c r="E166" s="103">
        <f t="shared" si="22"/>
        <v>-5548439</v>
      </c>
      <c r="F166" s="104">
        <f t="shared" si="23"/>
        <v>-0.25900161284367107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</v>
      </c>
      <c r="D168" s="117">
        <v>13</v>
      </c>
      <c r="E168" s="117">
        <f t="shared" ref="E168:E179" si="24">D168-C168</f>
        <v>5</v>
      </c>
      <c r="F168" s="98">
        <f t="shared" ref="F168:F179" si="25">IF(C168=0,0,E168/C168)</f>
        <v>0.625</v>
      </c>
    </row>
    <row r="169" spans="1:6" ht="18" customHeight="1" x14ac:dyDescent="0.25">
      <c r="A169" s="99">
        <v>2</v>
      </c>
      <c r="B169" s="100" t="s">
        <v>113</v>
      </c>
      <c r="C169" s="117">
        <v>0</v>
      </c>
      <c r="D169" s="117">
        <v>0</v>
      </c>
      <c r="E169" s="117">
        <f t="shared" si="24"/>
        <v>0</v>
      </c>
      <c r="F169" s="98">
        <f t="shared" si="25"/>
        <v>0</v>
      </c>
    </row>
    <row r="170" spans="1:6" ht="18" customHeight="1" x14ac:dyDescent="0.25">
      <c r="A170" s="99">
        <v>3</v>
      </c>
      <c r="B170" s="100" t="s">
        <v>114</v>
      </c>
      <c r="C170" s="117">
        <v>2673</v>
      </c>
      <c r="D170" s="117">
        <v>1716</v>
      </c>
      <c r="E170" s="117">
        <f t="shared" si="24"/>
        <v>-957</v>
      </c>
      <c r="F170" s="98">
        <f t="shared" si="25"/>
        <v>-0.35802469135802467</v>
      </c>
    </row>
    <row r="171" spans="1:6" ht="18" customHeight="1" x14ac:dyDescent="0.25">
      <c r="A171" s="99">
        <v>4</v>
      </c>
      <c r="B171" s="100" t="s">
        <v>115</v>
      </c>
      <c r="C171" s="117">
        <v>26786</v>
      </c>
      <c r="D171" s="117">
        <v>30798</v>
      </c>
      <c r="E171" s="117">
        <f t="shared" si="24"/>
        <v>4012</v>
      </c>
      <c r="F171" s="98">
        <f t="shared" si="25"/>
        <v>0.14977973568281938</v>
      </c>
    </row>
    <row r="172" spans="1:6" ht="18" customHeight="1" x14ac:dyDescent="0.25">
      <c r="A172" s="99">
        <v>5</v>
      </c>
      <c r="B172" s="100" t="s">
        <v>116</v>
      </c>
      <c r="C172" s="117">
        <v>197</v>
      </c>
      <c r="D172" s="117">
        <v>235</v>
      </c>
      <c r="E172" s="117">
        <f t="shared" si="24"/>
        <v>38</v>
      </c>
      <c r="F172" s="98">
        <f t="shared" si="25"/>
        <v>0.19289340101522842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16107</v>
      </c>
      <c r="D174" s="117">
        <v>15803</v>
      </c>
      <c r="E174" s="117">
        <f t="shared" si="24"/>
        <v>-304</v>
      </c>
      <c r="F174" s="98">
        <f t="shared" si="25"/>
        <v>-1.8873781585645993E-2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1491</v>
      </c>
      <c r="D176" s="117">
        <v>1553</v>
      </c>
      <c r="E176" s="117">
        <f t="shared" si="24"/>
        <v>62</v>
      </c>
      <c r="F176" s="98">
        <f t="shared" si="25"/>
        <v>4.1582830315224681E-2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47262</v>
      </c>
      <c r="D179" s="118">
        <f>SUM(D168:D178)</f>
        <v>50118</v>
      </c>
      <c r="E179" s="118">
        <f t="shared" si="24"/>
        <v>2856</v>
      </c>
      <c r="F179" s="104">
        <f t="shared" si="25"/>
        <v>6.0429097372095973E-2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FILING&amp;RCT CHILDREN`S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>
      <selection activeCell="B35" sqref="B35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31734175</v>
      </c>
      <c r="D15" s="146">
        <v>30506666</v>
      </c>
      <c r="E15" s="146">
        <f>+D15-C15</f>
        <v>-1227509</v>
      </c>
      <c r="F15" s="150">
        <f>IF(C15=0,0,E15/C15)</f>
        <v>-3.8680980362653196E-2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52090987</v>
      </c>
      <c r="D17" s="146">
        <v>57055366</v>
      </c>
      <c r="E17" s="146">
        <f>+D17-C17</f>
        <v>4964379</v>
      </c>
      <c r="F17" s="150">
        <f>IF(C17=0,0,E17/C17)</f>
        <v>9.5302072122380788E-2</v>
      </c>
    </row>
    <row r="18" spans="1:7" ht="15.75" customHeight="1" x14ac:dyDescent="0.25">
      <c r="A18" s="141"/>
      <c r="B18" s="151" t="s">
        <v>160</v>
      </c>
      <c r="C18" s="147">
        <f>SUM(C15:C17)</f>
        <v>83825162</v>
      </c>
      <c r="D18" s="147">
        <f>SUM(D15:D17)</f>
        <v>87562032</v>
      </c>
      <c r="E18" s="147">
        <f>+D18-C18</f>
        <v>3736870</v>
      </c>
      <c r="F18" s="148">
        <f>IF(C18=0,0,E18/C18)</f>
        <v>4.457933525973979E-2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6873731</v>
      </c>
      <c r="D21" s="146">
        <v>7993371</v>
      </c>
      <c r="E21" s="146">
        <f>+D21-C21</f>
        <v>1119640</v>
      </c>
      <c r="F21" s="150">
        <f>IF(C21=0,0,E21/C21)</f>
        <v>0.16288679321317637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11283085</v>
      </c>
      <c r="D23" s="146">
        <v>14949675</v>
      </c>
      <c r="E23" s="146">
        <f>+D23-C23</f>
        <v>3666590</v>
      </c>
      <c r="F23" s="150">
        <f>IF(C23=0,0,E23/C23)</f>
        <v>0.32496342977120174</v>
      </c>
    </row>
    <row r="24" spans="1:7" ht="15.75" customHeight="1" x14ac:dyDescent="0.25">
      <c r="A24" s="141"/>
      <c r="B24" s="151" t="s">
        <v>165</v>
      </c>
      <c r="C24" s="147">
        <f>SUM(C21:C23)</f>
        <v>18156816</v>
      </c>
      <c r="D24" s="147">
        <f>SUM(D21:D23)</f>
        <v>22943046</v>
      </c>
      <c r="E24" s="147">
        <f>+D24-C24</f>
        <v>4786230</v>
      </c>
      <c r="F24" s="148">
        <f>IF(C24=0,0,E24/C24)</f>
        <v>0.26360513869832686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7012619</v>
      </c>
      <c r="D28" s="146">
        <v>8406976</v>
      </c>
      <c r="E28" s="146">
        <f>+D28-C28</f>
        <v>1394357</v>
      </c>
      <c r="F28" s="150">
        <f>IF(C28=0,0,E28/C28)</f>
        <v>0.1988354137020705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7012619</v>
      </c>
      <c r="D30" s="147">
        <f>SUM(D27:D29)</f>
        <v>8406976</v>
      </c>
      <c r="E30" s="147">
        <f>+D30-C30</f>
        <v>1394357</v>
      </c>
      <c r="F30" s="148">
        <f>IF(C30=0,0,E30/C30)</f>
        <v>0.1988354137020705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8558185</v>
      </c>
      <c r="D33" s="146">
        <v>9457563</v>
      </c>
      <c r="E33" s="146">
        <f>+D33-C33</f>
        <v>899378</v>
      </c>
      <c r="F33" s="150">
        <f>IF(C33=0,0,E33/C33)</f>
        <v>0.10508980584084125</v>
      </c>
    </row>
    <row r="34" spans="1:7" ht="15" customHeight="1" x14ac:dyDescent="0.2">
      <c r="A34" s="141">
        <v>2</v>
      </c>
      <c r="B34" s="149" t="s">
        <v>174</v>
      </c>
      <c r="C34" s="146">
        <v>5086121</v>
      </c>
      <c r="D34" s="146">
        <v>5873449</v>
      </c>
      <c r="E34" s="146">
        <f>+D34-C34</f>
        <v>787328</v>
      </c>
      <c r="F34" s="150">
        <f>IF(C34=0,0,E34/C34)</f>
        <v>0.15479930579708975</v>
      </c>
    </row>
    <row r="35" spans="1:7" ht="15.75" customHeight="1" x14ac:dyDescent="0.25">
      <c r="A35" s="141"/>
      <c r="B35" s="151" t="s">
        <v>175</v>
      </c>
      <c r="C35" s="147">
        <f>SUM(C33:C34)</f>
        <v>13644306</v>
      </c>
      <c r="D35" s="147">
        <f>SUM(D33:D34)</f>
        <v>15331012</v>
      </c>
      <c r="E35" s="147">
        <f>+D35-C35</f>
        <v>1686706</v>
      </c>
      <c r="F35" s="148">
        <f>IF(C35=0,0,E35/C35)</f>
        <v>0.12361977223319383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3755454</v>
      </c>
      <c r="D38" s="146">
        <v>4067904</v>
      </c>
      <c r="E38" s="146">
        <f>+D38-C38</f>
        <v>312450</v>
      </c>
      <c r="F38" s="150">
        <f>IF(C38=0,0,E38/C38)</f>
        <v>8.3198995381117705E-2</v>
      </c>
    </row>
    <row r="39" spans="1:7" ht="15" customHeight="1" x14ac:dyDescent="0.2">
      <c r="A39" s="141">
        <v>2</v>
      </c>
      <c r="B39" s="149" t="s">
        <v>179</v>
      </c>
      <c r="C39" s="146">
        <v>5281750</v>
      </c>
      <c r="D39" s="146">
        <v>5238110</v>
      </c>
      <c r="E39" s="146">
        <f>+D39-C39</f>
        <v>-43640</v>
      </c>
      <c r="F39" s="150">
        <f>IF(C39=0,0,E39/C39)</f>
        <v>-8.2624130259857063E-3</v>
      </c>
    </row>
    <row r="40" spans="1:7" ht="15" customHeight="1" x14ac:dyDescent="0.2">
      <c r="A40" s="141">
        <v>3</v>
      </c>
      <c r="B40" s="149" t="s">
        <v>180</v>
      </c>
      <c r="C40" s="146">
        <v>385017</v>
      </c>
      <c r="D40" s="146">
        <v>499019</v>
      </c>
      <c r="E40" s="146">
        <f>+D40-C40</f>
        <v>114002</v>
      </c>
      <c r="F40" s="150">
        <f>IF(C40=0,0,E40/C40)</f>
        <v>0.29609601653952944</v>
      </c>
    </row>
    <row r="41" spans="1:7" ht="15.75" customHeight="1" x14ac:dyDescent="0.25">
      <c r="A41" s="141"/>
      <c r="B41" s="151" t="s">
        <v>181</v>
      </c>
      <c r="C41" s="147">
        <f>SUM(C38:C40)</f>
        <v>9422221</v>
      </c>
      <c r="D41" s="147">
        <f>SUM(D38:D40)</f>
        <v>9805033</v>
      </c>
      <c r="E41" s="147">
        <f>+D41-C41</f>
        <v>382812</v>
      </c>
      <c r="F41" s="148">
        <f>IF(C41=0,0,E41/C41)</f>
        <v>4.0628637345695884E-2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3808276</v>
      </c>
      <c r="D44" s="146">
        <v>3302352</v>
      </c>
      <c r="E44" s="146">
        <f>+D44-C44</f>
        <v>-505924</v>
      </c>
      <c r="F44" s="150">
        <f>IF(C44=0,0,E44/C44)</f>
        <v>-0.13284856454731747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1921628</v>
      </c>
      <c r="D47" s="146">
        <v>1388163</v>
      </c>
      <c r="E47" s="146">
        <f>+D47-C47</f>
        <v>-533465</v>
      </c>
      <c r="F47" s="150">
        <f>IF(C47=0,0,E47/C47)</f>
        <v>-0.27761096320411649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5204113</v>
      </c>
      <c r="D50" s="146">
        <v>4807075</v>
      </c>
      <c r="E50" s="146">
        <f>+D50-C50</f>
        <v>-397038</v>
      </c>
      <c r="F50" s="150">
        <f>IF(C50=0,0,E50/C50)</f>
        <v>-7.6293116617567686E-2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78045</v>
      </c>
      <c r="D53" s="146">
        <v>103365</v>
      </c>
      <c r="E53" s="146">
        <f t="shared" ref="E53:E59" si="0">+D53-C53</f>
        <v>25320</v>
      </c>
      <c r="F53" s="150">
        <f t="shared" ref="F53:F59" si="1">IF(C53=0,0,E53/C53)</f>
        <v>0.32442821449163944</v>
      </c>
    </row>
    <row r="54" spans="1:7" ht="15" customHeight="1" x14ac:dyDescent="0.2">
      <c r="A54" s="141">
        <v>2</v>
      </c>
      <c r="B54" s="149" t="s">
        <v>193</v>
      </c>
      <c r="C54" s="146">
        <v>750474</v>
      </c>
      <c r="D54" s="146">
        <v>578750</v>
      </c>
      <c r="E54" s="146">
        <f t="shared" si="0"/>
        <v>-171724</v>
      </c>
      <c r="F54" s="150">
        <f t="shared" si="1"/>
        <v>-0.22882071863915338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1453775</v>
      </c>
      <c r="D56" s="146">
        <v>1559140</v>
      </c>
      <c r="E56" s="146">
        <f t="shared" si="0"/>
        <v>105365</v>
      </c>
      <c r="F56" s="150">
        <f t="shared" si="1"/>
        <v>7.2476827569603275E-2</v>
      </c>
    </row>
    <row r="57" spans="1:7" ht="15" customHeight="1" x14ac:dyDescent="0.2">
      <c r="A57" s="141">
        <v>5</v>
      </c>
      <c r="B57" s="149" t="s">
        <v>196</v>
      </c>
      <c r="C57" s="146">
        <v>259857</v>
      </c>
      <c r="D57" s="146">
        <v>215145</v>
      </c>
      <c r="E57" s="146">
        <f t="shared" si="0"/>
        <v>-44712</v>
      </c>
      <c r="F57" s="150">
        <f t="shared" si="1"/>
        <v>-0.17206386589547329</v>
      </c>
    </row>
    <row r="58" spans="1:7" ht="15" customHeight="1" x14ac:dyDescent="0.2">
      <c r="A58" s="141">
        <v>6</v>
      </c>
      <c r="B58" s="149" t="s">
        <v>197</v>
      </c>
      <c r="C58" s="146">
        <v>32374</v>
      </c>
      <c r="D58" s="146">
        <v>40347</v>
      </c>
      <c r="E58" s="146">
        <f t="shared" si="0"/>
        <v>7973</v>
      </c>
      <c r="F58" s="150">
        <f t="shared" si="1"/>
        <v>0.24627787730895162</v>
      </c>
    </row>
    <row r="59" spans="1:7" ht="15.75" customHeight="1" x14ac:dyDescent="0.25">
      <c r="A59" s="141"/>
      <c r="B59" s="151" t="s">
        <v>198</v>
      </c>
      <c r="C59" s="147">
        <f>SUM(C53:C58)</f>
        <v>2574525</v>
      </c>
      <c r="D59" s="147">
        <f>SUM(D53:D58)</f>
        <v>2496747</v>
      </c>
      <c r="E59" s="147">
        <f t="shared" si="0"/>
        <v>-77778</v>
      </c>
      <c r="F59" s="148">
        <f t="shared" si="1"/>
        <v>-3.0210621376758819E-2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328495</v>
      </c>
      <c r="D62" s="146">
        <v>249900</v>
      </c>
      <c r="E62" s="146">
        <f t="shared" ref="E62:E78" si="2">+D62-C62</f>
        <v>-78595</v>
      </c>
      <c r="F62" s="150">
        <f t="shared" ref="F62:F78" si="3">IF(C62=0,0,E62/C62)</f>
        <v>-0.23925782736419124</v>
      </c>
    </row>
    <row r="63" spans="1:7" ht="15" customHeight="1" x14ac:dyDescent="0.2">
      <c r="A63" s="141">
        <v>2</v>
      </c>
      <c r="B63" s="149" t="s">
        <v>202</v>
      </c>
      <c r="C63" s="146">
        <v>785328</v>
      </c>
      <c r="D63" s="146">
        <v>679384</v>
      </c>
      <c r="E63" s="146">
        <f t="shared" si="2"/>
        <v>-105944</v>
      </c>
      <c r="F63" s="150">
        <f t="shared" si="3"/>
        <v>-0.13490414196361267</v>
      </c>
    </row>
    <row r="64" spans="1:7" ht="15" customHeight="1" x14ac:dyDescent="0.2">
      <c r="A64" s="141">
        <v>3</v>
      </c>
      <c r="B64" s="149" t="s">
        <v>203</v>
      </c>
      <c r="C64" s="146">
        <v>1476245</v>
      </c>
      <c r="D64" s="146">
        <v>1366026</v>
      </c>
      <c r="E64" s="146">
        <f t="shared" si="2"/>
        <v>-110219</v>
      </c>
      <c r="F64" s="150">
        <f t="shared" si="3"/>
        <v>-7.4661726203983758E-2</v>
      </c>
    </row>
    <row r="65" spans="1:7" ht="15" customHeight="1" x14ac:dyDescent="0.2">
      <c r="A65" s="141">
        <v>4</v>
      </c>
      <c r="B65" s="149" t="s">
        <v>204</v>
      </c>
      <c r="C65" s="146">
        <v>705917</v>
      </c>
      <c r="D65" s="146">
        <v>704517</v>
      </c>
      <c r="E65" s="146">
        <f t="shared" si="2"/>
        <v>-1400</v>
      </c>
      <c r="F65" s="150">
        <f t="shared" si="3"/>
        <v>-1.9832359895001822E-3</v>
      </c>
    </row>
    <row r="66" spans="1:7" ht="15" customHeight="1" x14ac:dyDescent="0.2">
      <c r="A66" s="141">
        <v>5</v>
      </c>
      <c r="B66" s="149" t="s">
        <v>205</v>
      </c>
      <c r="C66" s="146">
        <v>500468</v>
      </c>
      <c r="D66" s="146">
        <v>575982</v>
      </c>
      <c r="E66" s="146">
        <f t="shared" si="2"/>
        <v>75514</v>
      </c>
      <c r="F66" s="150">
        <f t="shared" si="3"/>
        <v>0.15088676998329564</v>
      </c>
    </row>
    <row r="67" spans="1:7" ht="15" customHeight="1" x14ac:dyDescent="0.2">
      <c r="A67" s="141">
        <v>6</v>
      </c>
      <c r="B67" s="149" t="s">
        <v>206</v>
      </c>
      <c r="C67" s="146">
        <v>3582083</v>
      </c>
      <c r="D67" s="146">
        <v>4098333</v>
      </c>
      <c r="E67" s="146">
        <f t="shared" si="2"/>
        <v>516250</v>
      </c>
      <c r="F67" s="150">
        <f t="shared" si="3"/>
        <v>0.14412005528626778</v>
      </c>
    </row>
    <row r="68" spans="1:7" ht="15" customHeight="1" x14ac:dyDescent="0.2">
      <c r="A68" s="141">
        <v>7</v>
      </c>
      <c r="B68" s="149" t="s">
        <v>207</v>
      </c>
      <c r="C68" s="146">
        <v>1471056</v>
      </c>
      <c r="D68" s="146">
        <v>1753270</v>
      </c>
      <c r="E68" s="146">
        <f t="shared" si="2"/>
        <v>282214</v>
      </c>
      <c r="F68" s="150">
        <f t="shared" si="3"/>
        <v>0.19184449810204371</v>
      </c>
    </row>
    <row r="69" spans="1:7" ht="15" customHeight="1" x14ac:dyDescent="0.2">
      <c r="A69" s="141">
        <v>8</v>
      </c>
      <c r="B69" s="149" t="s">
        <v>208</v>
      </c>
      <c r="C69" s="146">
        <v>255669</v>
      </c>
      <c r="D69" s="146">
        <v>288494</v>
      </c>
      <c r="E69" s="146">
        <f t="shared" si="2"/>
        <v>32825</v>
      </c>
      <c r="F69" s="150">
        <f t="shared" si="3"/>
        <v>0.12838865877364875</v>
      </c>
    </row>
    <row r="70" spans="1:7" ht="15" customHeight="1" x14ac:dyDescent="0.2">
      <c r="A70" s="141">
        <v>9</v>
      </c>
      <c r="B70" s="149" t="s">
        <v>209</v>
      </c>
      <c r="C70" s="146">
        <v>145224</v>
      </c>
      <c r="D70" s="146">
        <v>109360</v>
      </c>
      <c r="E70" s="146">
        <f t="shared" si="2"/>
        <v>-35864</v>
      </c>
      <c r="F70" s="150">
        <f t="shared" si="3"/>
        <v>-0.24695642593510714</v>
      </c>
    </row>
    <row r="71" spans="1:7" ht="15" customHeight="1" x14ac:dyDescent="0.2">
      <c r="A71" s="141">
        <v>10</v>
      </c>
      <c r="B71" s="149" t="s">
        <v>210</v>
      </c>
      <c r="C71" s="146">
        <v>378292</v>
      </c>
      <c r="D71" s="146">
        <v>414398</v>
      </c>
      <c r="E71" s="146">
        <f t="shared" si="2"/>
        <v>36106</v>
      </c>
      <c r="F71" s="150">
        <f t="shared" si="3"/>
        <v>9.5444788681759068E-2</v>
      </c>
    </row>
    <row r="72" spans="1:7" ht="15" customHeight="1" x14ac:dyDescent="0.2">
      <c r="A72" s="141">
        <v>11</v>
      </c>
      <c r="B72" s="149" t="s">
        <v>211</v>
      </c>
      <c r="C72" s="146">
        <v>51044</v>
      </c>
      <c r="D72" s="146">
        <v>17466</v>
      </c>
      <c r="E72" s="146">
        <f t="shared" si="2"/>
        <v>-33578</v>
      </c>
      <c r="F72" s="150">
        <f t="shared" si="3"/>
        <v>-0.65782462189483581</v>
      </c>
    </row>
    <row r="73" spans="1:7" ht="15" customHeight="1" x14ac:dyDescent="0.2">
      <c r="A73" s="141">
        <v>12</v>
      </c>
      <c r="B73" s="149" t="s">
        <v>212</v>
      </c>
      <c r="C73" s="146">
        <v>2172566</v>
      </c>
      <c r="D73" s="146">
        <v>2267663</v>
      </c>
      <c r="E73" s="146">
        <f t="shared" si="2"/>
        <v>95097</v>
      </c>
      <c r="F73" s="150">
        <f t="shared" si="3"/>
        <v>4.377174272266067E-2</v>
      </c>
    </row>
    <row r="74" spans="1:7" ht="15" customHeight="1" x14ac:dyDescent="0.2">
      <c r="A74" s="141">
        <v>13</v>
      </c>
      <c r="B74" s="149" t="s">
        <v>213</v>
      </c>
      <c r="C74" s="146">
        <v>30251</v>
      </c>
      <c r="D74" s="146">
        <v>81795</v>
      </c>
      <c r="E74" s="146">
        <f t="shared" si="2"/>
        <v>51544</v>
      </c>
      <c r="F74" s="150">
        <f t="shared" si="3"/>
        <v>1.7038775577666854</v>
      </c>
    </row>
    <row r="75" spans="1:7" ht="15" customHeight="1" x14ac:dyDescent="0.2">
      <c r="A75" s="141">
        <v>14</v>
      </c>
      <c r="B75" s="149" t="s">
        <v>214</v>
      </c>
      <c r="C75" s="146">
        <v>125445</v>
      </c>
      <c r="D75" s="146">
        <v>94228</v>
      </c>
      <c r="E75" s="146">
        <f t="shared" si="2"/>
        <v>-31217</v>
      </c>
      <c r="F75" s="150">
        <f t="shared" si="3"/>
        <v>-0.24885009366654709</v>
      </c>
    </row>
    <row r="76" spans="1:7" ht="15" customHeight="1" x14ac:dyDescent="0.2">
      <c r="A76" s="141">
        <v>15</v>
      </c>
      <c r="B76" s="149" t="s">
        <v>215</v>
      </c>
      <c r="C76" s="146">
        <v>1045703</v>
      </c>
      <c r="D76" s="146">
        <v>1081458</v>
      </c>
      <c r="E76" s="146">
        <f t="shared" si="2"/>
        <v>35755</v>
      </c>
      <c r="F76" s="150">
        <f t="shared" si="3"/>
        <v>3.419230890606606E-2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13053786</v>
      </c>
      <c r="D78" s="147">
        <f>SUM(D62:D77)</f>
        <v>13782274</v>
      </c>
      <c r="E78" s="147">
        <f t="shared" si="2"/>
        <v>728488</v>
      </c>
      <c r="F78" s="148">
        <f t="shared" si="3"/>
        <v>5.5806644907462094E-2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26911878</v>
      </c>
      <c r="D81" s="146">
        <v>30290913</v>
      </c>
      <c r="E81" s="146">
        <f>+D81-C81</f>
        <v>3379035</v>
      </c>
      <c r="F81" s="150">
        <f>IF(C81=0,0,E81/C81)</f>
        <v>0.12555924190797832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185535330</v>
      </c>
      <c r="D83" s="147">
        <f>+D81+D78+D59+D50+D47+D44+D41+D35+D30+D24+D18</f>
        <v>200115623</v>
      </c>
      <c r="E83" s="147">
        <f>+D83-C83</f>
        <v>14580293</v>
      </c>
      <c r="F83" s="148">
        <f>IF(C83=0,0,E83/C83)</f>
        <v>7.85849951057839E-2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20202298</v>
      </c>
      <c r="D91" s="146">
        <v>19598358</v>
      </c>
      <c r="E91" s="146">
        <f t="shared" ref="E91:E109" si="4">D91-C91</f>
        <v>-603940</v>
      </c>
      <c r="F91" s="150">
        <f t="shared" ref="F91:F109" si="5">IF(C91=0,0,E91/C91)</f>
        <v>-2.9894618919095242E-2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1544742</v>
      </c>
      <c r="D92" s="146">
        <v>1746329</v>
      </c>
      <c r="E92" s="146">
        <f t="shared" si="4"/>
        <v>201587</v>
      </c>
      <c r="F92" s="150">
        <f t="shared" si="5"/>
        <v>0.13049881468879593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1072461</v>
      </c>
      <c r="D93" s="146">
        <v>1036478</v>
      </c>
      <c r="E93" s="146">
        <f t="shared" si="4"/>
        <v>-35983</v>
      </c>
      <c r="F93" s="150">
        <f t="shared" si="5"/>
        <v>-3.3551802816139703E-2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2221529</v>
      </c>
      <c r="D94" s="146">
        <v>2575902</v>
      </c>
      <c r="E94" s="146">
        <f t="shared" si="4"/>
        <v>354373</v>
      </c>
      <c r="F94" s="150">
        <f t="shared" si="5"/>
        <v>0.15951761151891333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2877341</v>
      </c>
      <c r="D95" s="146">
        <v>4473926</v>
      </c>
      <c r="E95" s="146">
        <f t="shared" si="4"/>
        <v>1596585</v>
      </c>
      <c r="F95" s="150">
        <f t="shared" si="5"/>
        <v>0.55488209426689428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808558</v>
      </c>
      <c r="D96" s="146">
        <v>787651</v>
      </c>
      <c r="E96" s="146">
        <f t="shared" si="4"/>
        <v>-20907</v>
      </c>
      <c r="F96" s="150">
        <f t="shared" si="5"/>
        <v>-2.5857143210505616E-2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2888601</v>
      </c>
      <c r="D97" s="146">
        <v>2977375</v>
      </c>
      <c r="E97" s="146">
        <f t="shared" si="4"/>
        <v>88774</v>
      </c>
      <c r="F97" s="150">
        <f t="shared" si="5"/>
        <v>3.0732524152695371E-2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1605416</v>
      </c>
      <c r="D98" s="146">
        <v>1507093</v>
      </c>
      <c r="E98" s="146">
        <f t="shared" si="4"/>
        <v>-98323</v>
      </c>
      <c r="F98" s="150">
        <f t="shared" si="5"/>
        <v>-6.1244562157098226E-2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481701</v>
      </c>
      <c r="D99" s="146">
        <v>527055</v>
      </c>
      <c r="E99" s="146">
        <f t="shared" si="4"/>
        <v>45354</v>
      </c>
      <c r="F99" s="150">
        <f t="shared" si="5"/>
        <v>9.4153842321273981E-2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3171812</v>
      </c>
      <c r="D100" s="146">
        <v>3415257</v>
      </c>
      <c r="E100" s="146">
        <f t="shared" si="4"/>
        <v>243445</v>
      </c>
      <c r="F100" s="150">
        <f t="shared" si="5"/>
        <v>7.6752657471502089E-2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2894696</v>
      </c>
      <c r="D101" s="146">
        <v>3190707</v>
      </c>
      <c r="E101" s="146">
        <f t="shared" si="4"/>
        <v>296011</v>
      </c>
      <c r="F101" s="150">
        <f t="shared" si="5"/>
        <v>0.10225978824719417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9380</v>
      </c>
      <c r="D102" s="146">
        <v>24577</v>
      </c>
      <c r="E102" s="146">
        <f t="shared" si="4"/>
        <v>15197</v>
      </c>
      <c r="F102" s="150">
        <f t="shared" si="5"/>
        <v>1.6201492537313433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5236573</v>
      </c>
      <c r="D103" s="146">
        <v>5323956</v>
      </c>
      <c r="E103" s="146">
        <f t="shared" si="4"/>
        <v>87383</v>
      </c>
      <c r="F103" s="150">
        <f t="shared" si="5"/>
        <v>1.6687058501810247E-2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2392216</v>
      </c>
      <c r="D104" s="146">
        <v>2287495</v>
      </c>
      <c r="E104" s="146">
        <f t="shared" si="4"/>
        <v>-104721</v>
      </c>
      <c r="F104" s="150">
        <f t="shared" si="5"/>
        <v>-4.3775729281971196E-2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324078</v>
      </c>
      <c r="D105" s="146">
        <v>413184</v>
      </c>
      <c r="E105" s="146">
        <f t="shared" si="4"/>
        <v>89106</v>
      </c>
      <c r="F105" s="150">
        <f t="shared" si="5"/>
        <v>0.27495232629181865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540854</v>
      </c>
      <c r="D106" s="146">
        <v>680737</v>
      </c>
      <c r="E106" s="146">
        <f t="shared" si="4"/>
        <v>139883</v>
      </c>
      <c r="F106" s="150">
        <f t="shared" si="5"/>
        <v>0.25863356839368851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7116844</v>
      </c>
      <c r="D107" s="146">
        <v>8278973</v>
      </c>
      <c r="E107" s="146">
        <f t="shared" si="4"/>
        <v>1162129</v>
      </c>
      <c r="F107" s="150">
        <f t="shared" si="5"/>
        <v>0.16329274605429037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1835232</v>
      </c>
      <c r="D108" s="146">
        <v>1534628</v>
      </c>
      <c r="E108" s="146">
        <f t="shared" si="4"/>
        <v>-300604</v>
      </c>
      <c r="F108" s="150">
        <f t="shared" si="5"/>
        <v>-0.16379618489651446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57224332</v>
      </c>
      <c r="D109" s="147">
        <f>SUM(D91:D108)</f>
        <v>60379681</v>
      </c>
      <c r="E109" s="147">
        <f t="shared" si="4"/>
        <v>3155349</v>
      </c>
      <c r="F109" s="148">
        <f t="shared" si="5"/>
        <v>5.5139988353206118E-2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3132342</v>
      </c>
      <c r="D112" s="146">
        <v>4049318</v>
      </c>
      <c r="E112" s="146">
        <f t="shared" ref="E112:E118" si="6">D112-C112</f>
        <v>916976</v>
      </c>
      <c r="F112" s="150">
        <f t="shared" ref="F112:F118" si="7">IF(C112=0,0,E112/C112)</f>
        <v>0.29274453428137798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7017813</v>
      </c>
      <c r="D113" s="146">
        <v>8402504</v>
      </c>
      <c r="E113" s="146">
        <f t="shared" si="6"/>
        <v>1384691</v>
      </c>
      <c r="F113" s="150">
        <f t="shared" si="7"/>
        <v>0.19731090013370262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1134509</v>
      </c>
      <c r="D114" s="146">
        <v>1239371</v>
      </c>
      <c r="E114" s="146">
        <f t="shared" si="6"/>
        <v>104862</v>
      </c>
      <c r="F114" s="150">
        <f t="shared" si="7"/>
        <v>9.2429412195055308E-2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1340300</v>
      </c>
      <c r="D115" s="146">
        <v>1651686</v>
      </c>
      <c r="E115" s="146">
        <f t="shared" si="6"/>
        <v>311386</v>
      </c>
      <c r="F115" s="150">
        <f t="shared" si="7"/>
        <v>0.23232559874654929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2098527</v>
      </c>
      <c r="D116" s="146">
        <v>2249508</v>
      </c>
      <c r="E116" s="146">
        <f t="shared" si="6"/>
        <v>150981</v>
      </c>
      <c r="F116" s="150">
        <f t="shared" si="7"/>
        <v>7.1946179391544643E-2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14723491</v>
      </c>
      <c r="D118" s="147">
        <f>SUM(D112:D117)</f>
        <v>17592387</v>
      </c>
      <c r="E118" s="147">
        <f t="shared" si="6"/>
        <v>2868896</v>
      </c>
      <c r="F118" s="148">
        <f t="shared" si="7"/>
        <v>0.19485161501440112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8850183</v>
      </c>
      <c r="D121" s="146">
        <v>9941001</v>
      </c>
      <c r="E121" s="146">
        <f t="shared" ref="E121:E155" si="8">D121-C121</f>
        <v>1090818</v>
      </c>
      <c r="F121" s="150">
        <f t="shared" ref="F121:F155" si="9">IF(C121=0,0,E121/C121)</f>
        <v>0.12325372255014388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0</v>
      </c>
      <c r="D122" s="146">
        <v>0</v>
      </c>
      <c r="E122" s="146">
        <f t="shared" si="8"/>
        <v>0</v>
      </c>
      <c r="F122" s="150">
        <f t="shared" si="9"/>
        <v>0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1012037</v>
      </c>
      <c r="D123" s="146">
        <v>983057</v>
      </c>
      <c r="E123" s="146">
        <f t="shared" si="8"/>
        <v>-28980</v>
      </c>
      <c r="F123" s="150">
        <f t="shared" si="9"/>
        <v>-2.8635316692966758E-2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3547553</v>
      </c>
      <c r="D125" s="146">
        <v>4636218</v>
      </c>
      <c r="E125" s="146">
        <f t="shared" si="8"/>
        <v>1088665</v>
      </c>
      <c r="F125" s="150">
        <f t="shared" si="9"/>
        <v>0.30687772670344882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824125</v>
      </c>
      <c r="D126" s="146">
        <v>765278</v>
      </c>
      <c r="E126" s="146">
        <f t="shared" si="8"/>
        <v>-58847</v>
      </c>
      <c r="F126" s="150">
        <f t="shared" si="9"/>
        <v>-7.1405430001516765E-2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0</v>
      </c>
      <c r="D128" s="146">
        <v>0</v>
      </c>
      <c r="E128" s="146">
        <f t="shared" si="8"/>
        <v>0</v>
      </c>
      <c r="F128" s="150">
        <f t="shared" si="9"/>
        <v>0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576712</v>
      </c>
      <c r="D129" s="146">
        <v>663722</v>
      </c>
      <c r="E129" s="146">
        <f t="shared" si="8"/>
        <v>87010</v>
      </c>
      <c r="F129" s="150">
        <f t="shared" si="9"/>
        <v>0.15087253256391406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4390463</v>
      </c>
      <c r="D130" s="146">
        <v>4379072</v>
      </c>
      <c r="E130" s="146">
        <f t="shared" si="8"/>
        <v>-11391</v>
      </c>
      <c r="F130" s="150">
        <f t="shared" si="9"/>
        <v>-2.5944871873422007E-3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219834</v>
      </c>
      <c r="D132" s="146">
        <v>278886</v>
      </c>
      <c r="E132" s="146">
        <f t="shared" si="8"/>
        <v>59052</v>
      </c>
      <c r="F132" s="150">
        <f t="shared" si="9"/>
        <v>0.26862086847348454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417133</v>
      </c>
      <c r="D134" s="146">
        <v>422756</v>
      </c>
      <c r="E134" s="146">
        <f t="shared" si="8"/>
        <v>5623</v>
      </c>
      <c r="F134" s="150">
        <f t="shared" si="9"/>
        <v>1.3480113057466084E-2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1259419</v>
      </c>
      <c r="D135" s="146">
        <v>1572951</v>
      </c>
      <c r="E135" s="146">
        <f t="shared" si="8"/>
        <v>313532</v>
      </c>
      <c r="F135" s="150">
        <f t="shared" si="9"/>
        <v>0.24894971411420663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837591</v>
      </c>
      <c r="D136" s="146">
        <v>1121129</v>
      </c>
      <c r="E136" s="146">
        <f t="shared" si="8"/>
        <v>283538</v>
      </c>
      <c r="F136" s="150">
        <f t="shared" si="9"/>
        <v>0.33851605377803723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1219502</v>
      </c>
      <c r="D137" s="146">
        <v>1390878</v>
      </c>
      <c r="E137" s="146">
        <f t="shared" si="8"/>
        <v>171376</v>
      </c>
      <c r="F137" s="150">
        <f t="shared" si="9"/>
        <v>0.14052949482657676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3241685</v>
      </c>
      <c r="D138" s="146">
        <v>3490936</v>
      </c>
      <c r="E138" s="146">
        <f t="shared" si="8"/>
        <v>249251</v>
      </c>
      <c r="F138" s="150">
        <f t="shared" si="9"/>
        <v>7.6889333787829472E-2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379650</v>
      </c>
      <c r="D139" s="146">
        <v>407368</v>
      </c>
      <c r="E139" s="146">
        <f t="shared" si="8"/>
        <v>27718</v>
      </c>
      <c r="F139" s="150">
        <f t="shared" si="9"/>
        <v>7.3009350717766361E-2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1003655</v>
      </c>
      <c r="D142" s="146">
        <v>1124580</v>
      </c>
      <c r="E142" s="146">
        <f t="shared" si="8"/>
        <v>120925</v>
      </c>
      <c r="F142" s="150">
        <f t="shared" si="9"/>
        <v>0.12048462868216668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8046430</v>
      </c>
      <c r="D144" s="146">
        <v>8844923</v>
      </c>
      <c r="E144" s="146">
        <f t="shared" si="8"/>
        <v>798493</v>
      </c>
      <c r="F144" s="150">
        <f t="shared" si="9"/>
        <v>9.9235685888027364E-2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774920</v>
      </c>
      <c r="D145" s="146">
        <v>886544</v>
      </c>
      <c r="E145" s="146">
        <f t="shared" si="8"/>
        <v>111624</v>
      </c>
      <c r="F145" s="150">
        <f t="shared" si="9"/>
        <v>0.14404583698962473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199368</v>
      </c>
      <c r="D148" s="146">
        <v>261395</v>
      </c>
      <c r="E148" s="146">
        <f t="shared" si="8"/>
        <v>62027</v>
      </c>
      <c r="F148" s="150">
        <f t="shared" si="9"/>
        <v>0.31111813330123189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152738</v>
      </c>
      <c r="D149" s="146">
        <v>196828</v>
      </c>
      <c r="E149" s="146">
        <f t="shared" si="8"/>
        <v>44090</v>
      </c>
      <c r="F149" s="150">
        <f t="shared" si="9"/>
        <v>0.28866424858254003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293639</v>
      </c>
      <c r="D151" s="146">
        <v>219918</v>
      </c>
      <c r="E151" s="146">
        <f t="shared" si="8"/>
        <v>-73721</v>
      </c>
      <c r="F151" s="150">
        <f t="shared" si="9"/>
        <v>-0.25105997500332039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2406055</v>
      </c>
      <c r="D152" s="146">
        <v>2829173</v>
      </c>
      <c r="E152" s="146">
        <f t="shared" si="8"/>
        <v>423118</v>
      </c>
      <c r="F152" s="150">
        <f t="shared" si="9"/>
        <v>0.17585549790008956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2698279</v>
      </c>
      <c r="D154" s="146">
        <v>2961401</v>
      </c>
      <c r="E154" s="146">
        <f t="shared" si="8"/>
        <v>263122</v>
      </c>
      <c r="F154" s="150">
        <f t="shared" si="9"/>
        <v>9.7514749216074392E-2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42350971</v>
      </c>
      <c r="D155" s="147">
        <f>SUM(D121:D154)</f>
        <v>47378014</v>
      </c>
      <c r="E155" s="147">
        <f t="shared" si="8"/>
        <v>5027043</v>
      </c>
      <c r="F155" s="148">
        <f t="shared" si="9"/>
        <v>0.11869959250757202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0</v>
      </c>
      <c r="D158" s="146">
        <v>0</v>
      </c>
      <c r="E158" s="146">
        <f t="shared" ref="E158:E171" si="10">D158-C158</f>
        <v>0</v>
      </c>
      <c r="F158" s="150">
        <f t="shared" ref="F158:F171" si="11">IF(C158=0,0,E158/C158)</f>
        <v>0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6785163</v>
      </c>
      <c r="D159" s="146">
        <v>7511309</v>
      </c>
      <c r="E159" s="146">
        <f t="shared" si="10"/>
        <v>726146</v>
      </c>
      <c r="F159" s="150">
        <f t="shared" si="11"/>
        <v>0.10701968397811519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16722195</v>
      </c>
      <c r="D162" s="146">
        <v>19367973</v>
      </c>
      <c r="E162" s="146">
        <f t="shared" si="10"/>
        <v>2645778</v>
      </c>
      <c r="F162" s="150">
        <f t="shared" si="11"/>
        <v>0.15821953995871954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2055093</v>
      </c>
      <c r="D164" s="146">
        <v>13751</v>
      </c>
      <c r="E164" s="146">
        <f t="shared" si="10"/>
        <v>-2041342</v>
      </c>
      <c r="F164" s="150">
        <f t="shared" si="11"/>
        <v>-0.99330881862767284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9074466</v>
      </c>
      <c r="D165" s="146">
        <v>10213620</v>
      </c>
      <c r="E165" s="146">
        <f t="shared" si="10"/>
        <v>1139154</v>
      </c>
      <c r="F165" s="150">
        <f t="shared" si="11"/>
        <v>0.12553399836420126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3558152</v>
      </c>
      <c r="D167" s="146">
        <v>3820681</v>
      </c>
      <c r="E167" s="146">
        <f t="shared" si="10"/>
        <v>262529</v>
      </c>
      <c r="F167" s="150">
        <f t="shared" si="11"/>
        <v>7.3782401651194221E-2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176343</v>
      </c>
      <c r="D169" s="146">
        <v>129837</v>
      </c>
      <c r="E169" s="146">
        <f t="shared" si="10"/>
        <v>-46506</v>
      </c>
      <c r="F169" s="150">
        <f t="shared" si="11"/>
        <v>-0.26372467293853458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38371412</v>
      </c>
      <c r="D171" s="147">
        <f>SUM(D158:D170)</f>
        <v>41057171</v>
      </c>
      <c r="E171" s="147">
        <f t="shared" si="10"/>
        <v>2685759</v>
      </c>
      <c r="F171" s="148">
        <f t="shared" si="11"/>
        <v>6.9993749513309542E-2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32865124</v>
      </c>
      <c r="D174" s="146">
        <v>33708370</v>
      </c>
      <c r="E174" s="146">
        <f>D174-C174</f>
        <v>843246</v>
      </c>
      <c r="F174" s="150">
        <f>IF(C174=0,0,E174/C174)</f>
        <v>2.5657776310230869E-2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185535330</v>
      </c>
      <c r="D176" s="147">
        <f>+D174+D171+D155+D118+D109</f>
        <v>200115623</v>
      </c>
      <c r="E176" s="147">
        <f>D176-C176</f>
        <v>14580293</v>
      </c>
      <c r="F176" s="148">
        <f>IF(C176=0,0,E176/C176)</f>
        <v>7.85849951057839E-2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>
      <selection activeCell="B35" sqref="B35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173156229</v>
      </c>
      <c r="D11" s="164">
        <v>178476453</v>
      </c>
      <c r="E11" s="51">
        <v>185228029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14216438</v>
      </c>
      <c r="D12" s="49">
        <v>14938808</v>
      </c>
      <c r="E12" s="49">
        <v>13628825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187372667</v>
      </c>
      <c r="D13" s="51">
        <f>+D11+D12</f>
        <v>193415261</v>
      </c>
      <c r="E13" s="51">
        <f>+E11+E12</f>
        <v>198856854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184175127</v>
      </c>
      <c r="D14" s="49">
        <v>185535330</v>
      </c>
      <c r="E14" s="49">
        <v>200115623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3197540</v>
      </c>
      <c r="D15" s="51">
        <f>+D13-D14</f>
        <v>7879931</v>
      </c>
      <c r="E15" s="51">
        <f>+E13-E14</f>
        <v>-1258769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5953954</v>
      </c>
      <c r="D16" s="49">
        <v>2919830</v>
      </c>
      <c r="E16" s="49">
        <v>16535869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9151494</v>
      </c>
      <c r="D17" s="51">
        <f>D15+D16</f>
        <v>10799761</v>
      </c>
      <c r="E17" s="51">
        <f>E15+E16</f>
        <v>15277100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1.6539574236907603E-2</v>
      </c>
      <c r="D20" s="169">
        <f>IF(+D27=0,0,+D24/+D27)</f>
        <v>4.0135112678354581E-2</v>
      </c>
      <c r="E20" s="169">
        <f>IF(+E27=0,0,+E24/+E27)</f>
        <v>-5.8440646576532673E-3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3.0797383046383457E-2</v>
      </c>
      <c r="D21" s="169">
        <f>IF(D27=0,0,+D26/D27)</f>
        <v>1.4871666522414987E-2</v>
      </c>
      <c r="E21" s="169">
        <f>IF(E27=0,0,+E26/E27)</f>
        <v>7.6770787655625672E-2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4.7336957283291056E-2</v>
      </c>
      <c r="D22" s="169">
        <f>IF(D27=0,0,+D28/D27)</f>
        <v>5.5006779200769566E-2</v>
      </c>
      <c r="E22" s="169">
        <f>IF(E27=0,0,+E28/E27)</f>
        <v>7.0926722997972411E-2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3197540</v>
      </c>
      <c r="D24" s="51">
        <f>+D15</f>
        <v>7879931</v>
      </c>
      <c r="E24" s="51">
        <f>+E15</f>
        <v>-1258769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187372667</v>
      </c>
      <c r="D25" s="51">
        <f>+D13</f>
        <v>193415261</v>
      </c>
      <c r="E25" s="51">
        <f>+E13</f>
        <v>198856854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5953954</v>
      </c>
      <c r="D26" s="51">
        <f>+D16</f>
        <v>2919830</v>
      </c>
      <c r="E26" s="51">
        <f>+E16</f>
        <v>16535869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193326621</v>
      </c>
      <c r="D27" s="51">
        <f>+D25+D26</f>
        <v>196335091</v>
      </c>
      <c r="E27" s="51">
        <f>+E25+E26</f>
        <v>215392723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9151494</v>
      </c>
      <c r="D28" s="51">
        <f>+D17</f>
        <v>10799761</v>
      </c>
      <c r="E28" s="51">
        <f>+E17</f>
        <v>15277100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102605588</v>
      </c>
      <c r="D31" s="51">
        <v>69608421</v>
      </c>
      <c r="E31" s="51">
        <v>80916370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187615037</v>
      </c>
      <c r="D32" s="51">
        <v>151977252</v>
      </c>
      <c r="E32" s="51">
        <v>184221988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-24774027</v>
      </c>
      <c r="D33" s="51">
        <f>+D32-C32</f>
        <v>-35637785</v>
      </c>
      <c r="E33" s="51">
        <f>+E32-D32</f>
        <v>32244736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0.88329999999999997</v>
      </c>
      <c r="D34" s="171">
        <f>IF(C32=0,0,+D33/C32)</f>
        <v>-0.18995164550696436</v>
      </c>
      <c r="E34" s="171">
        <f>IF(D32=0,0,+E33/D32)</f>
        <v>0.2121681736948369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0.50359128812933107</v>
      </c>
      <c r="D38" s="172">
        <f>IF((D40+D41)=0,0,+D39/(D40+D41))</f>
        <v>0.49359354705620556</v>
      </c>
      <c r="E38" s="172">
        <f>IF((E40+E41)=0,0,+E39/(E40+E41))</f>
        <v>0.50573699421501506</v>
      </c>
      <c r="F38" s="5"/>
    </row>
    <row r="39" spans="1:6" ht="24" customHeight="1" x14ac:dyDescent="0.2">
      <c r="A39" s="21">
        <v>2</v>
      </c>
      <c r="B39" s="48" t="s">
        <v>324</v>
      </c>
      <c r="C39" s="51">
        <v>177612255</v>
      </c>
      <c r="D39" s="51">
        <v>185535330</v>
      </c>
      <c r="E39" s="23">
        <v>200115623</v>
      </c>
      <c r="F39" s="5"/>
    </row>
    <row r="40" spans="1:6" ht="24" customHeight="1" x14ac:dyDescent="0.2">
      <c r="A40" s="21">
        <v>3</v>
      </c>
      <c r="B40" s="48" t="s">
        <v>325</v>
      </c>
      <c r="C40" s="51">
        <v>318489734</v>
      </c>
      <c r="D40" s="51">
        <v>344928055</v>
      </c>
      <c r="E40" s="23">
        <v>371042266</v>
      </c>
      <c r="F40" s="5"/>
    </row>
    <row r="41" spans="1:6" ht="24" customHeight="1" x14ac:dyDescent="0.2">
      <c r="A41" s="21">
        <v>4</v>
      </c>
      <c r="B41" s="48" t="s">
        <v>326</v>
      </c>
      <c r="C41" s="51">
        <v>34201544</v>
      </c>
      <c r="D41" s="51">
        <v>30958808</v>
      </c>
      <c r="E41" s="23">
        <v>24648825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1.0966681571160843</v>
      </c>
      <c r="D43" s="173">
        <f>IF(D38=0,0,IF((D46-D47)=0,0,((+D44-D45)/(D46-D47)/D38)))</f>
        <v>1.1585830411141942</v>
      </c>
      <c r="E43" s="173">
        <f>IF(E38=0,0,IF((E46-E47)=0,0,((+E44-E45)/(E46-E47)/E38)))</f>
        <v>1.2074259868012869</v>
      </c>
      <c r="F43" s="5"/>
    </row>
    <row r="44" spans="1:6" ht="24" customHeight="1" x14ac:dyDescent="0.2">
      <c r="A44" s="21">
        <v>6</v>
      </c>
      <c r="B44" s="48" t="s">
        <v>328</v>
      </c>
      <c r="C44" s="51">
        <v>93521598</v>
      </c>
      <c r="D44" s="51">
        <v>99696355</v>
      </c>
      <c r="E44" s="23">
        <v>108425402</v>
      </c>
      <c r="F44" s="5"/>
    </row>
    <row r="45" spans="1:6" ht="24" customHeight="1" x14ac:dyDescent="0.2">
      <c r="A45" s="21">
        <v>7</v>
      </c>
      <c r="B45" s="48" t="s">
        <v>329</v>
      </c>
      <c r="C45" s="51">
        <v>544879</v>
      </c>
      <c r="D45" s="51">
        <v>837107</v>
      </c>
      <c r="E45" s="23">
        <v>1266206</v>
      </c>
      <c r="F45" s="5"/>
    </row>
    <row r="46" spans="1:6" ht="24" customHeight="1" x14ac:dyDescent="0.2">
      <c r="A46" s="21">
        <v>8</v>
      </c>
      <c r="B46" s="48" t="s">
        <v>330</v>
      </c>
      <c r="C46" s="51">
        <v>170656654</v>
      </c>
      <c r="D46" s="51">
        <v>175652254</v>
      </c>
      <c r="E46" s="23">
        <v>181123513</v>
      </c>
      <c r="F46" s="5"/>
    </row>
    <row r="47" spans="1:6" ht="24" customHeight="1" x14ac:dyDescent="0.2">
      <c r="A47" s="21">
        <v>9</v>
      </c>
      <c r="B47" s="48" t="s">
        <v>331</v>
      </c>
      <c r="C47" s="51">
        <v>2303687</v>
      </c>
      <c r="D47" s="51">
        <v>2781844</v>
      </c>
      <c r="E47" s="174">
        <v>5636814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7.4817594201663153</v>
      </c>
      <c r="D49" s="175">
        <f>IF(D38=0,0,IF(D51=0,0,(D50/D51)/D38))</f>
        <v>12.141216117217338</v>
      </c>
      <c r="E49" s="175">
        <f>IF(E38=0,0,IF(E51=0,0,(E50/E51)/E38))</f>
        <v>18.09522099109925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3511979</v>
      </c>
      <c r="D50" s="176">
        <v>3494249</v>
      </c>
      <c r="E50" s="176">
        <v>3595475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932116</v>
      </c>
      <c r="D51" s="176">
        <v>583072</v>
      </c>
      <c r="E51" s="176">
        <v>392887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0.71155769244870826</v>
      </c>
      <c r="D53" s="175">
        <f>IF(D38=0,0,IF(D55=0,0,(D54/D55)/D38))</f>
        <v>0.72070999484031384</v>
      </c>
      <c r="E53" s="175">
        <f>IF(E38=0,0,IF(E55=0,0,(E54/E55)/E38))</f>
        <v>0.6913813339847753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52332440</v>
      </c>
      <c r="D54" s="176">
        <v>59620686</v>
      </c>
      <c r="E54" s="176">
        <v>65724554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146043643</v>
      </c>
      <c r="D55" s="176">
        <v>167597274</v>
      </c>
      <c r="E55" s="176">
        <v>187968586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2346997.773743798</v>
      </c>
      <c r="D57" s="53">
        <f>+D60*D38</f>
        <v>2098176.3345103655</v>
      </c>
      <c r="E57" s="53">
        <f>+E60*E38</f>
        <v>2341097.5109178363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514817</v>
      </c>
      <c r="D58" s="51">
        <v>442542</v>
      </c>
      <c r="E58" s="52">
        <v>1326729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4145704</v>
      </c>
      <c r="D59" s="51">
        <v>3808276</v>
      </c>
      <c r="E59" s="52">
        <v>3302352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4660521</v>
      </c>
      <c r="D60" s="51">
        <v>4250818</v>
      </c>
      <c r="E60" s="52">
        <v>4629081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1.3214165732785714E-2</v>
      </c>
      <c r="D62" s="178">
        <f>IF(D63=0,0,+D57/D63)</f>
        <v>1.1308769787998682E-2</v>
      </c>
      <c r="E62" s="178">
        <f>IF(E63=0,0,+E57/E63)</f>
        <v>1.1698724346563568E-2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177612255</v>
      </c>
      <c r="D63" s="176">
        <v>185535330</v>
      </c>
      <c r="E63" s="176">
        <v>200115623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0.88079078723756687</v>
      </c>
      <c r="D67" s="179">
        <f>IF(D69=0,0,D68/D69)</f>
        <v>0.92623679541334214</v>
      </c>
      <c r="E67" s="179">
        <f>IF(E69=0,0,E68/E69)</f>
        <v>0.96145618496903473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39981686</v>
      </c>
      <c r="D68" s="180">
        <v>33500326</v>
      </c>
      <c r="E68" s="180">
        <v>39429671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45392943</v>
      </c>
      <c r="D69" s="180">
        <v>36168209</v>
      </c>
      <c r="E69" s="180">
        <v>41010367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20.065390485198364</v>
      </c>
      <c r="D71" s="181">
        <f>IF((D77/365)=0,0,+D74/(D77/365))</f>
        <v>4.3642564109182809</v>
      </c>
      <c r="E71" s="181">
        <f>IF((E77/365)=0,0,+E74/(E77/365))</f>
        <v>5.9455862650628113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9670263</v>
      </c>
      <c r="D72" s="182">
        <v>2105761</v>
      </c>
      <c r="E72" s="182">
        <v>3100022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9670263</v>
      </c>
      <c r="D74" s="180">
        <f>+D72+D73</f>
        <v>2105761</v>
      </c>
      <c r="E74" s="180">
        <f>+E72+E73</f>
        <v>3100022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184175127</v>
      </c>
      <c r="D75" s="180">
        <f>+D14</f>
        <v>185535330</v>
      </c>
      <c r="E75" s="180">
        <f>+E14</f>
        <v>200115623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8267960</v>
      </c>
      <c r="D76" s="180">
        <v>9422221</v>
      </c>
      <c r="E76" s="180">
        <v>9805033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175907167</v>
      </c>
      <c r="D77" s="180">
        <f>+D75-D76</f>
        <v>176113109</v>
      </c>
      <c r="E77" s="180">
        <f>+E75-E76</f>
        <v>190310590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38.624870925088118</v>
      </c>
      <c r="D79" s="179">
        <f>IF((D84/365)=0,0,+D83/(D84/365))</f>
        <v>40.420610443216283</v>
      </c>
      <c r="E79" s="179">
        <f>IF((E84/365)=0,0,+E83/(E84/365))</f>
        <v>33.233425298716533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20749592</v>
      </c>
      <c r="D80" s="189">
        <v>20178554</v>
      </c>
      <c r="E80" s="189">
        <v>18519560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2425929</v>
      </c>
      <c r="D82" s="190">
        <v>413822</v>
      </c>
      <c r="E82" s="190">
        <v>1654459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18323663</v>
      </c>
      <c r="D83" s="191">
        <f>+D80+D81-D82</f>
        <v>19764732</v>
      </c>
      <c r="E83" s="191">
        <f>+E80+E81-E82</f>
        <v>16865101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173156229</v>
      </c>
      <c r="D84" s="191">
        <f>+D11</f>
        <v>178476453</v>
      </c>
      <c r="E84" s="191">
        <f>+E11</f>
        <v>185228029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94.188454498843697</v>
      </c>
      <c r="D86" s="179">
        <f>IF((D90/365)=0,0,+D87/(D90/365))</f>
        <v>74.959759440735326</v>
      </c>
      <c r="E86" s="179">
        <f>IF((E90/365)=0,0,+E87/(E90/365))</f>
        <v>78.654498181104898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45392943</v>
      </c>
      <c r="D87" s="51">
        <f>+D69</f>
        <v>36168209</v>
      </c>
      <c r="E87" s="51">
        <f>+E69</f>
        <v>41010367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184175127</v>
      </c>
      <c r="D88" s="51">
        <f t="shared" si="0"/>
        <v>185535330</v>
      </c>
      <c r="E88" s="51">
        <f t="shared" si="0"/>
        <v>200115623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8267960</v>
      </c>
      <c r="D89" s="52">
        <f t="shared" si="0"/>
        <v>9422221</v>
      </c>
      <c r="E89" s="52">
        <f t="shared" si="0"/>
        <v>9805033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175907167</v>
      </c>
      <c r="D90" s="51">
        <f>+D88-D89</f>
        <v>176113109</v>
      </c>
      <c r="E90" s="51">
        <f>+E88-E89</f>
        <v>190310590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64.198005779670581</v>
      </c>
      <c r="D94" s="192">
        <f>IF(D96=0,0,(D95/D96)*100)</f>
        <v>58.922354847390146</v>
      </c>
      <c r="E94" s="192">
        <f>IF(E96=0,0,(E95/E96)*100)</f>
        <v>62.034693425324541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187615037</v>
      </c>
      <c r="D95" s="51">
        <f>+D32</f>
        <v>151977252</v>
      </c>
      <c r="E95" s="51">
        <f>+E32</f>
        <v>184221988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292244338</v>
      </c>
      <c r="D96" s="51">
        <v>257928001</v>
      </c>
      <c r="E96" s="51">
        <v>296966065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19.942215219560598</v>
      </c>
      <c r="D98" s="192">
        <f>IF(D104=0,0,(D101/D104)*100)</f>
        <v>27.157123883168666</v>
      </c>
      <c r="E98" s="192">
        <f>IF(E104=0,0,(E101/E104)*100)</f>
        <v>31.129726820161562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9151494</v>
      </c>
      <c r="D99" s="51">
        <f>+D28</f>
        <v>10799761</v>
      </c>
      <c r="E99" s="51">
        <f>+E28</f>
        <v>15277100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8267960</v>
      </c>
      <c r="D100" s="52">
        <f>+D76</f>
        <v>9422221</v>
      </c>
      <c r="E100" s="52">
        <f>+E76</f>
        <v>9805033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17419454</v>
      </c>
      <c r="D101" s="51">
        <f>+D99+D100</f>
        <v>20221982</v>
      </c>
      <c r="E101" s="51">
        <f>+E99+E100</f>
        <v>25082133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45392943</v>
      </c>
      <c r="D102" s="180">
        <f>+D69</f>
        <v>36168209</v>
      </c>
      <c r="E102" s="180">
        <f>+E69</f>
        <v>41010367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41956701</v>
      </c>
      <c r="D103" s="194">
        <v>38294691</v>
      </c>
      <c r="E103" s="194">
        <v>39562563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87349644</v>
      </c>
      <c r="D104" s="180">
        <f>+D102+D103</f>
        <v>74462900</v>
      </c>
      <c r="E104" s="180">
        <f>+E102+E103</f>
        <v>80572930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18.27607412198099</v>
      </c>
      <c r="D106" s="197">
        <f>IF(D109=0,0,(D107/D109)*100)</f>
        <v>20.126294185160027</v>
      </c>
      <c r="E106" s="197">
        <f>IF(E109=0,0,(E107/E109)*100)</f>
        <v>17.678862469822594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41956701</v>
      </c>
      <c r="D107" s="180">
        <f>+D103</f>
        <v>38294691</v>
      </c>
      <c r="E107" s="180">
        <f>+E103</f>
        <v>39562563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187615037</v>
      </c>
      <c r="D108" s="180">
        <f>+D32</f>
        <v>151977252</v>
      </c>
      <c r="E108" s="180">
        <f>+E32</f>
        <v>184221988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229571738</v>
      </c>
      <c r="D109" s="180">
        <f>+D107+D108</f>
        <v>190271943</v>
      </c>
      <c r="E109" s="180">
        <f>+E107+E108</f>
        <v>223784551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7.666197492482115</v>
      </c>
      <c r="D111" s="197">
        <f>IF((+D113+D115)=0,0,((+D112+D113+D114)/(+D113+D115)))</f>
        <v>3.0832441858506061</v>
      </c>
      <c r="E111" s="197">
        <f>IF((+E113+E115)=0,0,((+E112+E113+E114)/(+E113+E115)))</f>
        <v>3.6942800428347469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9151494</v>
      </c>
      <c r="D112" s="180">
        <f>+D17</f>
        <v>10799761</v>
      </c>
      <c r="E112" s="180">
        <f>+E17</f>
        <v>15277100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2613102</v>
      </c>
      <c r="D113" s="180">
        <v>1921628</v>
      </c>
      <c r="E113" s="180">
        <v>1388163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8267960</v>
      </c>
      <c r="D114" s="180">
        <v>9422221</v>
      </c>
      <c r="E114" s="180">
        <v>9805033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5260291</v>
      </c>
      <c r="E115" s="180">
        <v>5777048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7.0011804604763448</v>
      </c>
      <c r="D119" s="197">
        <f>IF(+D121=0,0,(+D120)/(+D121))</f>
        <v>7.072057532931991</v>
      </c>
      <c r="E119" s="197">
        <f>IF(+E121=0,0,(+E120)/(+E121))</f>
        <v>7.6528687868771073</v>
      </c>
    </row>
    <row r="120" spans="1:8" ht="24" customHeight="1" x14ac:dyDescent="0.25">
      <c r="A120" s="17">
        <v>21</v>
      </c>
      <c r="B120" s="48" t="s">
        <v>369</v>
      </c>
      <c r="C120" s="180">
        <v>57885480</v>
      </c>
      <c r="D120" s="180">
        <v>66634489</v>
      </c>
      <c r="E120" s="180">
        <v>75036631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8267960</v>
      </c>
      <c r="D121" s="180">
        <v>9422221</v>
      </c>
      <c r="E121" s="180">
        <v>9805033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37137</v>
      </c>
      <c r="D124" s="198">
        <v>35911</v>
      </c>
      <c r="E124" s="198">
        <v>36799</v>
      </c>
    </row>
    <row r="125" spans="1:8" ht="24" customHeight="1" x14ac:dyDescent="0.2">
      <c r="A125" s="44">
        <v>2</v>
      </c>
      <c r="B125" s="48" t="s">
        <v>373</v>
      </c>
      <c r="C125" s="198">
        <v>5806</v>
      </c>
      <c r="D125" s="198">
        <v>6359</v>
      </c>
      <c r="E125" s="198">
        <v>6800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6.3963141577678266</v>
      </c>
      <c r="D126" s="199">
        <f>IF(D125=0,0,D124/D125)</f>
        <v>5.6472715835823246</v>
      </c>
      <c r="E126" s="199">
        <f>IF(E125=0,0,E124/E125)</f>
        <v>5.4116176470588231</v>
      </c>
    </row>
    <row r="127" spans="1:8" ht="24" customHeight="1" x14ac:dyDescent="0.2">
      <c r="A127" s="44">
        <v>4</v>
      </c>
      <c r="B127" s="48" t="s">
        <v>375</v>
      </c>
      <c r="C127" s="198">
        <v>126</v>
      </c>
      <c r="D127" s="198">
        <v>142</v>
      </c>
      <c r="E127" s="198">
        <v>142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142</v>
      </c>
      <c r="E128" s="198">
        <v>147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135</v>
      </c>
      <c r="D129" s="198">
        <v>147</v>
      </c>
      <c r="E129" s="198">
        <v>147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0.8075</v>
      </c>
      <c r="D130" s="171">
        <v>0.69279999999999997</v>
      </c>
      <c r="E130" s="171">
        <v>0.70989999999999998</v>
      </c>
    </row>
    <row r="131" spans="1:8" ht="24" customHeight="1" x14ac:dyDescent="0.2">
      <c r="A131" s="44">
        <v>7</v>
      </c>
      <c r="B131" s="48" t="s">
        <v>379</v>
      </c>
      <c r="C131" s="171">
        <v>0.8075</v>
      </c>
      <c r="D131" s="171">
        <v>0.69279999999999997</v>
      </c>
      <c r="E131" s="171">
        <v>0.68579999999999997</v>
      </c>
    </row>
    <row r="132" spans="1:8" ht="24" customHeight="1" x14ac:dyDescent="0.2">
      <c r="A132" s="44">
        <v>8</v>
      </c>
      <c r="B132" s="48" t="s">
        <v>380</v>
      </c>
      <c r="C132" s="199">
        <v>1189.5</v>
      </c>
      <c r="D132" s="199">
        <v>1195.2</v>
      </c>
      <c r="E132" s="199">
        <v>1212.5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0.52859778205598296</v>
      </c>
      <c r="D135" s="203">
        <f>IF(D149=0,0,D143/D149)</f>
        <v>0.50117816598014908</v>
      </c>
      <c r="E135" s="203">
        <f>IF(E149=0,0,E143/E149)</f>
        <v>0.47295608905105169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2.9266751813105535E-3</v>
      </c>
      <c r="D136" s="203">
        <f>IF(D149=0,0,D144/D149)</f>
        <v>1.6904162811575301E-3</v>
      </c>
      <c r="E136" s="203">
        <f>IF(E149=0,0,E144/E149)</f>
        <v>1.0588739774460088E-3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0.4585505509574761</v>
      </c>
      <c r="D137" s="203">
        <f>IF(D149=0,0,D145/D149)</f>
        <v>0.48589052577935421</v>
      </c>
      <c r="E137" s="203">
        <f>IF(E149=0,0,E145/E149)</f>
        <v>0.50659615689173265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0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7.2331593582856272E-3</v>
      </c>
      <c r="D139" s="203">
        <f>IF(D149=0,0,D147/D149)</f>
        <v>8.0649977862774884E-3</v>
      </c>
      <c r="E139" s="203">
        <f>IF(E149=0,0,E147/E149)</f>
        <v>1.5191838010174291E-2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2.691832446944742E-3</v>
      </c>
      <c r="D140" s="203">
        <f>IF(D149=0,0,D148/D149)</f>
        <v>3.1758941730616838E-3</v>
      </c>
      <c r="E140" s="203">
        <f>IF(E149=0,0,E148/E149)</f>
        <v>4.1970420695953813E-3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168352967</v>
      </c>
      <c r="D143" s="205">
        <f>+D46-D147</f>
        <v>172870410</v>
      </c>
      <c r="E143" s="205">
        <f>+E46-E147</f>
        <v>175486699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932116</v>
      </c>
      <c r="D144" s="205">
        <f>+D51</f>
        <v>583072</v>
      </c>
      <c r="E144" s="205">
        <f>+E51</f>
        <v>392887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146043643</v>
      </c>
      <c r="D145" s="205">
        <f>+D55</f>
        <v>167597274</v>
      </c>
      <c r="E145" s="205">
        <f>+E55</f>
        <v>187968586</v>
      </c>
    </row>
    <row r="146" spans="1:7" ht="20.100000000000001" customHeight="1" x14ac:dyDescent="0.2">
      <c r="A146" s="202">
        <v>11</v>
      </c>
      <c r="B146" s="201" t="s">
        <v>392</v>
      </c>
      <c r="C146" s="204">
        <v>0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2303687</v>
      </c>
      <c r="D147" s="205">
        <f>+D47</f>
        <v>2781844</v>
      </c>
      <c r="E147" s="205">
        <f>+E47</f>
        <v>5636814</v>
      </c>
    </row>
    <row r="148" spans="1:7" ht="20.100000000000001" customHeight="1" x14ac:dyDescent="0.2">
      <c r="A148" s="202">
        <v>13</v>
      </c>
      <c r="B148" s="201" t="s">
        <v>394</v>
      </c>
      <c r="C148" s="206">
        <v>857321</v>
      </c>
      <c r="D148" s="205">
        <v>1095455</v>
      </c>
      <c r="E148" s="205">
        <v>1557280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318489734</v>
      </c>
      <c r="D149" s="205">
        <f>SUM(D143:D148)</f>
        <v>344928055</v>
      </c>
      <c r="E149" s="205">
        <f>SUM(E143:E148)</f>
        <v>371042266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0.62046942817960749</v>
      </c>
      <c r="D152" s="203">
        <f>IF(D166=0,0,D160/D166)</f>
        <v>0.60560798361324808</v>
      </c>
      <c r="E152" s="203">
        <f>IF(E166=0,0,E160/E166)</f>
        <v>0.60052696131862271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2.3436787459759571E-2</v>
      </c>
      <c r="D153" s="203">
        <f>IF(D166=0,0,D161/D166)</f>
        <v>2.1405636133633228E-2</v>
      </c>
      <c r="E153" s="203">
        <f>IF(E166=0,0,E161/E166)</f>
        <v>2.0149270961748119E-2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0.34923451237339981</v>
      </c>
      <c r="D154" s="203">
        <f>IF(D166=0,0,D162/D166)</f>
        <v>0.36523404901986112</v>
      </c>
      <c r="E154" s="203">
        <f>IF(E166=0,0,E162/E166)</f>
        <v>0.36832458781831223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0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3.6361872648687068E-3</v>
      </c>
      <c r="D156" s="203">
        <f>IF(D166=0,0,D164/D166)</f>
        <v>5.1280855619955275E-3</v>
      </c>
      <c r="E156" s="203">
        <f>IF(E166=0,0,E164/E166)</f>
        <v>7.0958990918838921E-3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3.2230847223644675E-3</v>
      </c>
      <c r="D157" s="203">
        <f>IF(D166=0,0,D165/D166)</f>
        <v>2.6242456712621039E-3</v>
      </c>
      <c r="E157" s="203">
        <f>IF(E166=0,0,E165/E166)</f>
        <v>3.9032808094330291E-3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92976719</v>
      </c>
      <c r="D160" s="208">
        <f>+D44-D164</f>
        <v>98859248</v>
      </c>
      <c r="E160" s="208">
        <f>+E44-E164</f>
        <v>107159196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3511979</v>
      </c>
      <c r="D161" s="208">
        <f>+D50</f>
        <v>3494249</v>
      </c>
      <c r="E161" s="208">
        <f>+E50</f>
        <v>3595475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52332440</v>
      </c>
      <c r="D162" s="208">
        <f>+D54</f>
        <v>59620686</v>
      </c>
      <c r="E162" s="208">
        <f>+E54</f>
        <v>65724554</v>
      </c>
    </row>
    <row r="163" spans="1:6" ht="20.100000000000001" customHeight="1" x14ac:dyDescent="0.2">
      <c r="A163" s="202">
        <v>11</v>
      </c>
      <c r="B163" s="201" t="s">
        <v>408</v>
      </c>
      <c r="C163" s="207">
        <v>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544879</v>
      </c>
      <c r="D164" s="208">
        <f>+D45</f>
        <v>837107</v>
      </c>
      <c r="E164" s="208">
        <f>+E45</f>
        <v>1266206</v>
      </c>
    </row>
    <row r="165" spans="1:6" ht="20.100000000000001" customHeight="1" x14ac:dyDescent="0.2">
      <c r="A165" s="202">
        <v>13</v>
      </c>
      <c r="B165" s="201" t="s">
        <v>410</v>
      </c>
      <c r="C165" s="209">
        <v>482976</v>
      </c>
      <c r="D165" s="208">
        <v>428381</v>
      </c>
      <c r="E165" s="208">
        <v>696509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149848993</v>
      </c>
      <c r="D166" s="208">
        <f>SUM(D160:D165)</f>
        <v>163239671</v>
      </c>
      <c r="E166" s="208">
        <f>SUM(E160:E165)</f>
        <v>178441940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3093</v>
      </c>
      <c r="D169" s="198">
        <v>3065</v>
      </c>
      <c r="E169" s="198">
        <v>3110</v>
      </c>
    </row>
    <row r="170" spans="1:6" ht="20.100000000000001" customHeight="1" x14ac:dyDescent="0.2">
      <c r="A170" s="202">
        <v>2</v>
      </c>
      <c r="B170" s="201" t="s">
        <v>414</v>
      </c>
      <c r="C170" s="198">
        <v>10</v>
      </c>
      <c r="D170" s="198">
        <v>8</v>
      </c>
      <c r="E170" s="198">
        <v>8</v>
      </c>
    </row>
    <row r="171" spans="1:6" ht="20.100000000000001" customHeight="1" x14ac:dyDescent="0.2">
      <c r="A171" s="202">
        <v>3</v>
      </c>
      <c r="B171" s="201" t="s">
        <v>415</v>
      </c>
      <c r="C171" s="198">
        <v>2676</v>
      </c>
      <c r="D171" s="198">
        <v>3255</v>
      </c>
      <c r="E171" s="198">
        <v>3644</v>
      </c>
    </row>
    <row r="172" spans="1:6" ht="20.100000000000001" customHeight="1" x14ac:dyDescent="0.2">
      <c r="A172" s="202">
        <v>4</v>
      </c>
      <c r="B172" s="201" t="s">
        <v>416</v>
      </c>
      <c r="C172" s="198">
        <v>2676</v>
      </c>
      <c r="D172" s="198">
        <v>3255</v>
      </c>
      <c r="E172" s="198">
        <v>3644</v>
      </c>
    </row>
    <row r="173" spans="1:6" ht="20.100000000000001" customHeight="1" x14ac:dyDescent="0.2">
      <c r="A173" s="202">
        <v>5</v>
      </c>
      <c r="B173" s="201" t="s">
        <v>417</v>
      </c>
      <c r="C173" s="198">
        <v>0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27</v>
      </c>
      <c r="D174" s="198">
        <v>31</v>
      </c>
      <c r="E174" s="198">
        <v>38</v>
      </c>
    </row>
    <row r="175" spans="1:6" ht="20.100000000000001" customHeight="1" x14ac:dyDescent="0.2">
      <c r="A175" s="202">
        <v>7</v>
      </c>
      <c r="B175" s="201" t="s">
        <v>419</v>
      </c>
      <c r="C175" s="198">
        <v>38</v>
      </c>
      <c r="D175" s="198">
        <v>51</v>
      </c>
      <c r="E175" s="198">
        <v>80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5806</v>
      </c>
      <c r="D176" s="198">
        <f>+D169+D170+D171+D174</f>
        <v>6359</v>
      </c>
      <c r="E176" s="198">
        <f>+E169+E170+E171+E174</f>
        <v>6800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1.5535000000000001</v>
      </c>
      <c r="D179" s="210">
        <v>1.4488000000000001</v>
      </c>
      <c r="E179" s="210">
        <v>1.3976</v>
      </c>
    </row>
    <row r="180" spans="1:6" ht="20.100000000000001" customHeight="1" x14ac:dyDescent="0.2">
      <c r="A180" s="202">
        <v>2</v>
      </c>
      <c r="B180" s="201" t="s">
        <v>414</v>
      </c>
      <c r="C180" s="210">
        <v>2.2229999999999999</v>
      </c>
      <c r="D180" s="210">
        <v>2.1772</v>
      </c>
      <c r="E180" s="210">
        <v>1.7611000000000001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1.4821</v>
      </c>
      <c r="D181" s="210">
        <v>1.3611</v>
      </c>
      <c r="E181" s="210">
        <v>1.2623</v>
      </c>
    </row>
    <row r="182" spans="1:6" ht="20.100000000000001" customHeight="1" x14ac:dyDescent="0.2">
      <c r="A182" s="202">
        <v>4</v>
      </c>
      <c r="B182" s="201" t="s">
        <v>416</v>
      </c>
      <c r="C182" s="210">
        <v>1.4821</v>
      </c>
      <c r="D182" s="210">
        <v>1.3611</v>
      </c>
      <c r="E182" s="210">
        <v>1.2623</v>
      </c>
    </row>
    <row r="183" spans="1:6" ht="20.100000000000001" customHeight="1" x14ac:dyDescent="0.2">
      <c r="A183" s="202">
        <v>5</v>
      </c>
      <c r="B183" s="201" t="s">
        <v>417</v>
      </c>
      <c r="C183" s="210">
        <v>0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1.4065000000000001</v>
      </c>
      <c r="D184" s="210">
        <v>0.94550000000000001</v>
      </c>
      <c r="E184" s="210">
        <v>1.1345000000000001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0.98360000000000003</v>
      </c>
      <c r="D185" s="210">
        <v>1.1555</v>
      </c>
      <c r="E185" s="210">
        <v>1.0314000000000001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1.521061</v>
      </c>
      <c r="D186" s="210">
        <v>1.402371</v>
      </c>
      <c r="E186" s="210">
        <v>1.324052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3037</v>
      </c>
      <c r="D189" s="198">
        <v>2838</v>
      </c>
      <c r="E189" s="198">
        <v>3473</v>
      </c>
    </row>
    <row r="190" spans="1:6" ht="20.100000000000001" customHeight="1" x14ac:dyDescent="0.2">
      <c r="A190" s="202">
        <v>2</v>
      </c>
      <c r="B190" s="201" t="s">
        <v>427</v>
      </c>
      <c r="C190" s="198">
        <v>43517</v>
      </c>
      <c r="D190" s="198">
        <v>47262</v>
      </c>
      <c r="E190" s="198">
        <v>50118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46554</v>
      </c>
      <c r="D191" s="198">
        <f>+D190+D189</f>
        <v>50100</v>
      </c>
      <c r="E191" s="198">
        <f>+E190+E189</f>
        <v>53591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B35" sqref="B35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0</v>
      </c>
      <c r="D53" s="237">
        <v>0</v>
      </c>
      <c r="E53" s="237">
        <f t="shared" ref="E53:E63" si="6">D53-C53</f>
        <v>0</v>
      </c>
      <c r="F53" s="238">
        <f t="shared" ref="F53:F63" si="7">IF(C53=0,0,E53/C53)</f>
        <v>0</v>
      </c>
    </row>
    <row r="54" spans="1:6" ht="20.25" customHeight="1" x14ac:dyDescent="0.3">
      <c r="A54" s="235">
        <v>2</v>
      </c>
      <c r="B54" s="236" t="s">
        <v>435</v>
      </c>
      <c r="C54" s="237">
        <v>0</v>
      </c>
      <c r="D54" s="237">
        <v>0</v>
      </c>
      <c r="E54" s="237">
        <f t="shared" si="6"/>
        <v>0</v>
      </c>
      <c r="F54" s="238">
        <f t="shared" si="7"/>
        <v>0</v>
      </c>
    </row>
    <row r="55" spans="1:6" ht="20.25" customHeight="1" x14ac:dyDescent="0.3">
      <c r="A55" s="235">
        <v>3</v>
      </c>
      <c r="B55" s="236" t="s">
        <v>436</v>
      </c>
      <c r="C55" s="237">
        <v>0</v>
      </c>
      <c r="D55" s="237">
        <v>0</v>
      </c>
      <c r="E55" s="237">
        <f t="shared" si="6"/>
        <v>0</v>
      </c>
      <c r="F55" s="238">
        <f t="shared" si="7"/>
        <v>0</v>
      </c>
    </row>
    <row r="56" spans="1:6" ht="20.25" customHeight="1" x14ac:dyDescent="0.3">
      <c r="A56" s="235">
        <v>4</v>
      </c>
      <c r="B56" s="236" t="s">
        <v>437</v>
      </c>
      <c r="C56" s="237">
        <v>0</v>
      </c>
      <c r="D56" s="237">
        <v>0</v>
      </c>
      <c r="E56" s="237">
        <f t="shared" si="6"/>
        <v>0</v>
      </c>
      <c r="F56" s="238">
        <f t="shared" si="7"/>
        <v>0</v>
      </c>
    </row>
    <row r="57" spans="1:6" ht="20.25" customHeight="1" x14ac:dyDescent="0.3">
      <c r="A57" s="235">
        <v>5</v>
      </c>
      <c r="B57" s="236" t="s">
        <v>373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6</v>
      </c>
      <c r="B58" s="236" t="s">
        <v>372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ht="20.25" customHeight="1" x14ac:dyDescent="0.3">
      <c r="A59" s="235">
        <v>7</v>
      </c>
      <c r="B59" s="236" t="s">
        <v>438</v>
      </c>
      <c r="C59" s="239">
        <v>0</v>
      </c>
      <c r="D59" s="239">
        <v>0</v>
      </c>
      <c r="E59" s="239">
        <f t="shared" si="6"/>
        <v>0</v>
      </c>
      <c r="F59" s="238">
        <f t="shared" si="7"/>
        <v>0</v>
      </c>
    </row>
    <row r="60" spans="1:6" ht="20.25" customHeight="1" x14ac:dyDescent="0.3">
      <c r="A60" s="235">
        <v>8</v>
      </c>
      <c r="B60" s="236" t="s">
        <v>439</v>
      </c>
      <c r="C60" s="239">
        <v>0</v>
      </c>
      <c r="D60" s="239">
        <v>0</v>
      </c>
      <c r="E60" s="239">
        <f t="shared" si="6"/>
        <v>0</v>
      </c>
      <c r="F60" s="238">
        <f t="shared" si="7"/>
        <v>0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0</v>
      </c>
      <c r="D62" s="243">
        <f>+D53+D55</f>
        <v>0</v>
      </c>
      <c r="E62" s="243">
        <f t="shared" si="6"/>
        <v>0</v>
      </c>
      <c r="F62" s="244">
        <f t="shared" si="7"/>
        <v>0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0</v>
      </c>
      <c r="D63" s="243">
        <f>+D54+D56</f>
        <v>0</v>
      </c>
      <c r="E63" s="243">
        <f t="shared" si="6"/>
        <v>0</v>
      </c>
      <c r="F63" s="244">
        <f t="shared" si="7"/>
        <v>0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0</v>
      </c>
      <c r="D198" s="243">
        <f t="shared" si="28"/>
        <v>0</v>
      </c>
      <c r="E198" s="243">
        <f t="shared" ref="E198:E208" si="29">D198-C198</f>
        <v>0</v>
      </c>
      <c r="F198" s="251">
        <f t="shared" ref="F198:F208" si="30">IF(C198=0,0,E198/C198)</f>
        <v>0</v>
      </c>
    </row>
    <row r="199" spans="1:9" ht="20.25" customHeight="1" x14ac:dyDescent="0.3">
      <c r="A199" s="249"/>
      <c r="B199" s="250" t="s">
        <v>461</v>
      </c>
      <c r="C199" s="243">
        <f t="shared" si="28"/>
        <v>0</v>
      </c>
      <c r="D199" s="243">
        <f t="shared" si="28"/>
        <v>0</v>
      </c>
      <c r="E199" s="243">
        <f t="shared" si="29"/>
        <v>0</v>
      </c>
      <c r="F199" s="251">
        <f t="shared" si="30"/>
        <v>0</v>
      </c>
    </row>
    <row r="200" spans="1:9" ht="20.25" customHeight="1" x14ac:dyDescent="0.3">
      <c r="A200" s="249"/>
      <c r="B200" s="250" t="s">
        <v>462</v>
      </c>
      <c r="C200" s="243">
        <f t="shared" si="28"/>
        <v>0</v>
      </c>
      <c r="D200" s="243">
        <f t="shared" si="28"/>
        <v>0</v>
      </c>
      <c r="E200" s="243">
        <f t="shared" si="29"/>
        <v>0</v>
      </c>
      <c r="F200" s="251">
        <f t="shared" si="30"/>
        <v>0</v>
      </c>
    </row>
    <row r="201" spans="1:9" ht="20.25" customHeight="1" x14ac:dyDescent="0.3">
      <c r="A201" s="249"/>
      <c r="B201" s="250" t="s">
        <v>463</v>
      </c>
      <c r="C201" s="243">
        <f t="shared" si="28"/>
        <v>0</v>
      </c>
      <c r="D201" s="243">
        <f t="shared" si="28"/>
        <v>0</v>
      </c>
      <c r="E201" s="243">
        <f t="shared" si="29"/>
        <v>0</v>
      </c>
      <c r="F201" s="251">
        <f t="shared" si="30"/>
        <v>0</v>
      </c>
    </row>
    <row r="202" spans="1:9" ht="20.25" customHeight="1" x14ac:dyDescent="0.3">
      <c r="A202" s="249"/>
      <c r="B202" s="250" t="s">
        <v>464</v>
      </c>
      <c r="C202" s="252">
        <f t="shared" si="28"/>
        <v>0</v>
      </c>
      <c r="D202" s="252">
        <f t="shared" si="28"/>
        <v>0</v>
      </c>
      <c r="E202" s="252">
        <f t="shared" si="29"/>
        <v>0</v>
      </c>
      <c r="F202" s="251">
        <f t="shared" si="30"/>
        <v>0</v>
      </c>
    </row>
    <row r="203" spans="1:9" ht="20.25" customHeight="1" x14ac:dyDescent="0.3">
      <c r="A203" s="249"/>
      <c r="B203" s="250" t="s">
        <v>465</v>
      </c>
      <c r="C203" s="252">
        <f t="shared" si="28"/>
        <v>0</v>
      </c>
      <c r="D203" s="252">
        <f t="shared" si="28"/>
        <v>0</v>
      </c>
      <c r="E203" s="252">
        <f t="shared" si="29"/>
        <v>0</v>
      </c>
      <c r="F203" s="251">
        <f t="shared" si="30"/>
        <v>0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0</v>
      </c>
      <c r="D204" s="252">
        <f t="shared" si="28"/>
        <v>0</v>
      </c>
      <c r="E204" s="252">
        <f t="shared" si="29"/>
        <v>0</v>
      </c>
      <c r="F204" s="251">
        <f t="shared" si="30"/>
        <v>0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0</v>
      </c>
      <c r="D205" s="252">
        <f t="shared" si="28"/>
        <v>0</v>
      </c>
      <c r="E205" s="252">
        <f t="shared" si="29"/>
        <v>0</v>
      </c>
      <c r="F205" s="251">
        <f t="shared" si="30"/>
        <v>0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0</v>
      </c>
      <c r="D207" s="243">
        <f>+D198+D200</f>
        <v>0</v>
      </c>
      <c r="E207" s="243">
        <f t="shared" si="29"/>
        <v>0</v>
      </c>
      <c r="F207" s="251">
        <f t="shared" si="30"/>
        <v>0</v>
      </c>
    </row>
    <row r="208" spans="1:9" ht="20.25" customHeight="1" x14ac:dyDescent="0.3">
      <c r="A208" s="249"/>
      <c r="B208" s="242" t="s">
        <v>470</v>
      </c>
      <c r="C208" s="243">
        <f>+C199+C201</f>
        <v>0</v>
      </c>
      <c r="D208" s="243">
        <f>+D199+D201</f>
        <v>0</v>
      </c>
      <c r="E208" s="243">
        <f t="shared" si="29"/>
        <v>0</v>
      </c>
      <c r="F208" s="251">
        <f t="shared" si="30"/>
        <v>0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35" sqref="B3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16362609</v>
      </c>
      <c r="D14" s="237">
        <v>0</v>
      </c>
      <c r="E14" s="237">
        <f t="shared" ref="E14:E24" si="0">D14-C14</f>
        <v>-16362609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5325300</v>
      </c>
      <c r="D15" s="237">
        <v>0</v>
      </c>
      <c r="E15" s="237">
        <f t="shared" si="0"/>
        <v>-5325300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11156688</v>
      </c>
      <c r="D16" s="237">
        <v>0</v>
      </c>
      <c r="E16" s="237">
        <f t="shared" si="0"/>
        <v>-11156688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2658636</v>
      </c>
      <c r="D17" s="237">
        <v>0</v>
      </c>
      <c r="E17" s="237">
        <f t="shared" si="0"/>
        <v>-2658636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408</v>
      </c>
      <c r="D18" s="239">
        <v>0</v>
      </c>
      <c r="E18" s="239">
        <f t="shared" si="0"/>
        <v>-408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3013</v>
      </c>
      <c r="D19" s="239">
        <v>0</v>
      </c>
      <c r="E19" s="239">
        <f t="shared" si="0"/>
        <v>-3013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6484</v>
      </c>
      <c r="D20" s="239">
        <v>0</v>
      </c>
      <c r="E20" s="239">
        <f t="shared" si="0"/>
        <v>-6484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4737</v>
      </c>
      <c r="D21" s="239">
        <v>0</v>
      </c>
      <c r="E21" s="239">
        <f t="shared" si="0"/>
        <v>-4737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207</v>
      </c>
      <c r="D22" s="239">
        <v>0</v>
      </c>
      <c r="E22" s="239">
        <f t="shared" si="0"/>
        <v>-207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27519297</v>
      </c>
      <c r="D23" s="243">
        <f>+D14+D16</f>
        <v>0</v>
      </c>
      <c r="E23" s="243">
        <f t="shared" si="0"/>
        <v>-27519297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7983936</v>
      </c>
      <c r="D24" s="243">
        <f>+D15+D17</f>
        <v>0</v>
      </c>
      <c r="E24" s="243">
        <f t="shared" si="0"/>
        <v>-7983936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44860227</v>
      </c>
      <c r="D26" s="237">
        <v>61378613</v>
      </c>
      <c r="E26" s="237">
        <f t="shared" ref="E26:E36" si="2">D26-C26</f>
        <v>16518386</v>
      </c>
      <c r="F26" s="238">
        <f t="shared" ref="F26:F36" si="3">IF(C26=0,0,E26/C26)</f>
        <v>0.36821895707304381</v>
      </c>
    </row>
    <row r="27" spans="1:6" ht="20.25" customHeight="1" x14ac:dyDescent="0.3">
      <c r="A27" s="235">
        <v>2</v>
      </c>
      <c r="B27" s="236" t="s">
        <v>435</v>
      </c>
      <c r="C27" s="237">
        <v>15704736</v>
      </c>
      <c r="D27" s="237">
        <v>22992706</v>
      </c>
      <c r="E27" s="237">
        <f t="shared" si="2"/>
        <v>7287970</v>
      </c>
      <c r="F27" s="238">
        <f t="shared" si="3"/>
        <v>0.46406192374071109</v>
      </c>
    </row>
    <row r="28" spans="1:6" ht="20.25" customHeight="1" x14ac:dyDescent="0.3">
      <c r="A28" s="235">
        <v>3</v>
      </c>
      <c r="B28" s="236" t="s">
        <v>436</v>
      </c>
      <c r="C28" s="237">
        <v>28923359</v>
      </c>
      <c r="D28" s="237">
        <v>41270513</v>
      </c>
      <c r="E28" s="237">
        <f t="shared" si="2"/>
        <v>12347154</v>
      </c>
      <c r="F28" s="238">
        <f t="shared" si="3"/>
        <v>0.42689211858138609</v>
      </c>
    </row>
    <row r="29" spans="1:6" ht="20.25" customHeight="1" x14ac:dyDescent="0.3">
      <c r="A29" s="235">
        <v>4</v>
      </c>
      <c r="B29" s="236" t="s">
        <v>437</v>
      </c>
      <c r="C29" s="237">
        <v>9847837</v>
      </c>
      <c r="D29" s="237">
        <v>14400811</v>
      </c>
      <c r="E29" s="237">
        <f t="shared" si="2"/>
        <v>4552974</v>
      </c>
      <c r="F29" s="238">
        <f t="shared" si="3"/>
        <v>0.46233238832039969</v>
      </c>
    </row>
    <row r="30" spans="1:6" ht="20.25" customHeight="1" x14ac:dyDescent="0.3">
      <c r="A30" s="235">
        <v>5</v>
      </c>
      <c r="B30" s="236" t="s">
        <v>373</v>
      </c>
      <c r="C30" s="239">
        <v>1703</v>
      </c>
      <c r="D30" s="239">
        <v>2220</v>
      </c>
      <c r="E30" s="239">
        <f t="shared" si="2"/>
        <v>517</v>
      </c>
      <c r="F30" s="238">
        <f t="shared" si="3"/>
        <v>0.30358191426893716</v>
      </c>
    </row>
    <row r="31" spans="1:6" ht="20.25" customHeight="1" x14ac:dyDescent="0.3">
      <c r="A31" s="235">
        <v>6</v>
      </c>
      <c r="B31" s="236" t="s">
        <v>372</v>
      </c>
      <c r="C31" s="239">
        <v>7595</v>
      </c>
      <c r="D31" s="239">
        <v>10188</v>
      </c>
      <c r="E31" s="239">
        <f t="shared" si="2"/>
        <v>2593</v>
      </c>
      <c r="F31" s="238">
        <f t="shared" si="3"/>
        <v>0.34140882159315339</v>
      </c>
    </row>
    <row r="32" spans="1:6" ht="20.25" customHeight="1" x14ac:dyDescent="0.3">
      <c r="A32" s="235">
        <v>7</v>
      </c>
      <c r="B32" s="236" t="s">
        <v>438</v>
      </c>
      <c r="C32" s="239">
        <v>17974</v>
      </c>
      <c r="D32" s="239">
        <v>24377</v>
      </c>
      <c r="E32" s="239">
        <f t="shared" si="2"/>
        <v>6403</v>
      </c>
      <c r="F32" s="238">
        <f t="shared" si="3"/>
        <v>0.35623678646934459</v>
      </c>
    </row>
    <row r="33" spans="1:6" ht="20.25" customHeight="1" x14ac:dyDescent="0.3">
      <c r="A33" s="235">
        <v>8</v>
      </c>
      <c r="B33" s="236" t="s">
        <v>439</v>
      </c>
      <c r="C33" s="239">
        <v>13231</v>
      </c>
      <c r="D33" s="239">
        <v>17907</v>
      </c>
      <c r="E33" s="239">
        <f t="shared" si="2"/>
        <v>4676</v>
      </c>
      <c r="F33" s="238">
        <f t="shared" si="3"/>
        <v>0.35341244048068932</v>
      </c>
    </row>
    <row r="34" spans="1:6" ht="20.25" customHeight="1" x14ac:dyDescent="0.3">
      <c r="A34" s="235">
        <v>9</v>
      </c>
      <c r="B34" s="236" t="s">
        <v>440</v>
      </c>
      <c r="C34" s="239">
        <v>746</v>
      </c>
      <c r="D34" s="239">
        <v>1084</v>
      </c>
      <c r="E34" s="239">
        <f t="shared" si="2"/>
        <v>338</v>
      </c>
      <c r="F34" s="238">
        <f t="shared" si="3"/>
        <v>0.45308310991957107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73783586</v>
      </c>
      <c r="D35" s="243">
        <f>+D26+D28</f>
        <v>102649126</v>
      </c>
      <c r="E35" s="243">
        <f t="shared" si="2"/>
        <v>28865540</v>
      </c>
      <c r="F35" s="244">
        <f t="shared" si="3"/>
        <v>0.39121899008812067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25552573</v>
      </c>
      <c r="D36" s="243">
        <f>+D27+D29</f>
        <v>37393517</v>
      </c>
      <c r="E36" s="243">
        <f t="shared" si="2"/>
        <v>11840944</v>
      </c>
      <c r="F36" s="244">
        <f t="shared" si="3"/>
        <v>0.46339536922563535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7003164</v>
      </c>
      <c r="D86" s="237">
        <v>10712800</v>
      </c>
      <c r="E86" s="237">
        <f t="shared" ref="E86:E96" si="12">D86-C86</f>
        <v>3709636</v>
      </c>
      <c r="F86" s="238">
        <f t="shared" ref="F86:F96" si="13">IF(C86=0,0,E86/C86)</f>
        <v>0.52970857172558006</v>
      </c>
    </row>
    <row r="87" spans="1:6" ht="20.25" customHeight="1" x14ac:dyDescent="0.3">
      <c r="A87" s="235">
        <v>2</v>
      </c>
      <c r="B87" s="236" t="s">
        <v>435</v>
      </c>
      <c r="C87" s="237">
        <v>3359745</v>
      </c>
      <c r="D87" s="237">
        <v>4320921</v>
      </c>
      <c r="E87" s="237">
        <f t="shared" si="12"/>
        <v>961176</v>
      </c>
      <c r="F87" s="238">
        <f t="shared" si="13"/>
        <v>0.28608599759803199</v>
      </c>
    </row>
    <row r="88" spans="1:6" ht="20.25" customHeight="1" x14ac:dyDescent="0.3">
      <c r="A88" s="235">
        <v>3</v>
      </c>
      <c r="B88" s="236" t="s">
        <v>436</v>
      </c>
      <c r="C88" s="237">
        <v>4676850</v>
      </c>
      <c r="D88" s="237">
        <v>7791907</v>
      </c>
      <c r="E88" s="237">
        <f t="shared" si="12"/>
        <v>3115057</v>
      </c>
      <c r="F88" s="238">
        <f t="shared" si="13"/>
        <v>0.66605877887894627</v>
      </c>
    </row>
    <row r="89" spans="1:6" ht="20.25" customHeight="1" x14ac:dyDescent="0.3">
      <c r="A89" s="235">
        <v>4</v>
      </c>
      <c r="B89" s="236" t="s">
        <v>437</v>
      </c>
      <c r="C89" s="237">
        <v>1680786</v>
      </c>
      <c r="D89" s="237">
        <v>2561575</v>
      </c>
      <c r="E89" s="237">
        <f t="shared" si="12"/>
        <v>880789</v>
      </c>
      <c r="F89" s="238">
        <f t="shared" si="13"/>
        <v>0.52403399361965175</v>
      </c>
    </row>
    <row r="90" spans="1:6" ht="20.25" customHeight="1" x14ac:dyDescent="0.3">
      <c r="A90" s="235">
        <v>5</v>
      </c>
      <c r="B90" s="236" t="s">
        <v>373</v>
      </c>
      <c r="C90" s="239">
        <v>198</v>
      </c>
      <c r="D90" s="239">
        <v>368</v>
      </c>
      <c r="E90" s="239">
        <f t="shared" si="12"/>
        <v>170</v>
      </c>
      <c r="F90" s="238">
        <f t="shared" si="13"/>
        <v>0.85858585858585856</v>
      </c>
    </row>
    <row r="91" spans="1:6" ht="20.25" customHeight="1" x14ac:dyDescent="0.3">
      <c r="A91" s="235">
        <v>6</v>
      </c>
      <c r="B91" s="236" t="s">
        <v>372</v>
      </c>
      <c r="C91" s="239">
        <v>1371</v>
      </c>
      <c r="D91" s="239">
        <v>1882</v>
      </c>
      <c r="E91" s="239">
        <f t="shared" si="12"/>
        <v>511</v>
      </c>
      <c r="F91" s="238">
        <f t="shared" si="13"/>
        <v>0.37272064186725018</v>
      </c>
    </row>
    <row r="92" spans="1:6" ht="20.25" customHeight="1" x14ac:dyDescent="0.3">
      <c r="A92" s="235">
        <v>7</v>
      </c>
      <c r="B92" s="236" t="s">
        <v>438</v>
      </c>
      <c r="C92" s="239">
        <v>2139</v>
      </c>
      <c r="D92" s="239">
        <v>3859</v>
      </c>
      <c r="E92" s="239">
        <f t="shared" si="12"/>
        <v>1720</v>
      </c>
      <c r="F92" s="238">
        <f t="shared" si="13"/>
        <v>0.80411407199625995</v>
      </c>
    </row>
    <row r="93" spans="1:6" ht="20.25" customHeight="1" x14ac:dyDescent="0.3">
      <c r="A93" s="235">
        <v>8</v>
      </c>
      <c r="B93" s="236" t="s">
        <v>439</v>
      </c>
      <c r="C93" s="239">
        <v>2707</v>
      </c>
      <c r="D93" s="239">
        <v>4441</v>
      </c>
      <c r="E93" s="239">
        <f t="shared" si="12"/>
        <v>1734</v>
      </c>
      <c r="F93" s="238">
        <f t="shared" si="13"/>
        <v>0.64056150720354632</v>
      </c>
    </row>
    <row r="94" spans="1:6" ht="20.25" customHeight="1" x14ac:dyDescent="0.3">
      <c r="A94" s="235">
        <v>9</v>
      </c>
      <c r="B94" s="236" t="s">
        <v>440</v>
      </c>
      <c r="C94" s="239">
        <v>89</v>
      </c>
      <c r="D94" s="239">
        <v>178</v>
      </c>
      <c r="E94" s="239">
        <f t="shared" si="12"/>
        <v>89</v>
      </c>
      <c r="F94" s="238">
        <f t="shared" si="13"/>
        <v>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11680014</v>
      </c>
      <c r="D95" s="243">
        <f>+D86+D88</f>
        <v>18504707</v>
      </c>
      <c r="E95" s="243">
        <f t="shared" si="12"/>
        <v>6824693</v>
      </c>
      <c r="F95" s="244">
        <f t="shared" si="13"/>
        <v>0.58430520716841605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5040531</v>
      </c>
      <c r="D96" s="243">
        <f>+D87+D89</f>
        <v>6882496</v>
      </c>
      <c r="E96" s="243">
        <f t="shared" si="12"/>
        <v>1841965</v>
      </c>
      <c r="F96" s="244">
        <f t="shared" si="13"/>
        <v>0.36543074529250985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13430061</v>
      </c>
      <c r="D98" s="237">
        <v>22836579</v>
      </c>
      <c r="E98" s="237">
        <f t="shared" ref="E98:E108" si="14">D98-C98</f>
        <v>9406518</v>
      </c>
      <c r="F98" s="238">
        <f t="shared" ref="F98:F108" si="15">IF(C98=0,0,E98/C98)</f>
        <v>0.70040768988316582</v>
      </c>
    </row>
    <row r="99" spans="1:7" ht="20.25" customHeight="1" x14ac:dyDescent="0.3">
      <c r="A99" s="235">
        <v>2</v>
      </c>
      <c r="B99" s="236" t="s">
        <v>435</v>
      </c>
      <c r="C99" s="237">
        <v>6268343</v>
      </c>
      <c r="D99" s="237">
        <v>8221637</v>
      </c>
      <c r="E99" s="237">
        <f t="shared" si="14"/>
        <v>1953294</v>
      </c>
      <c r="F99" s="238">
        <f t="shared" si="15"/>
        <v>0.31161249472149177</v>
      </c>
    </row>
    <row r="100" spans="1:7" ht="20.25" customHeight="1" x14ac:dyDescent="0.3">
      <c r="A100" s="235">
        <v>3</v>
      </c>
      <c r="B100" s="236" t="s">
        <v>436</v>
      </c>
      <c r="C100" s="237">
        <v>11137960</v>
      </c>
      <c r="D100" s="237">
        <v>16892631</v>
      </c>
      <c r="E100" s="237">
        <f t="shared" si="14"/>
        <v>5754671</v>
      </c>
      <c r="F100" s="238">
        <f t="shared" si="15"/>
        <v>0.51667190401114749</v>
      </c>
    </row>
    <row r="101" spans="1:7" ht="20.25" customHeight="1" x14ac:dyDescent="0.3">
      <c r="A101" s="235">
        <v>4</v>
      </c>
      <c r="B101" s="236" t="s">
        <v>437</v>
      </c>
      <c r="C101" s="237">
        <v>4039629</v>
      </c>
      <c r="D101" s="237">
        <v>5682234</v>
      </c>
      <c r="E101" s="237">
        <f t="shared" si="14"/>
        <v>1642605</v>
      </c>
      <c r="F101" s="238">
        <f t="shared" si="15"/>
        <v>0.40662273688994705</v>
      </c>
    </row>
    <row r="102" spans="1:7" ht="20.25" customHeight="1" x14ac:dyDescent="0.3">
      <c r="A102" s="235">
        <v>5</v>
      </c>
      <c r="B102" s="236" t="s">
        <v>373</v>
      </c>
      <c r="C102" s="239">
        <v>472</v>
      </c>
      <c r="D102" s="239">
        <v>708</v>
      </c>
      <c r="E102" s="239">
        <f t="shared" si="14"/>
        <v>236</v>
      </c>
      <c r="F102" s="238">
        <f t="shared" si="15"/>
        <v>0.5</v>
      </c>
    </row>
    <row r="103" spans="1:7" ht="20.25" customHeight="1" x14ac:dyDescent="0.3">
      <c r="A103" s="235">
        <v>6</v>
      </c>
      <c r="B103" s="236" t="s">
        <v>372</v>
      </c>
      <c r="C103" s="239">
        <v>2498</v>
      </c>
      <c r="D103" s="239">
        <v>3681</v>
      </c>
      <c r="E103" s="239">
        <f t="shared" si="14"/>
        <v>1183</v>
      </c>
      <c r="F103" s="238">
        <f t="shared" si="15"/>
        <v>0.47357886309047237</v>
      </c>
    </row>
    <row r="104" spans="1:7" ht="20.25" customHeight="1" x14ac:dyDescent="0.3">
      <c r="A104" s="235">
        <v>7</v>
      </c>
      <c r="B104" s="236" t="s">
        <v>438</v>
      </c>
      <c r="C104" s="239">
        <v>5608</v>
      </c>
      <c r="D104" s="239">
        <v>8882</v>
      </c>
      <c r="E104" s="239">
        <f t="shared" si="14"/>
        <v>3274</v>
      </c>
      <c r="F104" s="238">
        <f t="shared" si="15"/>
        <v>0.58380884450784598</v>
      </c>
    </row>
    <row r="105" spans="1:7" ht="20.25" customHeight="1" x14ac:dyDescent="0.3">
      <c r="A105" s="235">
        <v>8</v>
      </c>
      <c r="B105" s="236" t="s">
        <v>439</v>
      </c>
      <c r="C105" s="239">
        <v>6111</v>
      </c>
      <c r="D105" s="239">
        <v>8450</v>
      </c>
      <c r="E105" s="239">
        <f t="shared" si="14"/>
        <v>2339</v>
      </c>
      <c r="F105" s="238">
        <f t="shared" si="15"/>
        <v>0.3827524136802487</v>
      </c>
    </row>
    <row r="106" spans="1:7" ht="20.25" customHeight="1" x14ac:dyDescent="0.3">
      <c r="A106" s="235">
        <v>9</v>
      </c>
      <c r="B106" s="236" t="s">
        <v>440</v>
      </c>
      <c r="C106" s="239">
        <v>232</v>
      </c>
      <c r="D106" s="239">
        <v>387</v>
      </c>
      <c r="E106" s="239">
        <f t="shared" si="14"/>
        <v>155</v>
      </c>
      <c r="F106" s="238">
        <f t="shared" si="15"/>
        <v>0.6681034482758621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24568021</v>
      </c>
      <c r="D107" s="243">
        <f>+D98+D100</f>
        <v>39729210</v>
      </c>
      <c r="E107" s="243">
        <f t="shared" si="14"/>
        <v>15161189</v>
      </c>
      <c r="F107" s="244">
        <f t="shared" si="15"/>
        <v>0.61711071477836976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10307972</v>
      </c>
      <c r="D108" s="243">
        <f>+D99+D101</f>
        <v>13903871</v>
      </c>
      <c r="E108" s="243">
        <f t="shared" si="14"/>
        <v>3595899</v>
      </c>
      <c r="F108" s="244">
        <f t="shared" si="15"/>
        <v>0.3488464074213628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81656061</v>
      </c>
      <c r="D112" s="243">
        <f t="shared" si="16"/>
        <v>94927992</v>
      </c>
      <c r="E112" s="243">
        <f t="shared" ref="E112:E122" si="17">D112-C112</f>
        <v>13271931</v>
      </c>
      <c r="F112" s="244">
        <f t="shared" ref="F112:F122" si="18">IF(C112=0,0,E112/C112)</f>
        <v>0.16253454841521195</v>
      </c>
    </row>
    <row r="113" spans="1:6" ht="20.25" customHeight="1" x14ac:dyDescent="0.3">
      <c r="A113" s="249"/>
      <c r="B113" s="250" t="s">
        <v>461</v>
      </c>
      <c r="C113" s="243">
        <f t="shared" si="16"/>
        <v>30658124</v>
      </c>
      <c r="D113" s="243">
        <f t="shared" si="16"/>
        <v>35535264</v>
      </c>
      <c r="E113" s="243">
        <f t="shared" si="17"/>
        <v>4877140</v>
      </c>
      <c r="F113" s="244">
        <f t="shared" si="18"/>
        <v>0.15908148848246553</v>
      </c>
    </row>
    <row r="114" spans="1:6" ht="20.25" customHeight="1" x14ac:dyDescent="0.3">
      <c r="A114" s="249"/>
      <c r="B114" s="250" t="s">
        <v>462</v>
      </c>
      <c r="C114" s="243">
        <f t="shared" si="16"/>
        <v>55894857</v>
      </c>
      <c r="D114" s="243">
        <f t="shared" si="16"/>
        <v>65955051</v>
      </c>
      <c r="E114" s="243">
        <f t="shared" si="17"/>
        <v>10060194</v>
      </c>
      <c r="F114" s="244">
        <f t="shared" si="18"/>
        <v>0.17998425150278138</v>
      </c>
    </row>
    <row r="115" spans="1:6" ht="20.25" customHeight="1" x14ac:dyDescent="0.3">
      <c r="A115" s="249"/>
      <c r="B115" s="250" t="s">
        <v>463</v>
      </c>
      <c r="C115" s="243">
        <f t="shared" si="16"/>
        <v>18226888</v>
      </c>
      <c r="D115" s="243">
        <f t="shared" si="16"/>
        <v>22644620</v>
      </c>
      <c r="E115" s="243">
        <f t="shared" si="17"/>
        <v>4417732</v>
      </c>
      <c r="F115" s="244">
        <f t="shared" si="18"/>
        <v>0.24237445251213482</v>
      </c>
    </row>
    <row r="116" spans="1:6" ht="20.25" customHeight="1" x14ac:dyDescent="0.3">
      <c r="A116" s="249"/>
      <c r="B116" s="250" t="s">
        <v>464</v>
      </c>
      <c r="C116" s="252">
        <f t="shared" si="16"/>
        <v>2781</v>
      </c>
      <c r="D116" s="252">
        <f t="shared" si="16"/>
        <v>3296</v>
      </c>
      <c r="E116" s="252">
        <f t="shared" si="17"/>
        <v>515</v>
      </c>
      <c r="F116" s="244">
        <f t="shared" si="18"/>
        <v>0.18518518518518517</v>
      </c>
    </row>
    <row r="117" spans="1:6" ht="20.25" customHeight="1" x14ac:dyDescent="0.3">
      <c r="A117" s="249"/>
      <c r="B117" s="250" t="s">
        <v>465</v>
      </c>
      <c r="C117" s="252">
        <f t="shared" si="16"/>
        <v>14477</v>
      </c>
      <c r="D117" s="252">
        <f t="shared" si="16"/>
        <v>15751</v>
      </c>
      <c r="E117" s="252">
        <f t="shared" si="17"/>
        <v>1274</v>
      </c>
      <c r="F117" s="244">
        <f t="shared" si="18"/>
        <v>8.8001657802030814E-2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32205</v>
      </c>
      <c r="D118" s="252">
        <f t="shared" si="16"/>
        <v>37118</v>
      </c>
      <c r="E118" s="252">
        <f t="shared" si="17"/>
        <v>4913</v>
      </c>
      <c r="F118" s="244">
        <f t="shared" si="18"/>
        <v>0.15255395124980592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26786</v>
      </c>
      <c r="D119" s="252">
        <f t="shared" si="16"/>
        <v>30798</v>
      </c>
      <c r="E119" s="252">
        <f t="shared" si="17"/>
        <v>4012</v>
      </c>
      <c r="F119" s="244">
        <f t="shared" si="18"/>
        <v>0.14977973568281938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1274</v>
      </c>
      <c r="D120" s="252">
        <f t="shared" si="16"/>
        <v>1649</v>
      </c>
      <c r="E120" s="252">
        <f t="shared" si="17"/>
        <v>375</v>
      </c>
      <c r="F120" s="244">
        <f t="shared" si="18"/>
        <v>0.29434850863422291</v>
      </c>
    </row>
    <row r="121" spans="1:6" ht="39.950000000000003" customHeight="1" x14ac:dyDescent="0.3">
      <c r="A121" s="249"/>
      <c r="B121" s="242" t="s">
        <v>441</v>
      </c>
      <c r="C121" s="243">
        <f>+C112+C114</f>
        <v>137550918</v>
      </c>
      <c r="D121" s="243">
        <f>+D112+D114</f>
        <v>160883043</v>
      </c>
      <c r="E121" s="243">
        <f t="shared" si="17"/>
        <v>23332125</v>
      </c>
      <c r="F121" s="244">
        <f t="shared" si="18"/>
        <v>0.16962536738577055</v>
      </c>
    </row>
    <row r="122" spans="1:6" ht="39.950000000000003" customHeight="1" x14ac:dyDescent="0.3">
      <c r="A122" s="249"/>
      <c r="B122" s="242" t="s">
        <v>470</v>
      </c>
      <c r="C122" s="243">
        <f>+C113+C115</f>
        <v>48885012</v>
      </c>
      <c r="D122" s="243">
        <f>+D113+D115</f>
        <v>58179884</v>
      </c>
      <c r="E122" s="243">
        <f t="shared" si="17"/>
        <v>9294872</v>
      </c>
      <c r="F122" s="244">
        <f t="shared" si="18"/>
        <v>0.19013745971873752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activeCell="B35" sqref="B35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4836967</v>
      </c>
      <c r="D13" s="23">
        <v>5638104</v>
      </c>
      <c r="E13" s="23">
        <f t="shared" ref="E13:E22" si="0">D13-C13</f>
        <v>801137</v>
      </c>
      <c r="F13" s="24">
        <f t="shared" ref="F13:F22" si="1">IF(C13=0,0,E13/C13)</f>
        <v>0.16562796479694816</v>
      </c>
    </row>
    <row r="14" spans="1:8" ht="24" customHeight="1" x14ac:dyDescent="0.2">
      <c r="A14" s="21">
        <v>2</v>
      </c>
      <c r="B14" s="22" t="s">
        <v>17</v>
      </c>
      <c r="C14" s="23">
        <v>5286908</v>
      </c>
      <c r="D14" s="23">
        <v>11027121</v>
      </c>
      <c r="E14" s="23">
        <f t="shared" si="0"/>
        <v>5740213</v>
      </c>
      <c r="F14" s="24">
        <f t="shared" si="1"/>
        <v>1.0857410418339037</v>
      </c>
    </row>
    <row r="15" spans="1:8" ht="35.1" customHeight="1" x14ac:dyDescent="0.2">
      <c r="A15" s="21">
        <v>3</v>
      </c>
      <c r="B15" s="22" t="s">
        <v>18</v>
      </c>
      <c r="C15" s="23">
        <v>26094375</v>
      </c>
      <c r="D15" s="23">
        <v>23910497</v>
      </c>
      <c r="E15" s="23">
        <f t="shared" si="0"/>
        <v>-2183878</v>
      </c>
      <c r="F15" s="24">
        <f t="shared" si="1"/>
        <v>-8.3691523556322006E-2</v>
      </c>
    </row>
    <row r="16" spans="1:8" ht="35.1" customHeight="1" x14ac:dyDescent="0.2">
      <c r="A16" s="21">
        <v>4</v>
      </c>
      <c r="B16" s="22" t="s">
        <v>19</v>
      </c>
      <c r="C16" s="23">
        <v>5185038</v>
      </c>
      <c r="D16" s="23">
        <v>10424098</v>
      </c>
      <c r="E16" s="23">
        <f t="shared" si="0"/>
        <v>5239060</v>
      </c>
      <c r="F16" s="24">
        <f t="shared" si="1"/>
        <v>1.0104188243171988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585139</v>
      </c>
      <c r="D19" s="23">
        <v>618412</v>
      </c>
      <c r="E19" s="23">
        <f t="shared" si="0"/>
        <v>33273</v>
      </c>
      <c r="F19" s="24">
        <f t="shared" si="1"/>
        <v>5.686341194143614E-2</v>
      </c>
    </row>
    <row r="20" spans="1:11" ht="24" customHeight="1" x14ac:dyDescent="0.2">
      <c r="A20" s="21">
        <v>8</v>
      </c>
      <c r="B20" s="22" t="s">
        <v>23</v>
      </c>
      <c r="C20" s="23">
        <v>1268162</v>
      </c>
      <c r="D20" s="23">
        <v>975496</v>
      </c>
      <c r="E20" s="23">
        <f t="shared" si="0"/>
        <v>-292666</v>
      </c>
      <c r="F20" s="24">
        <f t="shared" si="1"/>
        <v>-0.2307796637968966</v>
      </c>
    </row>
    <row r="21" spans="1:11" ht="24" customHeight="1" x14ac:dyDescent="0.2">
      <c r="A21" s="21">
        <v>9</v>
      </c>
      <c r="B21" s="22" t="s">
        <v>24</v>
      </c>
      <c r="C21" s="23">
        <v>6669542</v>
      </c>
      <c r="D21" s="23">
        <v>5448293</v>
      </c>
      <c r="E21" s="23">
        <f t="shared" si="0"/>
        <v>-1221249</v>
      </c>
      <c r="F21" s="24">
        <f t="shared" si="1"/>
        <v>-0.18310837535770821</v>
      </c>
    </row>
    <row r="22" spans="1:11" ht="24" customHeight="1" x14ac:dyDescent="0.25">
      <c r="A22" s="25"/>
      <c r="B22" s="26" t="s">
        <v>25</v>
      </c>
      <c r="C22" s="27">
        <f>SUM(C13:C21)</f>
        <v>49926131</v>
      </c>
      <c r="D22" s="27">
        <f>SUM(D13:D21)</f>
        <v>58042021</v>
      </c>
      <c r="E22" s="27">
        <f t="shared" si="0"/>
        <v>8115890</v>
      </c>
      <c r="F22" s="28">
        <f t="shared" si="1"/>
        <v>0.1625579598787657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54638548</v>
      </c>
      <c r="D25" s="23">
        <v>70154812</v>
      </c>
      <c r="E25" s="23">
        <f>D25-C25</f>
        <v>15516264</v>
      </c>
      <c r="F25" s="24">
        <f>IF(C25=0,0,E25/C25)</f>
        <v>0.28398016726213149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54638548</v>
      </c>
      <c r="D29" s="27">
        <f>SUM(D25:D28)</f>
        <v>70154812</v>
      </c>
      <c r="E29" s="27">
        <f>D29-C29</f>
        <v>15516264</v>
      </c>
      <c r="F29" s="28">
        <f>IF(C29=0,0,E29/C29)</f>
        <v>0.28398016726213149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85444221</v>
      </c>
      <c r="D32" s="23">
        <v>93335551</v>
      </c>
      <c r="E32" s="23">
        <f>D32-C32</f>
        <v>7891330</v>
      </c>
      <c r="F32" s="24">
        <f>IF(C32=0,0,E32/C32)</f>
        <v>9.2356509400442655E-2</v>
      </c>
    </row>
    <row r="33" spans="1:8" ht="24" customHeight="1" x14ac:dyDescent="0.2">
      <c r="A33" s="21">
        <v>7</v>
      </c>
      <c r="B33" s="22" t="s">
        <v>35</v>
      </c>
      <c r="C33" s="23">
        <v>11431861</v>
      </c>
      <c r="D33" s="23">
        <v>22815093</v>
      </c>
      <c r="E33" s="23">
        <f>D33-C33</f>
        <v>11383232</v>
      </c>
      <c r="F33" s="24">
        <f>IF(C33=0,0,E33/C33)</f>
        <v>0.99574618690692618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165248839</v>
      </c>
      <c r="D36" s="23">
        <v>170575805</v>
      </c>
      <c r="E36" s="23">
        <f>D36-C36</f>
        <v>5326966</v>
      </c>
      <c r="F36" s="24">
        <f>IF(C36=0,0,E36/C36)</f>
        <v>3.2236026783825089E-2</v>
      </c>
    </row>
    <row r="37" spans="1:8" ht="24" customHeight="1" x14ac:dyDescent="0.2">
      <c r="A37" s="21">
        <v>2</v>
      </c>
      <c r="B37" s="22" t="s">
        <v>39</v>
      </c>
      <c r="C37" s="23">
        <v>69251951</v>
      </c>
      <c r="D37" s="23">
        <v>78194916</v>
      </c>
      <c r="E37" s="23">
        <f>D37-C37</f>
        <v>8942965</v>
      </c>
      <c r="F37" s="23">
        <f>IF(C37=0,0,E37/C37)</f>
        <v>0.12913665060497717</v>
      </c>
    </row>
    <row r="38" spans="1:8" ht="24" customHeight="1" x14ac:dyDescent="0.25">
      <c r="A38" s="25"/>
      <c r="B38" s="26" t="s">
        <v>40</v>
      </c>
      <c r="C38" s="27">
        <f>C36-C37</f>
        <v>95996888</v>
      </c>
      <c r="D38" s="27">
        <f>D36-D37</f>
        <v>92380889</v>
      </c>
      <c r="E38" s="27">
        <f>D38-C38</f>
        <v>-3615999</v>
      </c>
      <c r="F38" s="28">
        <f>IF(C38=0,0,E38/C38)</f>
        <v>-3.7667877317023028E-2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1846645</v>
      </c>
      <c r="D40" s="23">
        <v>2272562</v>
      </c>
      <c r="E40" s="23">
        <f>D40-C40</f>
        <v>425917</v>
      </c>
      <c r="F40" s="24">
        <f>IF(C40=0,0,E40/C40)</f>
        <v>0.23064368083741055</v>
      </c>
    </row>
    <row r="41" spans="1:8" ht="24" customHeight="1" x14ac:dyDescent="0.25">
      <c r="A41" s="25"/>
      <c r="B41" s="26" t="s">
        <v>42</v>
      </c>
      <c r="C41" s="27">
        <f>+C38+C40</f>
        <v>97843533</v>
      </c>
      <c r="D41" s="27">
        <f>+D38+D40</f>
        <v>94653451</v>
      </c>
      <c r="E41" s="27">
        <f>D41-C41</f>
        <v>-3190082</v>
      </c>
      <c r="F41" s="28">
        <f>IF(C41=0,0,E41/C41)</f>
        <v>-3.2603912616278888E-2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299284294</v>
      </c>
      <c r="D43" s="27">
        <f>D22+D29+D31+D32+D33+D41</f>
        <v>339000928</v>
      </c>
      <c r="E43" s="27">
        <f>D43-C43</f>
        <v>39716634</v>
      </c>
      <c r="F43" s="28">
        <f>IF(C43=0,0,E43/C43)</f>
        <v>0.13270537344001085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22137072</v>
      </c>
      <c r="D49" s="23">
        <v>27297994</v>
      </c>
      <c r="E49" s="23">
        <f t="shared" ref="E49:E56" si="2">D49-C49</f>
        <v>5160922</v>
      </c>
      <c r="F49" s="24">
        <f t="shared" ref="F49:F56" si="3">IF(C49=0,0,E49/C49)</f>
        <v>0.23313480662663968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13132660</v>
      </c>
      <c r="D50" s="23">
        <v>12574021</v>
      </c>
      <c r="E50" s="23">
        <f t="shared" si="2"/>
        <v>-558639</v>
      </c>
      <c r="F50" s="24">
        <f t="shared" si="3"/>
        <v>-4.2538145356690878E-2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413822</v>
      </c>
      <c r="D51" s="23">
        <v>1654459</v>
      </c>
      <c r="E51" s="23">
        <f t="shared" si="2"/>
        <v>1240637</v>
      </c>
      <c r="F51" s="24">
        <f t="shared" si="3"/>
        <v>2.997996723228828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2260000</v>
      </c>
      <c r="D53" s="23">
        <v>2375000</v>
      </c>
      <c r="E53" s="23">
        <f t="shared" si="2"/>
        <v>115000</v>
      </c>
      <c r="F53" s="24">
        <f t="shared" si="3"/>
        <v>5.0884955752212392E-2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3222230</v>
      </c>
      <c r="D54" s="23">
        <v>4246490</v>
      </c>
      <c r="E54" s="23">
        <f t="shared" si="2"/>
        <v>1024260</v>
      </c>
      <c r="F54" s="24">
        <f t="shared" si="3"/>
        <v>0.31787302582373078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743628</v>
      </c>
      <c r="D55" s="23">
        <v>623163</v>
      </c>
      <c r="E55" s="23">
        <f t="shared" si="2"/>
        <v>-120465</v>
      </c>
      <c r="F55" s="24">
        <f t="shared" si="3"/>
        <v>-0.16199632074101566</v>
      </c>
    </row>
    <row r="56" spans="1:6" ht="24" customHeight="1" x14ac:dyDescent="0.25">
      <c r="A56" s="25"/>
      <c r="B56" s="26" t="s">
        <v>54</v>
      </c>
      <c r="C56" s="27">
        <f>SUM(C49:C55)</f>
        <v>41909412</v>
      </c>
      <c r="D56" s="27">
        <f>SUM(D49:D55)</f>
        <v>48771127</v>
      </c>
      <c r="E56" s="27">
        <f t="shared" si="2"/>
        <v>6861715</v>
      </c>
      <c r="F56" s="28">
        <f t="shared" si="3"/>
        <v>0.16372730306977346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32943820</v>
      </c>
      <c r="D59" s="23">
        <v>30531457</v>
      </c>
      <c r="E59" s="23">
        <f>D59-C59</f>
        <v>-2412363</v>
      </c>
      <c r="F59" s="24">
        <f>IF(C59=0,0,E59/C59)</f>
        <v>-7.3226571781900215E-2</v>
      </c>
    </row>
    <row r="60" spans="1:6" ht="24" customHeight="1" x14ac:dyDescent="0.2">
      <c r="A60" s="21">
        <v>2</v>
      </c>
      <c r="B60" s="22" t="s">
        <v>57</v>
      </c>
      <c r="C60" s="23">
        <v>5469214</v>
      </c>
      <c r="D60" s="23">
        <v>9171356</v>
      </c>
      <c r="E60" s="23">
        <f>D60-C60</f>
        <v>3702142</v>
      </c>
      <c r="F60" s="24">
        <f>IF(C60=0,0,E60/C60)</f>
        <v>0.67690567602584206</v>
      </c>
    </row>
    <row r="61" spans="1:6" ht="24" customHeight="1" x14ac:dyDescent="0.25">
      <c r="A61" s="25"/>
      <c r="B61" s="26" t="s">
        <v>58</v>
      </c>
      <c r="C61" s="27">
        <f>SUM(C59:C60)</f>
        <v>38413034</v>
      </c>
      <c r="D61" s="27">
        <f>SUM(D59:D60)</f>
        <v>39702813</v>
      </c>
      <c r="E61" s="27">
        <f>D61-C61</f>
        <v>1289779</v>
      </c>
      <c r="F61" s="28">
        <f>IF(C61=0,0,E61/C61)</f>
        <v>3.3576597984944383E-2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14507634</v>
      </c>
      <c r="D63" s="23">
        <v>15664920</v>
      </c>
      <c r="E63" s="23">
        <f>D63-C63</f>
        <v>1157286</v>
      </c>
      <c r="F63" s="24">
        <f>IF(C63=0,0,E63/C63)</f>
        <v>7.9770829619771222E-2</v>
      </c>
    </row>
    <row r="64" spans="1:6" ht="24" customHeight="1" x14ac:dyDescent="0.2">
      <c r="A64" s="21">
        <v>4</v>
      </c>
      <c r="B64" s="22" t="s">
        <v>60</v>
      </c>
      <c r="C64" s="23">
        <v>19846945</v>
      </c>
      <c r="D64" s="23">
        <v>20453010</v>
      </c>
      <c r="E64" s="23">
        <f>D64-C64</f>
        <v>606065</v>
      </c>
      <c r="F64" s="24">
        <f>IF(C64=0,0,E64/C64)</f>
        <v>3.0536941579673849E-2</v>
      </c>
    </row>
    <row r="65" spans="1:6" ht="24" customHeight="1" x14ac:dyDescent="0.25">
      <c r="A65" s="25"/>
      <c r="B65" s="26" t="s">
        <v>61</v>
      </c>
      <c r="C65" s="27">
        <f>SUM(C61:C64)</f>
        <v>72767613</v>
      </c>
      <c r="D65" s="27">
        <f>SUM(D61:D64)</f>
        <v>75820743</v>
      </c>
      <c r="E65" s="27">
        <f>D65-C65</f>
        <v>3053130</v>
      </c>
      <c r="F65" s="28">
        <f>IF(C65=0,0,E65/C65)</f>
        <v>4.1957264696864525E-2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98946091</v>
      </c>
      <c r="D70" s="23">
        <v>109366904</v>
      </c>
      <c r="E70" s="23">
        <f>D70-C70</f>
        <v>10420813</v>
      </c>
      <c r="F70" s="24">
        <f>IF(C70=0,0,E70/C70)</f>
        <v>0.10531808679536415</v>
      </c>
    </row>
    <row r="71" spans="1:6" ht="24" customHeight="1" x14ac:dyDescent="0.2">
      <c r="A71" s="21">
        <v>2</v>
      </c>
      <c r="B71" s="22" t="s">
        <v>65</v>
      </c>
      <c r="C71" s="23">
        <v>16312385</v>
      </c>
      <c r="D71" s="23">
        <v>19020035</v>
      </c>
      <c r="E71" s="23">
        <f>D71-C71</f>
        <v>2707650</v>
      </c>
      <c r="F71" s="24">
        <f>IF(C71=0,0,E71/C71)</f>
        <v>0.16598737707576175</v>
      </c>
    </row>
    <row r="72" spans="1:6" ht="24" customHeight="1" x14ac:dyDescent="0.2">
      <c r="A72" s="21">
        <v>3</v>
      </c>
      <c r="B72" s="22" t="s">
        <v>66</v>
      </c>
      <c r="C72" s="23">
        <v>69348793</v>
      </c>
      <c r="D72" s="23">
        <v>86022119</v>
      </c>
      <c r="E72" s="23">
        <f>D72-C72</f>
        <v>16673326</v>
      </c>
      <c r="F72" s="24">
        <f>IF(C72=0,0,E72/C72)</f>
        <v>0.24042705400799116</v>
      </c>
    </row>
    <row r="73" spans="1:6" ht="24" customHeight="1" x14ac:dyDescent="0.25">
      <c r="A73" s="21"/>
      <c r="B73" s="26" t="s">
        <v>67</v>
      </c>
      <c r="C73" s="27">
        <f>SUM(C70:C72)</f>
        <v>184607269</v>
      </c>
      <c r="D73" s="27">
        <f>SUM(D70:D72)</f>
        <v>214409058</v>
      </c>
      <c r="E73" s="27">
        <f>D73-C73</f>
        <v>29801789</v>
      </c>
      <c r="F73" s="28">
        <f>IF(C73=0,0,E73/C73)</f>
        <v>0.161433453630691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299284294</v>
      </c>
      <c r="D75" s="27">
        <f>D56+D65+D67+D73</f>
        <v>339000928</v>
      </c>
      <c r="E75" s="27">
        <f>D75-C75</f>
        <v>39716634</v>
      </c>
      <c r="F75" s="28">
        <f>IF(C75=0,0,E75/C75)</f>
        <v>0.13270537344001085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B35" sqref="B35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415668643</v>
      </c>
      <c r="D12" s="51">
        <v>448026177</v>
      </c>
      <c r="E12" s="51">
        <f t="shared" ref="E12:E19" si="0">D12-C12</f>
        <v>32357534</v>
      </c>
      <c r="F12" s="70">
        <f t="shared" ref="F12:F19" si="1">IF(C12=0,0,E12/C12)</f>
        <v>7.7844539262010196E-2</v>
      </c>
    </row>
    <row r="13" spans="1:8" ht="23.1" customHeight="1" x14ac:dyDescent="0.2">
      <c r="A13" s="25">
        <v>2</v>
      </c>
      <c r="B13" s="48" t="s">
        <v>72</v>
      </c>
      <c r="C13" s="51">
        <v>198691457</v>
      </c>
      <c r="D13" s="51">
        <v>215758710</v>
      </c>
      <c r="E13" s="51">
        <f t="shared" si="0"/>
        <v>17067253</v>
      </c>
      <c r="F13" s="70">
        <f t="shared" si="1"/>
        <v>8.5898272918699267E-2</v>
      </c>
    </row>
    <row r="14" spans="1:8" ht="23.1" customHeight="1" x14ac:dyDescent="0.2">
      <c r="A14" s="25">
        <v>3</v>
      </c>
      <c r="B14" s="48" t="s">
        <v>73</v>
      </c>
      <c r="C14" s="51">
        <v>5270065</v>
      </c>
      <c r="D14" s="51">
        <v>1532533</v>
      </c>
      <c r="E14" s="51">
        <f t="shared" si="0"/>
        <v>-3737532</v>
      </c>
      <c r="F14" s="70">
        <f t="shared" si="1"/>
        <v>-0.70920036090636451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7536263</v>
      </c>
      <c r="E15" s="51">
        <f t="shared" si="0"/>
        <v>7536263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211707121</v>
      </c>
      <c r="D16" s="27">
        <f>D12-D13-D14-D15</f>
        <v>223198671</v>
      </c>
      <c r="E16" s="27">
        <f t="shared" si="0"/>
        <v>11491550</v>
      </c>
      <c r="F16" s="28">
        <f t="shared" si="1"/>
        <v>5.4280413175143032E-2</v>
      </c>
    </row>
    <row r="17" spans="1:7" ht="23.1" customHeight="1" x14ac:dyDescent="0.2">
      <c r="A17" s="25">
        <v>5</v>
      </c>
      <c r="B17" s="48" t="s">
        <v>76</v>
      </c>
      <c r="C17" s="51">
        <v>17984474</v>
      </c>
      <c r="D17" s="51">
        <v>18402062</v>
      </c>
      <c r="E17" s="51">
        <f t="shared" si="0"/>
        <v>417588</v>
      </c>
      <c r="F17" s="70">
        <f t="shared" si="1"/>
        <v>2.3219361322438455E-2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12119958</v>
      </c>
      <c r="D18" s="51">
        <v>12554321</v>
      </c>
      <c r="E18" s="51">
        <f t="shared" si="0"/>
        <v>434363</v>
      </c>
      <c r="F18" s="70">
        <f t="shared" si="1"/>
        <v>3.5838655546496116E-2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241811553</v>
      </c>
      <c r="D19" s="27">
        <f>SUM(D16:D18)</f>
        <v>254155054</v>
      </c>
      <c r="E19" s="27">
        <f t="shared" si="0"/>
        <v>12343501</v>
      </c>
      <c r="F19" s="28">
        <f t="shared" si="1"/>
        <v>5.1045952299888668E-2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125134807</v>
      </c>
      <c r="D22" s="51">
        <v>134723998</v>
      </c>
      <c r="E22" s="51">
        <f t="shared" ref="E22:E31" si="2">D22-C22</f>
        <v>9589191</v>
      </c>
      <c r="F22" s="70">
        <f t="shared" ref="F22:F31" si="3">IF(C22=0,0,E22/C22)</f>
        <v>7.6630884962327075E-2</v>
      </c>
    </row>
    <row r="23" spans="1:7" ht="23.1" customHeight="1" x14ac:dyDescent="0.2">
      <c r="A23" s="25">
        <v>2</v>
      </c>
      <c r="B23" s="48" t="s">
        <v>81</v>
      </c>
      <c r="C23" s="51">
        <v>25579146</v>
      </c>
      <c r="D23" s="51">
        <v>33095115</v>
      </c>
      <c r="E23" s="51">
        <f t="shared" si="2"/>
        <v>7515969</v>
      </c>
      <c r="F23" s="70">
        <f t="shared" si="3"/>
        <v>0.29383189728069892</v>
      </c>
    </row>
    <row r="24" spans="1:7" ht="23.1" customHeight="1" x14ac:dyDescent="0.2">
      <c r="A24" s="25">
        <v>3</v>
      </c>
      <c r="B24" s="48" t="s">
        <v>82</v>
      </c>
      <c r="C24" s="51">
        <v>7117547</v>
      </c>
      <c r="D24" s="51">
        <v>8596301</v>
      </c>
      <c r="E24" s="51">
        <f t="shared" si="2"/>
        <v>1478754</v>
      </c>
      <c r="F24" s="70">
        <f t="shared" si="3"/>
        <v>0.20776174713001544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15523402</v>
      </c>
      <c r="D25" s="51">
        <v>17815423</v>
      </c>
      <c r="E25" s="51">
        <f t="shared" si="2"/>
        <v>2292021</v>
      </c>
      <c r="F25" s="70">
        <f t="shared" si="3"/>
        <v>0.14764940056309822</v>
      </c>
    </row>
    <row r="26" spans="1:7" ht="23.1" customHeight="1" x14ac:dyDescent="0.2">
      <c r="A26" s="25">
        <v>5</v>
      </c>
      <c r="B26" s="48" t="s">
        <v>84</v>
      </c>
      <c r="C26" s="51">
        <v>9942819</v>
      </c>
      <c r="D26" s="51">
        <v>10396136</v>
      </c>
      <c r="E26" s="51">
        <f t="shared" si="2"/>
        <v>453317</v>
      </c>
      <c r="F26" s="70">
        <f t="shared" si="3"/>
        <v>4.5592401913380903E-2</v>
      </c>
    </row>
    <row r="27" spans="1:7" ht="23.1" customHeight="1" x14ac:dyDescent="0.2">
      <c r="A27" s="25">
        <v>6</v>
      </c>
      <c r="B27" s="48" t="s">
        <v>85</v>
      </c>
      <c r="C27" s="51">
        <v>5094187</v>
      </c>
      <c r="D27" s="51">
        <v>4379254</v>
      </c>
      <c r="E27" s="51">
        <f t="shared" si="2"/>
        <v>-714933</v>
      </c>
      <c r="F27" s="70">
        <f t="shared" si="3"/>
        <v>-0.14034290456946319</v>
      </c>
    </row>
    <row r="28" spans="1:7" ht="23.1" customHeight="1" x14ac:dyDescent="0.2">
      <c r="A28" s="25">
        <v>7</v>
      </c>
      <c r="B28" s="48" t="s">
        <v>86</v>
      </c>
      <c r="C28" s="51">
        <v>1922272</v>
      </c>
      <c r="D28" s="51">
        <v>1396384</v>
      </c>
      <c r="E28" s="51">
        <f t="shared" si="2"/>
        <v>-525888</v>
      </c>
      <c r="F28" s="70">
        <f t="shared" si="3"/>
        <v>-0.27357626808276875</v>
      </c>
    </row>
    <row r="29" spans="1:7" ht="23.1" customHeight="1" x14ac:dyDescent="0.2">
      <c r="A29" s="25">
        <v>8</v>
      </c>
      <c r="B29" s="48" t="s">
        <v>87</v>
      </c>
      <c r="C29" s="51">
        <v>7707984</v>
      </c>
      <c r="D29" s="51">
        <v>7377252</v>
      </c>
      <c r="E29" s="51">
        <f t="shared" si="2"/>
        <v>-330732</v>
      </c>
      <c r="F29" s="70">
        <f t="shared" si="3"/>
        <v>-4.2907717504343551E-2</v>
      </c>
    </row>
    <row r="30" spans="1:7" ht="23.1" customHeight="1" x14ac:dyDescent="0.2">
      <c r="A30" s="25">
        <v>9</v>
      </c>
      <c r="B30" s="48" t="s">
        <v>88</v>
      </c>
      <c r="C30" s="51">
        <v>46639608</v>
      </c>
      <c r="D30" s="51">
        <v>51053674</v>
      </c>
      <c r="E30" s="51">
        <f t="shared" si="2"/>
        <v>4414066</v>
      </c>
      <c r="F30" s="70">
        <f t="shared" si="3"/>
        <v>9.4642004709816596E-2</v>
      </c>
    </row>
    <row r="31" spans="1:7" ht="23.1" customHeight="1" x14ac:dyDescent="0.25">
      <c r="A31" s="29"/>
      <c r="B31" s="71" t="s">
        <v>89</v>
      </c>
      <c r="C31" s="27">
        <f>SUM(C22:C30)</f>
        <v>244661772</v>
      </c>
      <c r="D31" s="27">
        <f>SUM(D22:D30)</f>
        <v>268833537</v>
      </c>
      <c r="E31" s="27">
        <f t="shared" si="2"/>
        <v>24171765</v>
      </c>
      <c r="F31" s="28">
        <f t="shared" si="3"/>
        <v>9.8796656308039812E-2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-2850219</v>
      </c>
      <c r="D33" s="27">
        <f>+D19-D31</f>
        <v>-14678483</v>
      </c>
      <c r="E33" s="27">
        <f>D33-C33</f>
        <v>-11828264</v>
      </c>
      <c r="F33" s="28">
        <f>IF(C33=0,0,E33/C33)</f>
        <v>4.1499491793437624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1875836</v>
      </c>
      <c r="D36" s="51">
        <v>14123287</v>
      </c>
      <c r="E36" s="51">
        <f>D36-C36</f>
        <v>12247451</v>
      </c>
      <c r="F36" s="70">
        <f>IF(C36=0,0,E36/C36)</f>
        <v>6.5290627752106261</v>
      </c>
    </row>
    <row r="37" spans="1:6" ht="23.1" customHeight="1" x14ac:dyDescent="0.2">
      <c r="A37" s="44">
        <v>2</v>
      </c>
      <c r="B37" s="48" t="s">
        <v>93</v>
      </c>
      <c r="C37" s="51">
        <v>2958651</v>
      </c>
      <c r="D37" s="51">
        <v>7233069</v>
      </c>
      <c r="E37" s="51">
        <f>D37-C37</f>
        <v>4274418</v>
      </c>
      <c r="F37" s="70">
        <f>IF(C37=0,0,E37/C37)</f>
        <v>1.4447185558553544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4834487</v>
      </c>
      <c r="D39" s="27">
        <f>SUM(D36:D38)</f>
        <v>21356356</v>
      </c>
      <c r="E39" s="27">
        <f>D39-C39</f>
        <v>16521869</v>
      </c>
      <c r="F39" s="28">
        <f>IF(C39=0,0,E39/C39)</f>
        <v>3.4175020017635789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1984268</v>
      </c>
      <c r="D41" s="27">
        <f>D33+D39</f>
        <v>6677873</v>
      </c>
      <c r="E41" s="27">
        <f>D41-C41</f>
        <v>4693605</v>
      </c>
      <c r="F41" s="28">
        <f>IF(C41=0,0,E41/C41)</f>
        <v>2.3654088056653637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1984268</v>
      </c>
      <c r="D48" s="27">
        <f>D41+D46</f>
        <v>6677873</v>
      </c>
      <c r="E48" s="27">
        <f>D48-C48</f>
        <v>4693605</v>
      </c>
      <c r="F48" s="28">
        <f>IF(C48=0,0,E48/C48)</f>
        <v>2.3654088056653637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2011-08-05T18:07:07Z</cp:lastPrinted>
  <dcterms:created xsi:type="dcterms:W3CDTF">2006-08-03T13:49:12Z</dcterms:created>
  <dcterms:modified xsi:type="dcterms:W3CDTF">2011-08-05T18:08:01Z</dcterms:modified>
</cp:coreProperties>
</file>