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 firstSheet="6" activeTab="1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E86" i="22"/>
  <c r="D86" i="22"/>
  <c r="D88" i="22" s="1"/>
  <c r="C86" i="22"/>
  <c r="C88" i="22"/>
  <c r="E83" i="22"/>
  <c r="D83" i="22"/>
  <c r="C83" i="22"/>
  <c r="C101" i="22" s="1"/>
  <c r="E76" i="22"/>
  <c r="D76" i="22"/>
  <c r="D77" i="22" s="1"/>
  <c r="C76" i="22"/>
  <c r="C102" i="22" s="1"/>
  <c r="C103" i="22" s="1"/>
  <c r="E75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E21" i="22"/>
  <c r="D21" i="22"/>
  <c r="C21" i="22"/>
  <c r="E12" i="22"/>
  <c r="E33" i="22"/>
  <c r="D12" i="22"/>
  <c r="D34" i="22"/>
  <c r="C12" i="22"/>
  <c r="C33" i="22"/>
  <c r="D21" i="21"/>
  <c r="E21" i="21" s="1"/>
  <c r="C21" i="21"/>
  <c r="D19" i="21"/>
  <c r="E19" i="21" s="1"/>
  <c r="C19" i="21"/>
  <c r="F17" i="21"/>
  <c r="E17" i="21"/>
  <c r="F15" i="21"/>
  <c r="E15" i="21"/>
  <c r="D45" i="20"/>
  <c r="C45" i="20"/>
  <c r="E45" i="20" s="1"/>
  <c r="D44" i="20"/>
  <c r="C44" i="20"/>
  <c r="D43" i="20"/>
  <c r="D46" i="20" s="1"/>
  <c r="C43" i="20"/>
  <c r="D36" i="20"/>
  <c r="D40" i="20" s="1"/>
  <c r="D41" i="20" s="1"/>
  <c r="C36" i="20"/>
  <c r="E35" i="20"/>
  <c r="F35" i="20"/>
  <c r="E34" i="20"/>
  <c r="F34" i="20" s="1"/>
  <c r="E33" i="20"/>
  <c r="F33" i="20" s="1"/>
  <c r="E30" i="20"/>
  <c r="F30" i="20" s="1"/>
  <c r="E29" i="20"/>
  <c r="F29" i="20"/>
  <c r="E28" i="20"/>
  <c r="F28" i="20" s="1"/>
  <c r="E27" i="20"/>
  <c r="F27" i="20"/>
  <c r="D25" i="20"/>
  <c r="D39" i="20"/>
  <c r="C25" i="20"/>
  <c r="E24" i="20"/>
  <c r="F24" i="20" s="1"/>
  <c r="E23" i="20"/>
  <c r="F23" i="20"/>
  <c r="E22" i="20"/>
  <c r="F22" i="20"/>
  <c r="D19" i="20"/>
  <c r="D20" i="20" s="1"/>
  <c r="C19" i="20"/>
  <c r="E18" i="20"/>
  <c r="F18" i="20" s="1"/>
  <c r="D16" i="20"/>
  <c r="C16" i="20"/>
  <c r="E15" i="20"/>
  <c r="F15" i="20" s="1"/>
  <c r="E13" i="20"/>
  <c r="F13" i="20"/>
  <c r="E12" i="20"/>
  <c r="F12" i="20" s="1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60" i="19"/>
  <c r="C59" i="19"/>
  <c r="C49" i="19"/>
  <c r="C48" i="19"/>
  <c r="C64" i="19" s="1"/>
  <c r="C36" i="19"/>
  <c r="C32" i="19"/>
  <c r="C33" i="19" s="1"/>
  <c r="C21" i="19"/>
  <c r="E328" i="18"/>
  <c r="E325" i="18"/>
  <c r="D324" i="18"/>
  <c r="C324" i="18"/>
  <c r="E324" i="18" s="1"/>
  <c r="C326" i="18"/>
  <c r="C330" i="18" s="1"/>
  <c r="E318" i="18"/>
  <c r="E315" i="18"/>
  <c r="D314" i="18"/>
  <c r="D316" i="18" s="1"/>
  <c r="C314" i="18"/>
  <c r="C316" i="18"/>
  <c r="C320" i="18"/>
  <c r="E308" i="18"/>
  <c r="E305" i="18"/>
  <c r="D301" i="18"/>
  <c r="E301" i="18"/>
  <c r="C301" i="18"/>
  <c r="D293" i="18"/>
  <c r="C293" i="18"/>
  <c r="E293" i="18"/>
  <c r="D292" i="18"/>
  <c r="E292" i="18" s="1"/>
  <c r="C292" i="18"/>
  <c r="D291" i="18"/>
  <c r="E291" i="18" s="1"/>
  <c r="C291" i="18"/>
  <c r="D290" i="18"/>
  <c r="E290" i="18" s="1"/>
  <c r="C290" i="18"/>
  <c r="D288" i="18"/>
  <c r="E288" i="18" s="1"/>
  <c r="C288" i="18"/>
  <c r="D287" i="18"/>
  <c r="C287" i="18"/>
  <c r="E287" i="18"/>
  <c r="D282" i="18"/>
  <c r="E282" i="18" s="1"/>
  <c r="C282" i="18"/>
  <c r="D281" i="18"/>
  <c r="E281" i="18" s="1"/>
  <c r="C281" i="18"/>
  <c r="D280" i="18"/>
  <c r="C280" i="18"/>
  <c r="E280" i="18" s="1"/>
  <c r="D279" i="18"/>
  <c r="C279" i="18"/>
  <c r="D278" i="18"/>
  <c r="E278" i="18" s="1"/>
  <c r="C278" i="18"/>
  <c r="D277" i="18"/>
  <c r="E277" i="18" s="1"/>
  <c r="C277" i="18"/>
  <c r="D276" i="18"/>
  <c r="C276" i="18"/>
  <c r="E270" i="18"/>
  <c r="D265" i="18"/>
  <c r="D302" i="18"/>
  <c r="C265" i="18"/>
  <c r="C302" i="18"/>
  <c r="D262" i="18"/>
  <c r="C262" i="18"/>
  <c r="D251" i="18"/>
  <c r="C251" i="18"/>
  <c r="D233" i="18"/>
  <c r="E233" i="18" s="1"/>
  <c r="C233" i="18"/>
  <c r="C253" i="18" s="1"/>
  <c r="D232" i="18"/>
  <c r="E232" i="18" s="1"/>
  <c r="C232" i="18"/>
  <c r="D231" i="18"/>
  <c r="C231" i="18"/>
  <c r="C252" i="18" s="1"/>
  <c r="C254" i="18" s="1"/>
  <c r="D230" i="18"/>
  <c r="C230" i="18"/>
  <c r="D228" i="18"/>
  <c r="E228" i="18" s="1"/>
  <c r="C228" i="18"/>
  <c r="D227" i="18"/>
  <c r="E227" i="18" s="1"/>
  <c r="C227" i="18"/>
  <c r="D221" i="18"/>
  <c r="D245" i="18" s="1"/>
  <c r="C221" i="18"/>
  <c r="C245" i="18" s="1"/>
  <c r="D220" i="18"/>
  <c r="E220" i="18"/>
  <c r="C220" i="18"/>
  <c r="C244" i="18"/>
  <c r="D219" i="18"/>
  <c r="D243" i="18" s="1"/>
  <c r="C219" i="18"/>
  <c r="C243" i="18" s="1"/>
  <c r="D218" i="18"/>
  <c r="C218" i="18"/>
  <c r="C217" i="18" s="1"/>
  <c r="C242" i="18"/>
  <c r="D216" i="18"/>
  <c r="E216" i="18" s="1"/>
  <c r="C216" i="18"/>
  <c r="C240" i="18"/>
  <c r="D215" i="18"/>
  <c r="D239" i="18"/>
  <c r="E239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D260" i="18" s="1"/>
  <c r="C195" i="18"/>
  <c r="C260" i="18"/>
  <c r="E260" i="18" s="1"/>
  <c r="E194" i="18"/>
  <c r="E193" i="18"/>
  <c r="E192" i="18"/>
  <c r="E191" i="18"/>
  <c r="E190" i="18"/>
  <c r="D188" i="18"/>
  <c r="C188" i="18"/>
  <c r="C189" i="18"/>
  <c r="E186" i="18"/>
  <c r="E185" i="18"/>
  <c r="D179" i="18"/>
  <c r="E179" i="18" s="1"/>
  <c r="C179" i="18"/>
  <c r="D178" i="18"/>
  <c r="C178" i="18"/>
  <c r="D177" i="18"/>
  <c r="C177" i="18"/>
  <c r="E177" i="18"/>
  <c r="D176" i="18"/>
  <c r="E176" i="18" s="1"/>
  <c r="C176" i="18"/>
  <c r="D174" i="18"/>
  <c r="E174" i="18"/>
  <c r="C174" i="18"/>
  <c r="D173" i="18"/>
  <c r="C173" i="18"/>
  <c r="E173" i="18" s="1"/>
  <c r="D167" i="18"/>
  <c r="E167" i="18"/>
  <c r="C167" i="18"/>
  <c r="D166" i="18"/>
  <c r="E166" i="18" s="1"/>
  <c r="C166" i="18"/>
  <c r="D165" i="18"/>
  <c r="E165" i="18"/>
  <c r="C165" i="18"/>
  <c r="D164" i="18"/>
  <c r="E164" i="18" s="1"/>
  <c r="C164" i="18"/>
  <c r="D162" i="18"/>
  <c r="C162" i="18"/>
  <c r="E162" i="18"/>
  <c r="D161" i="18"/>
  <c r="E161" i="18"/>
  <c r="C161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D175" i="18"/>
  <c r="C139" i="18"/>
  <c r="C144" i="18" s="1"/>
  <c r="E138" i="18"/>
  <c r="E137" i="18"/>
  <c r="D75" i="18"/>
  <c r="E75" i="18" s="1"/>
  <c r="C75" i="18"/>
  <c r="D74" i="18"/>
  <c r="C74" i="18"/>
  <c r="E74" i="18" s="1"/>
  <c r="D73" i="18"/>
  <c r="E73" i="18" s="1"/>
  <c r="C73" i="18"/>
  <c r="D72" i="18"/>
  <c r="E72" i="18" s="1"/>
  <c r="C72" i="18"/>
  <c r="D70" i="18"/>
  <c r="C70" i="18"/>
  <c r="D69" i="18"/>
  <c r="C69" i="18"/>
  <c r="C65" i="18"/>
  <c r="E64" i="18"/>
  <c r="E63" i="18"/>
  <c r="E62" i="18"/>
  <c r="E61" i="18"/>
  <c r="D60" i="18"/>
  <c r="D289" i="18"/>
  <c r="C60" i="18"/>
  <c r="E59" i="18"/>
  <c r="E58" i="18"/>
  <c r="D54" i="18"/>
  <c r="D55" i="18"/>
  <c r="E55" i="18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C41" i="18"/>
  <c r="D40" i="18"/>
  <c r="C40" i="18"/>
  <c r="E40" i="18" s="1"/>
  <c r="D39" i="18"/>
  <c r="E39" i="18" s="1"/>
  <c r="C39" i="18"/>
  <c r="D38" i="18"/>
  <c r="C38" i="18"/>
  <c r="D37" i="18"/>
  <c r="C37" i="18"/>
  <c r="C43" i="18" s="1"/>
  <c r="D36" i="18"/>
  <c r="E36" i="18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E311" i="17" s="1"/>
  <c r="C311" i="17"/>
  <c r="F311" i="17" s="1"/>
  <c r="E308" i="17"/>
  <c r="F308" i="17"/>
  <c r="D307" i="17"/>
  <c r="E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E249" i="17"/>
  <c r="F249" i="17" s="1"/>
  <c r="F248" i="17"/>
  <c r="E248" i="17"/>
  <c r="F245" i="17"/>
  <c r="E245" i="17"/>
  <c r="F244" i="17"/>
  <c r="E244" i="17"/>
  <c r="E243" i="17"/>
  <c r="F243" i="17" s="1"/>
  <c r="D238" i="17"/>
  <c r="E238" i="17"/>
  <c r="F238" i="17" s="1"/>
  <c r="C238" i="17"/>
  <c r="D237" i="17"/>
  <c r="D239" i="17" s="1"/>
  <c r="E239" i="17" s="1"/>
  <c r="F239" i="17" s="1"/>
  <c r="C237" i="17"/>
  <c r="C239" i="17"/>
  <c r="F234" i="17"/>
  <c r="E234" i="17"/>
  <c r="F233" i="17"/>
  <c r="E233" i="17"/>
  <c r="D230" i="17"/>
  <c r="C230" i="17"/>
  <c r="D229" i="17"/>
  <c r="E229" i="17"/>
  <c r="F229" i="17"/>
  <c r="C229" i="17"/>
  <c r="E228" i="17"/>
  <c r="F228" i="17" s="1"/>
  <c r="D226" i="17"/>
  <c r="D227" i="17"/>
  <c r="C226" i="17"/>
  <c r="E226" i="17" s="1"/>
  <c r="E225" i="17"/>
  <c r="F225" i="17" s="1"/>
  <c r="E224" i="17"/>
  <c r="F224" i="17" s="1"/>
  <c r="D223" i="17"/>
  <c r="E223" i="17"/>
  <c r="C223" i="17"/>
  <c r="E222" i="17"/>
  <c r="F222" i="17" s="1"/>
  <c r="E221" i="17"/>
  <c r="F221" i="17" s="1"/>
  <c r="D204" i="17"/>
  <c r="C204" i="17"/>
  <c r="D203" i="17"/>
  <c r="E203" i="17"/>
  <c r="F203" i="17" s="1"/>
  <c r="C203" i="17"/>
  <c r="C283" i="17"/>
  <c r="D198" i="17"/>
  <c r="C198" i="17"/>
  <c r="D191" i="17"/>
  <c r="D280" i="17" s="1"/>
  <c r="C191" i="17"/>
  <c r="C280" i="17"/>
  <c r="E280" i="17" s="1"/>
  <c r="D189" i="17"/>
  <c r="C189" i="17"/>
  <c r="C278" i="17" s="1"/>
  <c r="D188" i="17"/>
  <c r="D277" i="17" s="1"/>
  <c r="C188" i="17"/>
  <c r="C277" i="17"/>
  <c r="F180" i="17"/>
  <c r="D180" i="17"/>
  <c r="E180" i="17" s="1"/>
  <c r="C180" i="17"/>
  <c r="F179" i="17"/>
  <c r="D179" i="17"/>
  <c r="E179" i="17" s="1"/>
  <c r="C179" i="17"/>
  <c r="C181" i="17"/>
  <c r="F181" i="17"/>
  <c r="F171" i="17"/>
  <c r="D171" i="17"/>
  <c r="E171" i="17"/>
  <c r="C171" i="17"/>
  <c r="C172" i="17" s="1"/>
  <c r="C173" i="17"/>
  <c r="F173" i="17" s="1"/>
  <c r="D170" i="17"/>
  <c r="C170" i="17"/>
  <c r="F170" i="17" s="1"/>
  <c r="F169" i="17"/>
  <c r="E169" i="17"/>
  <c r="F168" i="17"/>
  <c r="E168" i="17"/>
  <c r="D165" i="17"/>
  <c r="C165" i="17"/>
  <c r="F165" i="17" s="1"/>
  <c r="D164" i="17"/>
  <c r="C164" i="17"/>
  <c r="F164" i="17" s="1"/>
  <c r="F163" i="17"/>
  <c r="E163" i="17"/>
  <c r="F158" i="17"/>
  <c r="D158" i="17"/>
  <c r="E158" i="17" s="1"/>
  <c r="C158" i="17"/>
  <c r="C159" i="17"/>
  <c r="F159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C144" i="17"/>
  <c r="D136" i="17"/>
  <c r="E136" i="17"/>
  <c r="C136" i="17"/>
  <c r="F136" i="17" s="1"/>
  <c r="C137" i="17"/>
  <c r="D135" i="17"/>
  <c r="E135" i="17"/>
  <c r="F135" i="17" s="1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D192" i="17"/>
  <c r="C123" i="17"/>
  <c r="E122" i="17"/>
  <c r="F122" i="17" s="1"/>
  <c r="E121" i="17"/>
  <c r="F121" i="17"/>
  <c r="D120" i="17"/>
  <c r="C120" i="17"/>
  <c r="E120" i="17" s="1"/>
  <c r="E119" i="17"/>
  <c r="F119" i="17" s="1"/>
  <c r="E118" i="17"/>
  <c r="F118" i="17" s="1"/>
  <c r="D110" i="17"/>
  <c r="C110" i="17"/>
  <c r="D109" i="17"/>
  <c r="D111" i="17" s="1"/>
  <c r="C109" i="17"/>
  <c r="D101" i="17"/>
  <c r="D102" i="17" s="1"/>
  <c r="C101" i="17"/>
  <c r="E101" i="17" s="1"/>
  <c r="F101" i="17" s="1"/>
  <c r="C102" i="17"/>
  <c r="D100" i="17"/>
  <c r="C100" i="17"/>
  <c r="F100" i="17" s="1"/>
  <c r="E99" i="17"/>
  <c r="F99" i="17"/>
  <c r="E98" i="17"/>
  <c r="F98" i="17" s="1"/>
  <c r="D95" i="17"/>
  <c r="C95" i="17"/>
  <c r="E95" i="17" s="1"/>
  <c r="D94" i="17"/>
  <c r="E94" i="17" s="1"/>
  <c r="C94" i="17"/>
  <c r="E93" i="17"/>
  <c r="F93" i="17"/>
  <c r="D88" i="17"/>
  <c r="D89" i="17" s="1"/>
  <c r="C88" i="17"/>
  <c r="C89" i="17"/>
  <c r="F89" i="17"/>
  <c r="E87" i="17"/>
  <c r="F87" i="17" s="1"/>
  <c r="E86" i="17"/>
  <c r="F86" i="17" s="1"/>
  <c r="D85" i="17"/>
  <c r="C85" i="17"/>
  <c r="F84" i="17"/>
  <c r="E84" i="17"/>
  <c r="E83" i="17"/>
  <c r="F83" i="17" s="1"/>
  <c r="D76" i="17"/>
  <c r="D77" i="17" s="1"/>
  <c r="C76" i="17"/>
  <c r="C77" i="17" s="1"/>
  <c r="F74" i="17"/>
  <c r="E74" i="17"/>
  <c r="E73" i="17"/>
  <c r="F73" i="17" s="1"/>
  <c r="D67" i="17"/>
  <c r="C67" i="17"/>
  <c r="D66" i="17"/>
  <c r="E66" i="17" s="1"/>
  <c r="D68" i="17"/>
  <c r="C66" i="17"/>
  <c r="D59" i="17"/>
  <c r="D60" i="17"/>
  <c r="C59" i="17"/>
  <c r="C60" i="17"/>
  <c r="D58" i="17"/>
  <c r="E58" i="17" s="1"/>
  <c r="F58" i="17" s="1"/>
  <c r="C58" i="17"/>
  <c r="E57" i="17"/>
  <c r="F57" i="17"/>
  <c r="E56" i="17"/>
  <c r="F56" i="17" s="1"/>
  <c r="D53" i="17"/>
  <c r="E53" i="17" s="1"/>
  <c r="F53" i="17"/>
  <c r="C53" i="17"/>
  <c r="D52" i="17"/>
  <c r="E52" i="17"/>
  <c r="C52" i="17"/>
  <c r="E51" i="17"/>
  <c r="F51" i="17" s="1"/>
  <c r="D47" i="17"/>
  <c r="D48" i="17" s="1"/>
  <c r="C47" i="17"/>
  <c r="C48" i="17"/>
  <c r="E48" i="17" s="1"/>
  <c r="E46" i="17"/>
  <c r="F46" i="17" s="1"/>
  <c r="E45" i="17"/>
  <c r="F45" i="17" s="1"/>
  <c r="D44" i="17"/>
  <c r="E44" i="17" s="1"/>
  <c r="C44" i="17"/>
  <c r="E43" i="17"/>
  <c r="F43" i="17"/>
  <c r="E42" i="17"/>
  <c r="F42" i="17" s="1"/>
  <c r="D36" i="17"/>
  <c r="C36" i="17"/>
  <c r="D35" i="17"/>
  <c r="C35" i="17"/>
  <c r="D30" i="17"/>
  <c r="D31" i="17"/>
  <c r="C30" i="17"/>
  <c r="C31" i="17" s="1"/>
  <c r="C32" i="17" s="1"/>
  <c r="D29" i="17"/>
  <c r="E29" i="17" s="1"/>
  <c r="C29" i="17"/>
  <c r="E28" i="17"/>
  <c r="F28" i="17"/>
  <c r="E27" i="17"/>
  <c r="F27" i="17" s="1"/>
  <c r="D24" i="17"/>
  <c r="E24" i="17"/>
  <c r="F24" i="17"/>
  <c r="C24" i="17"/>
  <c r="D23" i="17"/>
  <c r="E23" i="17"/>
  <c r="C23" i="17"/>
  <c r="F23" i="17" s="1"/>
  <c r="E22" i="17"/>
  <c r="F22" i="17"/>
  <c r="D20" i="17"/>
  <c r="D21" i="17" s="1"/>
  <c r="E20" i="17"/>
  <c r="C20" i="17"/>
  <c r="E19" i="17"/>
  <c r="F19" i="17" s="1"/>
  <c r="E18" i="17"/>
  <c r="F18" i="17"/>
  <c r="D17" i="17"/>
  <c r="C17" i="17"/>
  <c r="E16" i="17"/>
  <c r="F16" i="17" s="1"/>
  <c r="E15" i="17"/>
  <c r="F15" i="17"/>
  <c r="D21" i="16"/>
  <c r="C21" i="16"/>
  <c r="E20" i="16"/>
  <c r="F20" i="16" s="1"/>
  <c r="D17" i="16"/>
  <c r="E17" i="16"/>
  <c r="C17" i="16"/>
  <c r="E16" i="16"/>
  <c r="F16" i="16" s="1"/>
  <c r="D13" i="16"/>
  <c r="C13" i="16"/>
  <c r="E12" i="16"/>
  <c r="F12" i="16" s="1"/>
  <c r="D107" i="15"/>
  <c r="E107" i="15"/>
  <c r="F107" i="15" s="1"/>
  <c r="C107" i="15"/>
  <c r="E106" i="15"/>
  <c r="F106" i="15" s="1"/>
  <c r="E105" i="15"/>
  <c r="F105" i="15" s="1"/>
  <c r="F104" i="15"/>
  <c r="E104" i="15"/>
  <c r="D100" i="15"/>
  <c r="C100" i="15"/>
  <c r="E99" i="15"/>
  <c r="F99" i="15" s="1"/>
  <c r="F98" i="15"/>
  <c r="E98" i="15"/>
  <c r="F97" i="15"/>
  <c r="E97" i="15"/>
  <c r="E96" i="15"/>
  <c r="F96" i="15" s="1"/>
  <c r="F95" i="15"/>
  <c r="E95" i="15"/>
  <c r="D92" i="15"/>
  <c r="E92" i="15" s="1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 s="1"/>
  <c r="F75" i="15"/>
  <c r="D70" i="15"/>
  <c r="E70" i="15" s="1"/>
  <c r="F70" i="15" s="1"/>
  <c r="C70" i="15"/>
  <c r="F69" i="15"/>
  <c r="E69" i="15"/>
  <c r="E68" i="15"/>
  <c r="F68" i="15" s="1"/>
  <c r="D65" i="15"/>
  <c r="E65" i="15"/>
  <c r="F65" i="15" s="1"/>
  <c r="C65" i="15"/>
  <c r="F64" i="15"/>
  <c r="E64" i="15"/>
  <c r="E63" i="15"/>
  <c r="F63" i="15" s="1"/>
  <c r="F60" i="15"/>
  <c r="D60" i="15"/>
  <c r="C60" i="15"/>
  <c r="F59" i="15"/>
  <c r="E59" i="15"/>
  <c r="F58" i="15"/>
  <c r="E58" i="15"/>
  <c r="E60" i="15"/>
  <c r="F55" i="15"/>
  <c r="D55" i="15"/>
  <c r="E55" i="15" s="1"/>
  <c r="C55" i="15"/>
  <c r="F54" i="15"/>
  <c r="E54" i="15"/>
  <c r="F53" i="15"/>
  <c r="E53" i="15"/>
  <c r="F50" i="15"/>
  <c r="D50" i="15"/>
  <c r="E50" i="15" s="1"/>
  <c r="C50" i="15"/>
  <c r="F49" i="15"/>
  <c r="E49" i="15"/>
  <c r="F48" i="15"/>
  <c r="E48" i="15"/>
  <c r="F45" i="15"/>
  <c r="D45" i="15"/>
  <c r="E45" i="15" s="1"/>
  <c r="C45" i="15"/>
  <c r="F44" i="15"/>
  <c r="E44" i="15"/>
  <c r="F43" i="15"/>
  <c r="E43" i="15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E21" i="15"/>
  <c r="F21" i="15" s="1"/>
  <c r="E20" i="15"/>
  <c r="F20" i="15" s="1"/>
  <c r="F19" i="15"/>
  <c r="E19" i="15"/>
  <c r="D16" i="15"/>
  <c r="E16" i="15" s="1"/>
  <c r="C16" i="15"/>
  <c r="F15" i="15"/>
  <c r="E15" i="15"/>
  <c r="F14" i="15"/>
  <c r="E14" i="15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 s="1"/>
  <c r="D17" i="14"/>
  <c r="D33" i="14" s="1"/>
  <c r="D36" i="14" s="1"/>
  <c r="D38" i="14"/>
  <c r="D40" i="14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 s="1"/>
  <c r="D77" i="13" s="1"/>
  <c r="C78" i="13"/>
  <c r="C80" i="13" s="1"/>
  <c r="C77" i="13" s="1"/>
  <c r="E75" i="13"/>
  <c r="C75" i="13"/>
  <c r="E73" i="13"/>
  <c r="D73" i="13"/>
  <c r="D75" i="13" s="1"/>
  <c r="C73" i="13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/>
  <c r="D50" i="13"/>
  <c r="E46" i="13"/>
  <c r="D46" i="13"/>
  <c r="D59" i="13"/>
  <c r="D61" i="13" s="1"/>
  <c r="C46" i="13"/>
  <c r="C48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 s="1"/>
  <c r="C25" i="13"/>
  <c r="C15" i="13"/>
  <c r="C24" i="13" s="1"/>
  <c r="E13" i="13"/>
  <c r="E15" i="13" s="1"/>
  <c r="E24" i="13" s="1"/>
  <c r="D13" i="13"/>
  <c r="D25" i="13"/>
  <c r="C13" i="13"/>
  <c r="D47" i="12"/>
  <c r="C47" i="12"/>
  <c r="F46" i="12"/>
  <c r="E46" i="12"/>
  <c r="F45" i="12"/>
  <c r="E45" i="12"/>
  <c r="D40" i="12"/>
  <c r="F40" i="12"/>
  <c r="C40" i="12"/>
  <c r="E40" i="12" s="1"/>
  <c r="E39" i="12"/>
  <c r="F39" i="12" s="1"/>
  <c r="F38" i="12"/>
  <c r="E38" i="12"/>
  <c r="F37" i="12"/>
  <c r="E37" i="12"/>
  <c r="D32" i="12"/>
  <c r="E32" i="12"/>
  <c r="C32" i="12"/>
  <c r="E31" i="12"/>
  <c r="F31" i="12" s="1"/>
  <c r="F30" i="12"/>
  <c r="E30" i="12"/>
  <c r="F29" i="12"/>
  <c r="E29" i="12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F18" i="12"/>
  <c r="E18" i="12"/>
  <c r="E16" i="12"/>
  <c r="F16" i="12" s="1"/>
  <c r="D15" i="12"/>
  <c r="D17" i="12" s="1"/>
  <c r="C15" i="12"/>
  <c r="C17" i="12"/>
  <c r="F14" i="12"/>
  <c r="E14" i="12"/>
  <c r="E13" i="12"/>
  <c r="F13" i="12" s="1"/>
  <c r="F12" i="12"/>
  <c r="E12" i="12"/>
  <c r="F11" i="12"/>
  <c r="E11" i="12"/>
  <c r="D73" i="11"/>
  <c r="E73" i="1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/>
  <c r="C61" i="11"/>
  <c r="C65" i="11"/>
  <c r="E60" i="11"/>
  <c r="F60" i="11" s="1"/>
  <c r="F59" i="11"/>
  <c r="E59" i="11"/>
  <c r="D56" i="11"/>
  <c r="C56" i="11"/>
  <c r="E55" i="11"/>
  <c r="F55" i="11" s="1"/>
  <c r="E54" i="11"/>
  <c r="F54" i="11"/>
  <c r="F53" i="11"/>
  <c r="E53" i="11"/>
  <c r="F52" i="11"/>
  <c r="E52" i="1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 s="1"/>
  <c r="C38" i="11"/>
  <c r="C41" i="11" s="1"/>
  <c r="F37" i="11"/>
  <c r="E37" i="11"/>
  <c r="E36" i="11"/>
  <c r="F36" i="11" s="1"/>
  <c r="E33" i="11"/>
  <c r="F33" i="11" s="1"/>
  <c r="F32" i="11"/>
  <c r="E32" i="11"/>
  <c r="F31" i="11"/>
  <c r="E31" i="11"/>
  <c r="D29" i="11"/>
  <c r="E29" i="11"/>
  <c r="C29" i="11"/>
  <c r="F29" i="11" s="1"/>
  <c r="F28" i="11"/>
  <c r="E28" i="11"/>
  <c r="F27" i="11"/>
  <c r="E27" i="11"/>
  <c r="E26" i="11"/>
  <c r="F26" i="11" s="1"/>
  <c r="F25" i="11"/>
  <c r="E25" i="11"/>
  <c r="D22" i="11"/>
  <c r="D43" i="11"/>
  <c r="C22" i="11"/>
  <c r="F21" i="11"/>
  <c r="E21" i="11"/>
  <c r="E20" i="11"/>
  <c r="F20" i="11" s="1"/>
  <c r="E19" i="11"/>
  <c r="F19" i="11" s="1"/>
  <c r="F18" i="11"/>
  <c r="E18" i="11"/>
  <c r="F17" i="11"/>
  <c r="E17" i="11"/>
  <c r="E16" i="11"/>
  <c r="F16" i="11" s="1"/>
  <c r="F15" i="11"/>
  <c r="E15" i="11"/>
  <c r="F14" i="11"/>
  <c r="E14" i="11"/>
  <c r="F13" i="11"/>
  <c r="E13" i="11"/>
  <c r="D120" i="10"/>
  <c r="C120" i="10"/>
  <c r="F120" i="10" s="1"/>
  <c r="F119" i="10"/>
  <c r="D119" i="10"/>
  <c r="E119" i="10"/>
  <c r="C119" i="10"/>
  <c r="D118" i="10"/>
  <c r="E118" i="10" s="1"/>
  <c r="C118" i="10"/>
  <c r="F118" i="10" s="1"/>
  <c r="F117" i="10"/>
  <c r="D117" i="10"/>
  <c r="E117" i="10"/>
  <c r="C117" i="10"/>
  <c r="D116" i="10"/>
  <c r="E116" i="10"/>
  <c r="C116" i="10"/>
  <c r="F116" i="10" s="1"/>
  <c r="F115" i="10"/>
  <c r="D115" i="10"/>
  <c r="E115" i="10"/>
  <c r="C115" i="10"/>
  <c r="D114" i="10"/>
  <c r="C114" i="10"/>
  <c r="F114" i="10" s="1"/>
  <c r="F113" i="10"/>
  <c r="D113" i="10"/>
  <c r="D122" i="10"/>
  <c r="E122" i="10" s="1"/>
  <c r="C113" i="10"/>
  <c r="C122" i="10"/>
  <c r="F122" i="10"/>
  <c r="F112" i="10"/>
  <c r="D112" i="10"/>
  <c r="C112" i="10"/>
  <c r="F108" i="10"/>
  <c r="D108" i="10"/>
  <c r="E108" i="10" s="1"/>
  <c r="C108" i="10"/>
  <c r="F107" i="10"/>
  <c r="D107" i="10"/>
  <c r="E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C96" i="10"/>
  <c r="D95" i="10"/>
  <c r="E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 s="1"/>
  <c r="F59" i="10"/>
  <c r="D59" i="10"/>
  <c r="E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 s="1"/>
  <c r="C36" i="10"/>
  <c r="F35" i="10"/>
  <c r="D35" i="10"/>
  <c r="E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3" i="10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F205" i="9" s="1"/>
  <c r="C205" i="9"/>
  <c r="D204" i="9"/>
  <c r="C204" i="9"/>
  <c r="D203" i="9"/>
  <c r="E203" i="9" s="1"/>
  <c r="F203" i="9" s="1"/>
  <c r="C203" i="9"/>
  <c r="D202" i="9"/>
  <c r="C202" i="9"/>
  <c r="D201" i="9"/>
  <c r="E201" i="9" s="1"/>
  <c r="F201" i="9" s="1"/>
  <c r="C201" i="9"/>
  <c r="D200" i="9"/>
  <c r="E200" i="9"/>
  <c r="C200" i="9"/>
  <c r="F200" i="9" s="1"/>
  <c r="D199" i="9"/>
  <c r="C199" i="9"/>
  <c r="C208" i="9" s="1"/>
  <c r="D198" i="9"/>
  <c r="D207" i="9" s="1"/>
  <c r="C198" i="9"/>
  <c r="D193" i="9"/>
  <c r="C193" i="9"/>
  <c r="D192" i="9"/>
  <c r="E192" i="9"/>
  <c r="F192" i="9"/>
  <c r="C192" i="9"/>
  <c r="F191" i="9"/>
  <c r="E191" i="9"/>
  <c r="E190" i="9"/>
  <c r="F190" i="9" s="1"/>
  <c r="F189" i="9"/>
  <c r="E189" i="9"/>
  <c r="F188" i="9"/>
  <c r="E188" i="9"/>
  <c r="F187" i="9"/>
  <c r="E187" i="9"/>
  <c r="E186" i="9"/>
  <c r="F186" i="9" s="1"/>
  <c r="E185" i="9"/>
  <c r="F185" i="9" s="1"/>
  <c r="F184" i="9"/>
  <c r="E184" i="9"/>
  <c r="F183" i="9"/>
  <c r="E183" i="9"/>
  <c r="D180" i="9"/>
  <c r="E180" i="9" s="1"/>
  <c r="C180" i="9"/>
  <c r="F180" i="9" s="1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E140" i="9"/>
  <c r="F140" i="9" s="1"/>
  <c r="C140" i="9"/>
  <c r="F139" i="9"/>
  <c r="E139" i="9"/>
  <c r="E138" i="9"/>
  <c r="F138" i="9" s="1"/>
  <c r="F137" i="9"/>
  <c r="E137" i="9"/>
  <c r="F136" i="9"/>
  <c r="E136" i="9"/>
  <c r="F135" i="9"/>
  <c r="E135" i="9"/>
  <c r="E134" i="9"/>
  <c r="F134" i="9" s="1"/>
  <c r="E133" i="9"/>
  <c r="F133" i="9" s="1"/>
  <c r="F132" i="9"/>
  <c r="E132" i="9"/>
  <c r="F131" i="9"/>
  <c r="E131" i="9"/>
  <c r="D128" i="9"/>
  <c r="F128" i="9"/>
  <c r="C128" i="9"/>
  <c r="E128" i="9" s="1"/>
  <c r="D127" i="9"/>
  <c r="E127" i="9" s="1"/>
  <c r="F127" i="9" s="1"/>
  <c r="C127" i="9"/>
  <c r="E126" i="9"/>
  <c r="F126" i="9" s="1"/>
  <c r="E125" i="9"/>
  <c r="F125" i="9" s="1"/>
  <c r="F124" i="9"/>
  <c r="E124" i="9"/>
  <c r="F123" i="9"/>
  <c r="E123" i="9"/>
  <c r="E122" i="9"/>
  <c r="F122" i="9" s="1"/>
  <c r="F121" i="9"/>
  <c r="E121" i="9"/>
  <c r="F120" i="9"/>
  <c r="E120" i="9"/>
  <c r="F119" i="9"/>
  <c r="E119" i="9"/>
  <c r="E118" i="9"/>
  <c r="F118" i="9" s="1"/>
  <c r="D115" i="9"/>
  <c r="E115" i="9"/>
  <c r="F115" i="9" s="1"/>
  <c r="C115" i="9"/>
  <c r="D114" i="9"/>
  <c r="E114" i="9" s="1"/>
  <c r="C114" i="9"/>
  <c r="F113" i="9"/>
  <c r="E113" i="9"/>
  <c r="F112" i="9"/>
  <c r="E112" i="9"/>
  <c r="F111" i="9"/>
  <c r="E111" i="9"/>
  <c r="E110" i="9"/>
  <c r="F110" i="9" s="1"/>
  <c r="F109" i="9"/>
  <c r="E109" i="9"/>
  <c r="F108" i="9"/>
  <c r="E108" i="9"/>
  <c r="F107" i="9"/>
  <c r="E107" i="9"/>
  <c r="E106" i="9"/>
  <c r="F106" i="9" s="1"/>
  <c r="F105" i="9"/>
  <c r="E105" i="9"/>
  <c r="D102" i="9"/>
  <c r="E102" i="9" s="1"/>
  <c r="F102" i="9" s="1"/>
  <c r="C102" i="9"/>
  <c r="D101" i="9"/>
  <c r="C101" i="9"/>
  <c r="F100" i="9"/>
  <c r="E100" i="9"/>
  <c r="F99" i="9"/>
  <c r="E99" i="9"/>
  <c r="E98" i="9"/>
  <c r="F98" i="9" s="1"/>
  <c r="E97" i="9"/>
  <c r="F97" i="9" s="1"/>
  <c r="F96" i="9"/>
  <c r="E96" i="9"/>
  <c r="F95" i="9"/>
  <c r="E95" i="9"/>
  <c r="E94" i="9"/>
  <c r="F94" i="9" s="1"/>
  <c r="F93" i="9"/>
  <c r="E93" i="9"/>
  <c r="F92" i="9"/>
  <c r="E92" i="9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F75" i="9"/>
  <c r="C75" i="9"/>
  <c r="E74" i="9"/>
  <c r="F74" i="9" s="1"/>
  <c r="E73" i="9"/>
  <c r="F73" i="9" s="1"/>
  <c r="F72" i="9"/>
  <c r="E72" i="9"/>
  <c r="F71" i="9"/>
  <c r="E71" i="9"/>
  <c r="E70" i="9"/>
  <c r="F70" i="9" s="1"/>
  <c r="E69" i="9"/>
  <c r="F69" i="9" s="1"/>
  <c r="F68" i="9"/>
  <c r="E68" i="9"/>
  <c r="E67" i="9"/>
  <c r="F67" i="9" s="1"/>
  <c r="F66" i="9"/>
  <c r="E66" i="9"/>
  <c r="F63" i="9"/>
  <c r="D63" i="9"/>
  <c r="E63" i="9" s="1"/>
  <c r="C63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/>
  <c r="C50" i="9"/>
  <c r="D49" i="9"/>
  <c r="C49" i="9"/>
  <c r="E49" i="9" s="1"/>
  <c r="F48" i="9"/>
  <c r="E48" i="9"/>
  <c r="F47" i="9"/>
  <c r="E47" i="9"/>
  <c r="E46" i="9"/>
  <c r="F46" i="9" s="1"/>
  <c r="E45" i="9"/>
  <c r="F45" i="9" s="1"/>
  <c r="F44" i="9"/>
  <c r="E44" i="9"/>
  <c r="F43" i="9"/>
  <c r="E43" i="9"/>
  <c r="E42" i="9"/>
  <c r="F42" i="9" s="1"/>
  <c r="E41" i="9"/>
  <c r="F41" i="9" s="1"/>
  <c r="F40" i="9"/>
  <c r="E40" i="9"/>
  <c r="F37" i="9"/>
  <c r="D37" i="9"/>
  <c r="C37" i="9"/>
  <c r="E37" i="9" s="1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F23" i="9" s="1"/>
  <c r="C23" i="9"/>
  <c r="E22" i="9"/>
  <c r="F22" i="9" s="1"/>
  <c r="F21" i="9"/>
  <c r="E21" i="9"/>
  <c r="F20" i="9"/>
  <c r="E20" i="9"/>
  <c r="F19" i="9"/>
  <c r="E19" i="9"/>
  <c r="E18" i="9"/>
  <c r="F18" i="9" s="1"/>
  <c r="E17" i="9"/>
  <c r="F17" i="9" s="1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E160" i="8"/>
  <c r="E166" i="8" s="1"/>
  <c r="D164" i="8"/>
  <c r="D160" i="8" s="1"/>
  <c r="C164" i="8"/>
  <c r="C160" i="8" s="1"/>
  <c r="C166" i="8" s="1"/>
  <c r="E162" i="8"/>
  <c r="D162" i="8"/>
  <c r="C162" i="8"/>
  <c r="E161" i="8"/>
  <c r="D161" i="8"/>
  <c r="C161" i="8"/>
  <c r="D166" i="8"/>
  <c r="D157" i="8" s="1"/>
  <c r="E147" i="8"/>
  <c r="E143" i="8"/>
  <c r="D147" i="8"/>
  <c r="D143" i="8" s="1"/>
  <c r="C147" i="8"/>
  <c r="C143" i="8"/>
  <c r="E145" i="8"/>
  <c r="D145" i="8"/>
  <c r="C145" i="8"/>
  <c r="E144" i="8"/>
  <c r="D144" i="8"/>
  <c r="C144" i="8"/>
  <c r="D149" i="8"/>
  <c r="E126" i="8"/>
  <c r="D126" i="8"/>
  <c r="C126" i="8"/>
  <c r="E119" i="8"/>
  <c r="D119" i="8"/>
  <c r="C119" i="8"/>
  <c r="E108" i="8"/>
  <c r="D108" i="8"/>
  <c r="C108" i="8"/>
  <c r="E107" i="8"/>
  <c r="D107" i="8"/>
  <c r="C107" i="8"/>
  <c r="D104" i="8"/>
  <c r="E102" i="8"/>
  <c r="E104" i="8" s="1"/>
  <c r="D102" i="8"/>
  <c r="C102" i="8"/>
  <c r="C104" i="8" s="1"/>
  <c r="C98" i="8" s="1"/>
  <c r="E100" i="8"/>
  <c r="D100" i="8"/>
  <c r="C100" i="8"/>
  <c r="E95" i="8"/>
  <c r="E94" i="8" s="1"/>
  <c r="D95" i="8"/>
  <c r="D94" i="8"/>
  <c r="C95" i="8"/>
  <c r="C94" i="8"/>
  <c r="E89" i="8"/>
  <c r="D89" i="8"/>
  <c r="C89" i="8"/>
  <c r="E87" i="8"/>
  <c r="D87" i="8"/>
  <c r="C87" i="8"/>
  <c r="C86" i="8" s="1"/>
  <c r="E84" i="8"/>
  <c r="D84" i="8"/>
  <c r="D79" i="8" s="1"/>
  <c r="C84" i="8"/>
  <c r="E83" i="8"/>
  <c r="D83" i="8"/>
  <c r="C83" i="8"/>
  <c r="E79" i="8"/>
  <c r="C79" i="8"/>
  <c r="D77" i="8"/>
  <c r="E75" i="8"/>
  <c r="D75" i="8"/>
  <c r="D88" i="8" s="1"/>
  <c r="D90" i="8" s="1"/>
  <c r="C75" i="8"/>
  <c r="E74" i="8"/>
  <c r="D74" i="8"/>
  <c r="C74" i="8"/>
  <c r="E67" i="8"/>
  <c r="D67" i="8"/>
  <c r="C67" i="8"/>
  <c r="C43" i="8"/>
  <c r="E38" i="8"/>
  <c r="E57" i="8"/>
  <c r="E62" i="8" s="1"/>
  <c r="D38" i="8"/>
  <c r="C38" i="8"/>
  <c r="C53" i="8" s="1"/>
  <c r="E33" i="8"/>
  <c r="E34" i="8" s="1"/>
  <c r="D33" i="8"/>
  <c r="D34" i="8"/>
  <c r="E26" i="8"/>
  <c r="D26" i="8"/>
  <c r="C26" i="8"/>
  <c r="D27" i="8"/>
  <c r="D15" i="8"/>
  <c r="E13" i="8"/>
  <c r="E15" i="8" s="1"/>
  <c r="D13" i="8"/>
  <c r="D25" i="8" s="1"/>
  <c r="C13" i="8"/>
  <c r="F186" i="7"/>
  <c r="E186" i="7"/>
  <c r="D183" i="7"/>
  <c r="D188" i="7"/>
  <c r="C183" i="7"/>
  <c r="F182" i="7"/>
  <c r="E182" i="7"/>
  <c r="E181" i="7"/>
  <c r="F181" i="7" s="1"/>
  <c r="E180" i="7"/>
  <c r="F180" i="7" s="1"/>
  <c r="E179" i="7"/>
  <c r="F179" i="7" s="1"/>
  <c r="F178" i="7"/>
  <c r="E178" i="7"/>
  <c r="F177" i="7"/>
  <c r="E177" i="7"/>
  <c r="E176" i="7"/>
  <c r="F176" i="7"/>
  <c r="E175" i="7"/>
  <c r="F175" i="7" s="1"/>
  <c r="F174" i="7"/>
  <c r="E174" i="7"/>
  <c r="E173" i="7"/>
  <c r="F173" i="7"/>
  <c r="F172" i="7"/>
  <c r="E172" i="7"/>
  <c r="E171" i="7"/>
  <c r="F171" i="7"/>
  <c r="E170" i="7"/>
  <c r="F170" i="7" s="1"/>
  <c r="D167" i="7"/>
  <c r="E167" i="7"/>
  <c r="C167" i="7"/>
  <c r="E166" i="7"/>
  <c r="F166" i="7"/>
  <c r="F165" i="7"/>
  <c r="E165" i="7"/>
  <c r="E164" i="7"/>
  <c r="F164" i="7" s="1"/>
  <c r="F163" i="7"/>
  <c r="E163" i="7"/>
  <c r="F162" i="7"/>
  <c r="E162" i="7"/>
  <c r="E161" i="7"/>
  <c r="F161" i="7"/>
  <c r="E160" i="7"/>
  <c r="F160" i="7" s="1"/>
  <c r="F159" i="7"/>
  <c r="E159" i="7"/>
  <c r="E158" i="7"/>
  <c r="F158" i="7"/>
  <c r="E157" i="7"/>
  <c r="F157" i="7" s="1"/>
  <c r="E156" i="7"/>
  <c r="F156" i="7" s="1"/>
  <c r="F155" i="7"/>
  <c r="E155" i="7"/>
  <c r="F154" i="7"/>
  <c r="E154" i="7"/>
  <c r="F153" i="7"/>
  <c r="E153" i="7"/>
  <c r="E152" i="7"/>
  <c r="F152" i="7" s="1"/>
  <c r="F151" i="7"/>
  <c r="E151" i="7"/>
  <c r="E150" i="7"/>
  <c r="F150" i="7"/>
  <c r="F149" i="7"/>
  <c r="E149" i="7"/>
  <c r="F148" i="7"/>
  <c r="E148" i="7"/>
  <c r="E147" i="7"/>
  <c r="F147" i="7" s="1"/>
  <c r="E146" i="7"/>
  <c r="F146" i="7"/>
  <c r="F145" i="7"/>
  <c r="E145" i="7"/>
  <c r="E144" i="7"/>
  <c r="F144" i="7" s="1"/>
  <c r="F143" i="7"/>
  <c r="E143" i="7"/>
  <c r="E142" i="7"/>
  <c r="F142" i="7"/>
  <c r="E141" i="7"/>
  <c r="F141" i="7"/>
  <c r="E140" i="7"/>
  <c r="F140" i="7" s="1"/>
  <c r="F139" i="7"/>
  <c r="E139" i="7"/>
  <c r="E138" i="7"/>
  <c r="F138" i="7"/>
  <c r="E137" i="7"/>
  <c r="F137" i="7" s="1"/>
  <c r="F136" i="7"/>
  <c r="E136" i="7"/>
  <c r="E135" i="7"/>
  <c r="F135" i="7" s="1"/>
  <c r="F134" i="7"/>
  <c r="E134" i="7"/>
  <c r="E133" i="7"/>
  <c r="F133" i="7"/>
  <c r="D130" i="7"/>
  <c r="C130" i="7"/>
  <c r="E129" i="7"/>
  <c r="F129" i="7" s="1"/>
  <c r="E128" i="7"/>
  <c r="F128" i="7"/>
  <c r="E127" i="7"/>
  <c r="F127" i="7" s="1"/>
  <c r="E126" i="7"/>
  <c r="F126" i="7" s="1"/>
  <c r="F125" i="7"/>
  <c r="E125" i="7"/>
  <c r="E124" i="7"/>
  <c r="F124" i="7"/>
  <c r="D121" i="7"/>
  <c r="E121" i="7" s="1"/>
  <c r="C121" i="7"/>
  <c r="E120" i="7"/>
  <c r="F120" i="7" s="1"/>
  <c r="E119" i="7"/>
  <c r="F119" i="7" s="1"/>
  <c r="E118" i="7"/>
  <c r="F118" i="7"/>
  <c r="E117" i="7"/>
  <c r="F117" i="7"/>
  <c r="E116" i="7"/>
  <c r="F116" i="7" s="1"/>
  <c r="E115" i="7"/>
  <c r="F115" i="7" s="1"/>
  <c r="E114" i="7"/>
  <c r="F114" i="7"/>
  <c r="E113" i="7"/>
  <c r="F113" i="7"/>
  <c r="E112" i="7"/>
  <c r="F112" i="7" s="1"/>
  <c r="E111" i="7"/>
  <c r="F111" i="7" s="1"/>
  <c r="E110" i="7"/>
  <c r="F110" i="7"/>
  <c r="E109" i="7"/>
  <c r="F109" i="7"/>
  <c r="E108" i="7"/>
  <c r="F108" i="7" s="1"/>
  <c r="E107" i="7"/>
  <c r="F107" i="7" s="1"/>
  <c r="E106" i="7"/>
  <c r="F106" i="7"/>
  <c r="E105" i="7"/>
  <c r="F105" i="7" s="1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E87" i="7"/>
  <c r="F87" i="7"/>
  <c r="E86" i="7"/>
  <c r="F86" i="7"/>
  <c r="F85" i="7"/>
  <c r="E85" i="7"/>
  <c r="E84" i="7"/>
  <c r="F84" i="7" s="1"/>
  <c r="E83" i="7"/>
  <c r="F83" i="7"/>
  <c r="E82" i="7"/>
  <c r="F82" i="7" s="1"/>
  <c r="E81" i="7"/>
  <c r="F81" i="7" s="1"/>
  <c r="E80" i="7"/>
  <c r="F80" i="7" s="1"/>
  <c r="F79" i="7"/>
  <c r="E79" i="7"/>
  <c r="E78" i="7"/>
  <c r="F78" i="7" s="1"/>
  <c r="F77" i="7"/>
  <c r="E77" i="7"/>
  <c r="E76" i="7"/>
  <c r="F76" i="7" s="1"/>
  <c r="E75" i="7"/>
  <c r="F75" i="7"/>
  <c r="E74" i="7"/>
  <c r="F74" i="7"/>
  <c r="E73" i="7"/>
  <c r="F73" i="7" s="1"/>
  <c r="E72" i="7"/>
  <c r="F72" i="7" s="1"/>
  <c r="E71" i="7"/>
  <c r="F71" i="7"/>
  <c r="E70" i="7"/>
  <c r="F70" i="7" s="1"/>
  <c r="E69" i="7"/>
  <c r="F69" i="7" s="1"/>
  <c r="E68" i="7"/>
  <c r="F68" i="7" s="1"/>
  <c r="E67" i="7"/>
  <c r="F67" i="7"/>
  <c r="E66" i="7"/>
  <c r="F66" i="7"/>
  <c r="E65" i="7"/>
  <c r="F65" i="7" s="1"/>
  <c r="E64" i="7"/>
  <c r="F64" i="7" s="1"/>
  <c r="E63" i="7"/>
  <c r="F63" i="7"/>
  <c r="E62" i="7"/>
  <c r="F62" i="7" s="1"/>
  <c r="D59" i="7"/>
  <c r="C59" i="7"/>
  <c r="E58" i="7"/>
  <c r="F58" i="7" s="1"/>
  <c r="E57" i="7"/>
  <c r="F57" i="7"/>
  <c r="E56" i="7"/>
  <c r="F56" i="7"/>
  <c r="E55" i="7"/>
  <c r="F55" i="7" s="1"/>
  <c r="F54" i="7"/>
  <c r="E54" i="7"/>
  <c r="E53" i="7"/>
  <c r="F53" i="7" s="1"/>
  <c r="E50" i="7"/>
  <c r="F50" i="7" s="1"/>
  <c r="F47" i="7"/>
  <c r="E47" i="7"/>
  <c r="F44" i="7"/>
  <c r="E44" i="7"/>
  <c r="D41" i="7"/>
  <c r="C41" i="7"/>
  <c r="F40" i="7"/>
  <c r="E40" i="7"/>
  <c r="F39" i="7"/>
  <c r="E39" i="7"/>
  <c r="E38" i="7"/>
  <c r="F38" i="7" s="1"/>
  <c r="D35" i="7"/>
  <c r="E35" i="7" s="1"/>
  <c r="F35" i="7" s="1"/>
  <c r="C35" i="7"/>
  <c r="F34" i="7"/>
  <c r="E34" i="7"/>
  <c r="E33" i="7"/>
  <c r="F33" i="7" s="1"/>
  <c r="D30" i="7"/>
  <c r="E30" i="7" s="1"/>
  <c r="F30" i="7" s="1"/>
  <c r="C30" i="7"/>
  <c r="F29" i="7"/>
  <c r="E29" i="7"/>
  <c r="E28" i="7"/>
  <c r="F28" i="7" s="1"/>
  <c r="E27" i="7"/>
  <c r="F27" i="7" s="1"/>
  <c r="D24" i="7"/>
  <c r="E24" i="7" s="1"/>
  <c r="F24" i="7" s="1"/>
  <c r="C24" i="7"/>
  <c r="E23" i="7"/>
  <c r="F23" i="7" s="1"/>
  <c r="F22" i="7"/>
  <c r="E22" i="7"/>
  <c r="F21" i="7"/>
  <c r="E21" i="7"/>
  <c r="D18" i="7"/>
  <c r="E18" i="7" s="1"/>
  <c r="C18" i="7"/>
  <c r="F17" i="7"/>
  <c r="E17" i="7"/>
  <c r="F16" i="7"/>
  <c r="E16" i="7"/>
  <c r="F15" i="7"/>
  <c r="E15" i="7"/>
  <c r="D179" i="6"/>
  <c r="C179" i="6"/>
  <c r="E179" i="6" s="1"/>
  <c r="F178" i="6"/>
  <c r="E178" i="6"/>
  <c r="F177" i="6"/>
  <c r="E177" i="6"/>
  <c r="E176" i="6"/>
  <c r="F176" i="6" s="1"/>
  <c r="E175" i="6"/>
  <c r="F175" i="6" s="1"/>
  <c r="F174" i="6"/>
  <c r="E174" i="6"/>
  <c r="F173" i="6"/>
  <c r="E173" i="6"/>
  <c r="E172" i="6"/>
  <c r="F172" i="6" s="1"/>
  <c r="F171" i="6"/>
  <c r="E171" i="6"/>
  <c r="F170" i="6"/>
  <c r="E170" i="6"/>
  <c r="F169" i="6"/>
  <c r="E169" i="6"/>
  <c r="E168" i="6"/>
  <c r="F168" i="6" s="1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E160" i="6"/>
  <c r="F160" i="6" s="1"/>
  <c r="E159" i="6"/>
  <c r="F159" i="6" s="1"/>
  <c r="F158" i="6"/>
  <c r="E158" i="6"/>
  <c r="F157" i="6"/>
  <c r="E157" i="6"/>
  <c r="E156" i="6"/>
  <c r="F156" i="6" s="1"/>
  <c r="F155" i="6"/>
  <c r="E155" i="6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E148" i="6"/>
  <c r="F148" i="6" s="1"/>
  <c r="F147" i="6"/>
  <c r="E147" i="6"/>
  <c r="F146" i="6"/>
  <c r="E146" i="6"/>
  <c r="F145" i="6"/>
  <c r="E145" i="6"/>
  <c r="E144" i="6"/>
  <c r="F144" i="6" s="1"/>
  <c r="F143" i="6"/>
  <c r="E143" i="6"/>
  <c r="F142" i="6"/>
  <c r="E142" i="6"/>
  <c r="D137" i="6"/>
  <c r="C137" i="6"/>
  <c r="F136" i="6"/>
  <c r="E136" i="6"/>
  <c r="F135" i="6"/>
  <c r="E135" i="6"/>
  <c r="F134" i="6"/>
  <c r="E134" i="6"/>
  <c r="E133" i="6"/>
  <c r="F133" i="6" s="1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E121" i="6"/>
  <c r="F121" i="6" s="1"/>
  <c r="E120" i="6"/>
  <c r="F120" i="6" s="1"/>
  <c r="F119" i="6"/>
  <c r="E119" i="6"/>
  <c r="F118" i="6"/>
  <c r="E118" i="6"/>
  <c r="E117" i="6"/>
  <c r="F117" i="6" s="1"/>
  <c r="F116" i="6"/>
  <c r="E116" i="6"/>
  <c r="F115" i="6"/>
  <c r="E115" i="6"/>
  <c r="F114" i="6"/>
  <c r="E114" i="6"/>
  <c r="E113" i="6"/>
  <c r="F113" i="6" s="1"/>
  <c r="D111" i="6"/>
  <c r="E111" i="6" s="1"/>
  <c r="F111" i="6" s="1"/>
  <c r="C111" i="6"/>
  <c r="F110" i="6"/>
  <c r="E110" i="6"/>
  <c r="F109" i="6"/>
  <c r="E109" i="6"/>
  <c r="F108" i="6"/>
  <c r="E108" i="6"/>
  <c r="F107" i="6"/>
  <c r="E107" i="6"/>
  <c r="F106" i="6"/>
  <c r="E106" i="6"/>
  <c r="E105" i="6"/>
  <c r="F105" i="6" s="1"/>
  <c r="E104" i="6"/>
  <c r="F104" i="6" s="1"/>
  <c r="F103" i="6"/>
  <c r="E103" i="6"/>
  <c r="F102" i="6"/>
  <c r="E102" i="6"/>
  <c r="E101" i="6"/>
  <c r="F101" i="6" s="1"/>
  <c r="F100" i="6"/>
  <c r="E100" i="6"/>
  <c r="F94" i="6"/>
  <c r="D94" i="6"/>
  <c r="E94" i="6"/>
  <c r="C94" i="6"/>
  <c r="D93" i="6"/>
  <c r="C93" i="6"/>
  <c r="F93" i="6" s="1"/>
  <c r="D92" i="6"/>
  <c r="E92" i="6" s="1"/>
  <c r="F92" i="6" s="1"/>
  <c r="C92" i="6"/>
  <c r="D91" i="6"/>
  <c r="E91" i="6"/>
  <c r="C91" i="6"/>
  <c r="F91" i="6" s="1"/>
  <c r="D90" i="6"/>
  <c r="E90" i="6" s="1"/>
  <c r="F90" i="6" s="1"/>
  <c r="C90" i="6"/>
  <c r="D89" i="6"/>
  <c r="E89" i="6"/>
  <c r="F89" i="6"/>
  <c r="C89" i="6"/>
  <c r="D88" i="6"/>
  <c r="E88" i="6" s="1"/>
  <c r="F88" i="6"/>
  <c r="C88" i="6"/>
  <c r="D87" i="6"/>
  <c r="E87" i="6" s="1"/>
  <c r="C87" i="6"/>
  <c r="F87" i="6" s="1"/>
  <c r="D86" i="6"/>
  <c r="E86" i="6" s="1"/>
  <c r="F86" i="6" s="1"/>
  <c r="C86" i="6"/>
  <c r="D85" i="6"/>
  <c r="E85" i="6"/>
  <c r="F85" i="6"/>
  <c r="C85" i="6"/>
  <c r="D84" i="6"/>
  <c r="C84" i="6"/>
  <c r="D81" i="6"/>
  <c r="C81" i="6"/>
  <c r="E81" i="6" s="1"/>
  <c r="F80" i="6"/>
  <c r="E80" i="6"/>
  <c r="F79" i="6"/>
  <c r="E79" i="6"/>
  <c r="E78" i="6"/>
  <c r="F78" i="6" s="1"/>
  <c r="E77" i="6"/>
  <c r="F77" i="6" s="1"/>
  <c r="F76" i="6"/>
  <c r="E76" i="6"/>
  <c r="F75" i="6"/>
  <c r="E75" i="6"/>
  <c r="E74" i="6"/>
  <c r="F74" i="6" s="1"/>
  <c r="F73" i="6"/>
  <c r="E73" i="6"/>
  <c r="F72" i="6"/>
  <c r="E72" i="6"/>
  <c r="F71" i="6"/>
  <c r="E71" i="6"/>
  <c r="E70" i="6"/>
  <c r="F70" i="6" s="1"/>
  <c r="D68" i="6"/>
  <c r="E68" i="6" s="1"/>
  <c r="F68" i="6" s="1"/>
  <c r="C68" i="6"/>
  <c r="F67" i="6"/>
  <c r="E67" i="6"/>
  <c r="F66" i="6"/>
  <c r="E66" i="6"/>
  <c r="F65" i="6"/>
  <c r="E65" i="6"/>
  <c r="F64" i="6"/>
  <c r="E64" i="6"/>
  <c r="F63" i="6"/>
  <c r="E63" i="6"/>
  <c r="E62" i="6"/>
  <c r="F62" i="6" s="1"/>
  <c r="E61" i="6"/>
  <c r="F61" i="6" s="1"/>
  <c r="F60" i="6"/>
  <c r="E60" i="6"/>
  <c r="F59" i="6"/>
  <c r="E59" i="6"/>
  <c r="E58" i="6"/>
  <c r="F58" i="6" s="1"/>
  <c r="F57" i="6"/>
  <c r="E57" i="6"/>
  <c r="F51" i="6"/>
  <c r="D51" i="6"/>
  <c r="E51" i="6"/>
  <c r="C51" i="6"/>
  <c r="D50" i="6"/>
  <c r="E50" i="6"/>
  <c r="C50" i="6"/>
  <c r="F50" i="6" s="1"/>
  <c r="D49" i="6"/>
  <c r="E49" i="6" s="1"/>
  <c r="F49" i="6"/>
  <c r="C49" i="6"/>
  <c r="D48" i="6"/>
  <c r="E48" i="6"/>
  <c r="C48" i="6"/>
  <c r="D47" i="6"/>
  <c r="E47" i="6" s="1"/>
  <c r="F47" i="6" s="1"/>
  <c r="C47" i="6"/>
  <c r="D46" i="6"/>
  <c r="C46" i="6"/>
  <c r="E46" i="6" s="1"/>
  <c r="D45" i="6"/>
  <c r="E45" i="6" s="1"/>
  <c r="F45" i="6" s="1"/>
  <c r="C45" i="6"/>
  <c r="D44" i="6"/>
  <c r="E44" i="6" s="1"/>
  <c r="C44" i="6"/>
  <c r="F44" i="6" s="1"/>
  <c r="D43" i="6"/>
  <c r="E43" i="6" s="1"/>
  <c r="F43" i="6"/>
  <c r="C43" i="6"/>
  <c r="D42" i="6"/>
  <c r="E42" i="6"/>
  <c r="F42" i="6"/>
  <c r="C42" i="6"/>
  <c r="D41" i="6"/>
  <c r="C41" i="6"/>
  <c r="D38" i="6"/>
  <c r="E38" i="6"/>
  <c r="C38" i="6"/>
  <c r="F37" i="6"/>
  <c r="E37" i="6"/>
  <c r="F36" i="6"/>
  <c r="E36" i="6"/>
  <c r="E35" i="6"/>
  <c r="F35" i="6" s="1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F27" i="6"/>
  <c r="E27" i="6"/>
  <c r="D25" i="6"/>
  <c r="E25" i="6"/>
  <c r="C25" i="6"/>
  <c r="F24" i="6"/>
  <c r="E24" i="6"/>
  <c r="F23" i="6"/>
  <c r="E23" i="6"/>
  <c r="E22" i="6"/>
  <c r="F22" i="6" s="1"/>
  <c r="E21" i="6"/>
  <c r="F21" i="6" s="1"/>
  <c r="F20" i="6"/>
  <c r="E20" i="6"/>
  <c r="E19" i="6"/>
  <c r="F19" i="6" s="1"/>
  <c r="F18" i="6"/>
  <c r="E18" i="6"/>
  <c r="F17" i="6"/>
  <c r="E17" i="6"/>
  <c r="F16" i="6"/>
  <c r="E16" i="6"/>
  <c r="E15" i="6"/>
  <c r="F15" i="6" s="1"/>
  <c r="E14" i="6"/>
  <c r="F14" i="6" s="1"/>
  <c r="E51" i="5"/>
  <c r="F51" i="5" s="1"/>
  <c r="D48" i="5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E33" i="5" s="1"/>
  <c r="F33" i="5" s="1"/>
  <c r="C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F26" i="5"/>
  <c r="E26" i="5"/>
  <c r="F25" i="5"/>
  <c r="E25" i="5"/>
  <c r="E24" i="5"/>
  <c r="F24" i="5" s="1"/>
  <c r="F20" i="5"/>
  <c r="E20" i="5"/>
  <c r="E19" i="5"/>
  <c r="F19" i="5" s="1"/>
  <c r="E17" i="5"/>
  <c r="F17" i="5" s="1"/>
  <c r="D16" i="5"/>
  <c r="D18" i="5"/>
  <c r="D21" i="5" s="1"/>
  <c r="C16" i="5"/>
  <c r="C18" i="5" s="1"/>
  <c r="F15" i="5"/>
  <c r="E15" i="5"/>
  <c r="F14" i="5"/>
  <c r="E14" i="5"/>
  <c r="E13" i="5"/>
  <c r="F13" i="5" s="1"/>
  <c r="F12" i="5"/>
  <c r="E12" i="5"/>
  <c r="D73" i="4"/>
  <c r="C73" i="4"/>
  <c r="E72" i="4"/>
  <c r="F72" i="4"/>
  <c r="E71" i="4"/>
  <c r="F71" i="4"/>
  <c r="E70" i="4"/>
  <c r="F70" i="4" s="1"/>
  <c r="F67" i="4"/>
  <c r="E67" i="4"/>
  <c r="E64" i="4"/>
  <c r="F64" i="4"/>
  <c r="E63" i="4"/>
  <c r="F63" i="4"/>
  <c r="D61" i="4"/>
  <c r="D65" i="4" s="1"/>
  <c r="E65" i="4" s="1"/>
  <c r="F65" i="4" s="1"/>
  <c r="C61" i="4"/>
  <c r="E60" i="4"/>
  <c r="F60" i="4" s="1"/>
  <c r="E59" i="4"/>
  <c r="F59" i="4" s="1"/>
  <c r="D56" i="4"/>
  <c r="C56" i="4"/>
  <c r="E55" i="4"/>
  <c r="F55" i="4" s="1"/>
  <c r="E54" i="4"/>
  <c r="F54" i="4" s="1"/>
  <c r="E53" i="4"/>
  <c r="F53" i="4"/>
  <c r="F52" i="4"/>
  <c r="E52" i="4"/>
  <c r="F51" i="4"/>
  <c r="E51" i="4"/>
  <c r="E50" i="4"/>
  <c r="F50" i="4" s="1"/>
  <c r="A50" i="4"/>
  <c r="A51" i="4"/>
  <c r="A52" i="4" s="1"/>
  <c r="A53" i="4" s="1"/>
  <c r="A54" i="4"/>
  <c r="A55" i="4"/>
  <c r="E49" i="4"/>
  <c r="F49" i="4"/>
  <c r="E40" i="4"/>
  <c r="F40" i="4"/>
  <c r="D38" i="4"/>
  <c r="D41" i="4" s="1"/>
  <c r="C38" i="4"/>
  <c r="E37" i="4"/>
  <c r="F37" i="4"/>
  <c r="E36" i="4"/>
  <c r="F36" i="4"/>
  <c r="E33" i="4"/>
  <c r="F33" i="4" s="1"/>
  <c r="E32" i="4"/>
  <c r="F32" i="4"/>
  <c r="E31" i="4"/>
  <c r="F31" i="4"/>
  <c r="D29" i="4"/>
  <c r="C29" i="4"/>
  <c r="E28" i="4"/>
  <c r="F28" i="4" s="1"/>
  <c r="F27" i="4"/>
  <c r="E27" i="4"/>
  <c r="E26" i="4"/>
  <c r="F26" i="4"/>
  <c r="F25" i="4"/>
  <c r="E25" i="4"/>
  <c r="D22" i="4"/>
  <c r="D43" i="4"/>
  <c r="C22" i="4"/>
  <c r="E21" i="4"/>
  <c r="F21" i="4" s="1"/>
  <c r="E20" i="4"/>
  <c r="F20" i="4"/>
  <c r="E19" i="4"/>
  <c r="F19" i="4"/>
  <c r="E18" i="4"/>
  <c r="F18" i="4" s="1"/>
  <c r="F17" i="4"/>
  <c r="E17" i="4"/>
  <c r="E16" i="4"/>
  <c r="F16" i="4"/>
  <c r="E15" i="4"/>
  <c r="F15" i="4" s="1"/>
  <c r="E14" i="4"/>
  <c r="F14" i="4" s="1"/>
  <c r="E13" i="4"/>
  <c r="F13" i="4" s="1"/>
  <c r="D22" i="22"/>
  <c r="C23" i="22"/>
  <c r="E23" i="22"/>
  <c r="D33" i="22"/>
  <c r="C34" i="22"/>
  <c r="E34" i="22"/>
  <c r="D101" i="22"/>
  <c r="E102" i="22"/>
  <c r="D111" i="22"/>
  <c r="C22" i="22"/>
  <c r="E22" i="22"/>
  <c r="F25" i="20"/>
  <c r="E19" i="20"/>
  <c r="F19" i="20"/>
  <c r="C20" i="20"/>
  <c r="E25" i="20"/>
  <c r="E36" i="20"/>
  <c r="F36" i="20" s="1"/>
  <c r="C39" i="20"/>
  <c r="C40" i="20"/>
  <c r="E43" i="20"/>
  <c r="E44" i="20"/>
  <c r="F45" i="20"/>
  <c r="C46" i="20"/>
  <c r="F95" i="17"/>
  <c r="E100" i="17"/>
  <c r="E110" i="17"/>
  <c r="E69" i="18"/>
  <c r="D284" i="18"/>
  <c r="E85" i="17"/>
  <c r="E129" i="17"/>
  <c r="F129" i="17"/>
  <c r="E130" i="17"/>
  <c r="F130" i="17" s="1"/>
  <c r="E294" i="17"/>
  <c r="F294" i="17" s="1"/>
  <c r="E295" i="17"/>
  <c r="F295" i="17" s="1"/>
  <c r="E296" i="17"/>
  <c r="E298" i="17"/>
  <c r="E299" i="17"/>
  <c r="D283" i="18"/>
  <c r="C22" i="18"/>
  <c r="E22" i="18" s="1"/>
  <c r="C284" i="18"/>
  <c r="E284" i="18" s="1"/>
  <c r="C294" i="18"/>
  <c r="E32" i="18"/>
  <c r="D33" i="18"/>
  <c r="E54" i="18"/>
  <c r="E60" i="18"/>
  <c r="D65" i="18"/>
  <c r="D66" i="18" s="1"/>
  <c r="D71" i="18"/>
  <c r="C241" i="18"/>
  <c r="E243" i="18"/>
  <c r="D163" i="18"/>
  <c r="D261" i="18"/>
  <c r="D189" i="18"/>
  <c r="E189" i="18"/>
  <c r="E188" i="18"/>
  <c r="E195" i="18"/>
  <c r="D210" i="18"/>
  <c r="D234" i="18" s="1"/>
  <c r="E215" i="18"/>
  <c r="E221" i="18"/>
  <c r="D252" i="18"/>
  <c r="E252" i="18"/>
  <c r="E231" i="18"/>
  <c r="E251" i="18"/>
  <c r="C261" i="18"/>
  <c r="E139" i="18"/>
  <c r="D144" i="18"/>
  <c r="E219" i="18"/>
  <c r="D229" i="18"/>
  <c r="D240" i="18"/>
  <c r="E240" i="18" s="1"/>
  <c r="D244" i="18"/>
  <c r="E244" i="18" s="1"/>
  <c r="D253" i="18"/>
  <c r="E253" i="18" s="1"/>
  <c r="E265" i="18"/>
  <c r="D320" i="18"/>
  <c r="E320" i="18" s="1"/>
  <c r="E316" i="18"/>
  <c r="D303" i="18"/>
  <c r="E314" i="18"/>
  <c r="D326" i="18"/>
  <c r="C222" i="18"/>
  <c r="C90" i="17"/>
  <c r="F90" i="17" s="1"/>
  <c r="C61" i="17"/>
  <c r="E89" i="17"/>
  <c r="D32" i="17"/>
  <c r="E31" i="17"/>
  <c r="F31" i="17" s="1"/>
  <c r="D90" i="17"/>
  <c r="E90" i="17"/>
  <c r="F48" i="17"/>
  <c r="D61" i="17"/>
  <c r="E60" i="17"/>
  <c r="F60" i="17"/>
  <c r="D103" i="17"/>
  <c r="D104" i="17" s="1"/>
  <c r="C21" i="17"/>
  <c r="E30" i="17"/>
  <c r="F30" i="17" s="1"/>
  <c r="E35" i="17"/>
  <c r="F35" i="17" s="1"/>
  <c r="C37" i="17"/>
  <c r="E47" i="17"/>
  <c r="F47" i="17" s="1"/>
  <c r="E59" i="17"/>
  <c r="F59" i="17" s="1"/>
  <c r="F66" i="17"/>
  <c r="F85" i="17"/>
  <c r="F94" i="17"/>
  <c r="F120" i="17"/>
  <c r="D124" i="17"/>
  <c r="C207" i="17"/>
  <c r="C138" i="17"/>
  <c r="F172" i="17"/>
  <c r="E88" i="17"/>
  <c r="F88" i="17" s="1"/>
  <c r="E109" i="17"/>
  <c r="F109" i="17"/>
  <c r="C193" i="17"/>
  <c r="C192" i="17"/>
  <c r="E192" i="17" s="1"/>
  <c r="E123" i="17"/>
  <c r="F123" i="17" s="1"/>
  <c r="C124" i="17"/>
  <c r="D137" i="17"/>
  <c r="D207" i="17" s="1"/>
  <c r="D208" i="17" s="1"/>
  <c r="D146" i="17"/>
  <c r="D159" i="17"/>
  <c r="D161" i="17" s="1"/>
  <c r="E159" i="17"/>
  <c r="D172" i="17"/>
  <c r="D181" i="17"/>
  <c r="E181" i="17" s="1"/>
  <c r="C287" i="17"/>
  <c r="C284" i="17"/>
  <c r="C279" i="17"/>
  <c r="E188" i="17"/>
  <c r="F188" i="17" s="1"/>
  <c r="C190" i="17"/>
  <c r="E191" i="17"/>
  <c r="F191" i="17"/>
  <c r="C290" i="17"/>
  <c r="C274" i="17"/>
  <c r="C199" i="17"/>
  <c r="C200" i="17"/>
  <c r="C206" i="17"/>
  <c r="C214" i="17"/>
  <c r="C216" i="17" s="1"/>
  <c r="C215" i="17"/>
  <c r="C254" i="17"/>
  <c r="C261" i="17"/>
  <c r="C262" i="17"/>
  <c r="C264" i="17"/>
  <c r="C267" i="17"/>
  <c r="E277" i="17"/>
  <c r="F277" i="17"/>
  <c r="D190" i="17"/>
  <c r="E190" i="17" s="1"/>
  <c r="F280" i="17"/>
  <c r="D193" i="17"/>
  <c r="D194" i="17" s="1"/>
  <c r="D274" i="17"/>
  <c r="E274" i="17"/>
  <c r="F274" i="17" s="1"/>
  <c r="D200" i="17"/>
  <c r="E200" i="17"/>
  <c r="F200" i="17" s="1"/>
  <c r="D283" i="17"/>
  <c r="D287" i="17"/>
  <c r="D267" i="17"/>
  <c r="D285" i="17"/>
  <c r="D269" i="17"/>
  <c r="D205" i="17"/>
  <c r="D206" i="17"/>
  <c r="E206" i="17"/>
  <c r="D214" i="17"/>
  <c r="D261" i="17"/>
  <c r="D262" i="17"/>
  <c r="D264" i="17"/>
  <c r="E264" i="17" s="1"/>
  <c r="F264" i="17" s="1"/>
  <c r="F296" i="17"/>
  <c r="F298" i="17"/>
  <c r="F299" i="17"/>
  <c r="F36" i="14"/>
  <c r="F38" i="14"/>
  <c r="F40" i="14"/>
  <c r="D31" i="14"/>
  <c r="F31" i="14"/>
  <c r="E33" i="14"/>
  <c r="E36" i="14" s="1"/>
  <c r="E38" i="14" s="1"/>
  <c r="E40" i="14"/>
  <c r="G33" i="14"/>
  <c r="D15" i="13"/>
  <c r="E17" i="13"/>
  <c r="E28" i="13"/>
  <c r="E70" i="13"/>
  <c r="E72" i="13"/>
  <c r="E69" i="13" s="1"/>
  <c r="D48" i="13"/>
  <c r="D42" i="13" s="1"/>
  <c r="C20" i="12"/>
  <c r="D20" i="12"/>
  <c r="E17" i="12"/>
  <c r="F17" i="12" s="1"/>
  <c r="E15" i="12"/>
  <c r="F15" i="12"/>
  <c r="F73" i="11"/>
  <c r="E22" i="11"/>
  <c r="F22" i="11" s="1"/>
  <c r="E38" i="11"/>
  <c r="F38" i="11"/>
  <c r="E56" i="11"/>
  <c r="F56" i="11"/>
  <c r="E61" i="11"/>
  <c r="F61" i="11"/>
  <c r="E113" i="10"/>
  <c r="E198" i="9"/>
  <c r="F198" i="9" s="1"/>
  <c r="E199" i="9"/>
  <c r="F199" i="9"/>
  <c r="D24" i="8"/>
  <c r="D17" i="8"/>
  <c r="D112" i="8" s="1"/>
  <c r="D111" i="8" s="1"/>
  <c r="C88" i="8"/>
  <c r="C90" i="8"/>
  <c r="C77" i="8"/>
  <c r="C71" i="8"/>
  <c r="E88" i="8"/>
  <c r="E90" i="8" s="1"/>
  <c r="E86" i="8"/>
  <c r="E77" i="8"/>
  <c r="E71" i="8" s="1"/>
  <c r="D156" i="8"/>
  <c r="D154" i="8"/>
  <c r="D152" i="8"/>
  <c r="D155" i="8"/>
  <c r="C25" i="8"/>
  <c r="C27" i="8" s="1"/>
  <c r="C15" i="8"/>
  <c r="E25" i="8"/>
  <c r="E27" i="8" s="1"/>
  <c r="D57" i="8"/>
  <c r="D62" i="8"/>
  <c r="D71" i="8"/>
  <c r="C109" i="8"/>
  <c r="C106" i="8"/>
  <c r="E109" i="8"/>
  <c r="E106" i="8" s="1"/>
  <c r="E149" i="8"/>
  <c r="C155" i="8"/>
  <c r="C153" i="8"/>
  <c r="E155" i="8"/>
  <c r="E152" i="8"/>
  <c r="C49" i="8"/>
  <c r="E59" i="7"/>
  <c r="F59" i="7" s="1"/>
  <c r="F90" i="7"/>
  <c r="F167" i="7"/>
  <c r="D95" i="7"/>
  <c r="E90" i="7"/>
  <c r="C95" i="7"/>
  <c r="E130" i="7"/>
  <c r="F130" i="7"/>
  <c r="E183" i="7"/>
  <c r="F183" i="7" s="1"/>
  <c r="C188" i="7"/>
  <c r="E41" i="6"/>
  <c r="F41" i="6"/>
  <c r="E84" i="6"/>
  <c r="F84" i="6" s="1"/>
  <c r="C21" i="5"/>
  <c r="E18" i="5"/>
  <c r="F18" i="5" s="1"/>
  <c r="E16" i="5"/>
  <c r="F16" i="5" s="1"/>
  <c r="E22" i="4"/>
  <c r="F22" i="4" s="1"/>
  <c r="E38" i="4"/>
  <c r="F38" i="4" s="1"/>
  <c r="C41" i="4"/>
  <c r="E41" i="4" s="1"/>
  <c r="E61" i="4"/>
  <c r="F61" i="4" s="1"/>
  <c r="C65" i="4"/>
  <c r="E73" i="4"/>
  <c r="F73" i="4"/>
  <c r="C75" i="4"/>
  <c r="E53" i="22"/>
  <c r="C54" i="22"/>
  <c r="C46" i="22"/>
  <c r="C40" i="22"/>
  <c r="C36" i="22"/>
  <c r="C30" i="22"/>
  <c r="C53" i="22"/>
  <c r="D53" i="22"/>
  <c r="D45" i="22"/>
  <c r="D39" i="22"/>
  <c r="D35" i="22"/>
  <c r="D29" i="22"/>
  <c r="E40" i="20"/>
  <c r="F40" i="20" s="1"/>
  <c r="E20" i="20"/>
  <c r="F20" i="20" s="1"/>
  <c r="F43" i="20"/>
  <c r="E39" i="20"/>
  <c r="E326" i="18"/>
  <c r="D330" i="18"/>
  <c r="E330" i="18"/>
  <c r="D306" i="18"/>
  <c r="C223" i="18"/>
  <c r="D211" i="18"/>
  <c r="D294" i="18"/>
  <c r="D180" i="18"/>
  <c r="D145" i="18"/>
  <c r="D181" i="18" s="1"/>
  <c r="E144" i="18"/>
  <c r="E261" i="18"/>
  <c r="D295" i="18"/>
  <c r="E33" i="18"/>
  <c r="C44" i="18"/>
  <c r="E287" i="17"/>
  <c r="F287" i="17" s="1"/>
  <c r="D271" i="17"/>
  <c r="D268" i="17"/>
  <c r="D263" i="17"/>
  <c r="E261" i="17"/>
  <c r="D270" i="17"/>
  <c r="E267" i="17"/>
  <c r="F267" i="17" s="1"/>
  <c r="F261" i="17"/>
  <c r="F206" i="17"/>
  <c r="F190" i="17"/>
  <c r="E172" i="17"/>
  <c r="D173" i="17"/>
  <c r="D175" i="17" s="1"/>
  <c r="D176" i="17" s="1"/>
  <c r="E173" i="17"/>
  <c r="F192" i="17"/>
  <c r="D266" i="17"/>
  <c r="E124" i="17"/>
  <c r="F124" i="17"/>
  <c r="D125" i="17"/>
  <c r="E125" i="17" s="1"/>
  <c r="F125" i="17" s="1"/>
  <c r="C175" i="17"/>
  <c r="D272" i="17"/>
  <c r="E262" i="17"/>
  <c r="F262" i="17"/>
  <c r="D254" i="17"/>
  <c r="E283" i="17"/>
  <c r="F283" i="17"/>
  <c r="D286" i="17"/>
  <c r="D284" i="17"/>
  <c r="E284" i="17" s="1"/>
  <c r="F284" i="17" s="1"/>
  <c r="E137" i="17"/>
  <c r="F137" i="17"/>
  <c r="D138" i="17"/>
  <c r="E138" i="17"/>
  <c r="C194" i="17"/>
  <c r="D49" i="17"/>
  <c r="D126" i="17"/>
  <c r="D91" i="17"/>
  <c r="E21" i="17"/>
  <c r="F21" i="17"/>
  <c r="C208" i="17"/>
  <c r="C126" i="17"/>
  <c r="C127" i="17" s="1"/>
  <c r="C91" i="17"/>
  <c r="C92" i="17" s="1"/>
  <c r="C49" i="17"/>
  <c r="E49" i="17" s="1"/>
  <c r="D174" i="17"/>
  <c r="D62" i="17"/>
  <c r="D63" i="17" s="1"/>
  <c r="D105" i="17"/>
  <c r="E32" i="17"/>
  <c r="F32" i="17"/>
  <c r="C125" i="17"/>
  <c r="G36" i="14"/>
  <c r="G38" i="14"/>
  <c r="G40" i="14"/>
  <c r="D34" i="12"/>
  <c r="E20" i="12"/>
  <c r="F20" i="12"/>
  <c r="E21" i="8"/>
  <c r="E140" i="8"/>
  <c r="E138" i="8"/>
  <c r="E136" i="8"/>
  <c r="E137" i="8"/>
  <c r="E139" i="8"/>
  <c r="E135" i="8"/>
  <c r="E24" i="8"/>
  <c r="E20" i="8"/>
  <c r="E17" i="8"/>
  <c r="E112" i="8" s="1"/>
  <c r="E111" i="8" s="1"/>
  <c r="C24" i="8"/>
  <c r="C17" i="8"/>
  <c r="C28" i="8" s="1"/>
  <c r="D28" i="8"/>
  <c r="D99" i="8" s="1"/>
  <c r="D101" i="8" s="1"/>
  <c r="E95" i="7"/>
  <c r="F95" i="7"/>
  <c r="D35" i="5"/>
  <c r="D43" i="5" s="1"/>
  <c r="E21" i="5"/>
  <c r="F41" i="4"/>
  <c r="D55" i="22"/>
  <c r="D47" i="22"/>
  <c r="D37" i="22"/>
  <c r="C56" i="22"/>
  <c r="C48" i="22"/>
  <c r="C38" i="22"/>
  <c r="E175" i="17"/>
  <c r="F39" i="20"/>
  <c r="C258" i="18"/>
  <c r="C100" i="18"/>
  <c r="C98" i="18"/>
  <c r="C96" i="18"/>
  <c r="C101" i="18"/>
  <c r="C97" i="18"/>
  <c r="C89" i="18"/>
  <c r="C87" i="18"/>
  <c r="C85" i="18"/>
  <c r="C83" i="18"/>
  <c r="C91" i="18" s="1"/>
  <c r="C99" i="18"/>
  <c r="C95" i="18"/>
  <c r="C88" i="18"/>
  <c r="C86" i="18"/>
  <c r="C84" i="18"/>
  <c r="C90" i="18" s="1"/>
  <c r="D310" i="18"/>
  <c r="D235" i="18"/>
  <c r="C50" i="17"/>
  <c r="D92" i="17"/>
  <c r="D50" i="17"/>
  <c r="F49" i="17"/>
  <c r="E254" i="17"/>
  <c r="F254" i="17"/>
  <c r="D127" i="17"/>
  <c r="E207" i="17"/>
  <c r="F207" i="17"/>
  <c r="D42" i="12"/>
  <c r="C112" i="8"/>
  <c r="C111" i="8" s="1"/>
  <c r="E28" i="8"/>
  <c r="E99" i="8" s="1"/>
  <c r="E101" i="8" s="1"/>
  <c r="E98" i="8" s="1"/>
  <c r="C102" i="18"/>
  <c r="C103" i="18" s="1"/>
  <c r="D210" i="17"/>
  <c r="D211" i="17" s="1"/>
  <c r="D209" i="17"/>
  <c r="D49" i="12"/>
  <c r="E22" i="8"/>
  <c r="C99" i="8"/>
  <c r="C101" i="8" s="1"/>
  <c r="D50" i="5"/>
  <c r="D195" i="17" l="1"/>
  <c r="E194" i="17"/>
  <c r="F194" i="17" s="1"/>
  <c r="D196" i="17"/>
  <c r="D98" i="8"/>
  <c r="F127" i="17"/>
  <c r="D106" i="17"/>
  <c r="E163" i="18"/>
  <c r="E35" i="22"/>
  <c r="E29" i="22"/>
  <c r="E45" i="22"/>
  <c r="E39" i="22"/>
  <c r="E110" i="22"/>
  <c r="D137" i="8"/>
  <c r="D135" i="8"/>
  <c r="D140" i="8"/>
  <c r="D139" i="8"/>
  <c r="C35" i="22"/>
  <c r="C29" i="22"/>
  <c r="C39" i="22"/>
  <c r="D162" i="17"/>
  <c r="E141" i="8"/>
  <c r="E174" i="17"/>
  <c r="E294" i="18"/>
  <c r="E237" i="17"/>
  <c r="F237" i="17" s="1"/>
  <c r="F290" i="17"/>
  <c r="C140" i="17"/>
  <c r="F138" i="17"/>
  <c r="F62" i="9"/>
  <c r="E62" i="9"/>
  <c r="E47" i="12"/>
  <c r="F47" i="12"/>
  <c r="E22" i="13"/>
  <c r="E20" i="13"/>
  <c r="E126" i="17"/>
  <c r="F126" i="17" s="1"/>
  <c r="D300" i="17"/>
  <c r="E300" i="17" s="1"/>
  <c r="C45" i="22"/>
  <c r="E21" i="13"/>
  <c r="D254" i="18"/>
  <c r="E254" i="18" s="1"/>
  <c r="F48" i="6"/>
  <c r="E93" i="6"/>
  <c r="C149" i="8"/>
  <c r="F49" i="9"/>
  <c r="F32" i="12"/>
  <c r="C34" i="12"/>
  <c r="E48" i="13"/>
  <c r="E42" i="13" s="1"/>
  <c r="E59" i="13"/>
  <c r="E61" i="13" s="1"/>
  <c r="E57" i="13" s="1"/>
  <c r="C285" i="17"/>
  <c r="C205" i="17"/>
  <c r="C269" i="17"/>
  <c r="C272" i="17" s="1"/>
  <c r="E204" i="17"/>
  <c r="F204" i="17" s="1"/>
  <c r="C255" i="17"/>
  <c r="C139" i="17"/>
  <c r="C62" i="17"/>
  <c r="C209" i="17"/>
  <c r="E30" i="22"/>
  <c r="E46" i="22"/>
  <c r="E54" i="22"/>
  <c r="C227" i="17"/>
  <c r="C266" i="17"/>
  <c r="C265" i="17" s="1"/>
  <c r="F226" i="17"/>
  <c r="C282" i="17"/>
  <c r="F230" i="17"/>
  <c r="C210" i="17"/>
  <c r="E102" i="17"/>
  <c r="F102" i="17"/>
  <c r="C103" i="17"/>
  <c r="C37" i="19"/>
  <c r="C38" i="19" s="1"/>
  <c r="C127" i="19" s="1"/>
  <c r="C129" i="19" s="1"/>
  <c r="C133" i="19" s="1"/>
  <c r="C22" i="19"/>
  <c r="C105" i="18"/>
  <c r="D160" i="17"/>
  <c r="F175" i="17"/>
  <c r="C176" i="17"/>
  <c r="F176" i="17" s="1"/>
  <c r="C300" i="17"/>
  <c r="E146" i="17"/>
  <c r="C152" i="8"/>
  <c r="C158" i="8" s="1"/>
  <c r="C154" i="8"/>
  <c r="C157" i="8"/>
  <c r="C156" i="8"/>
  <c r="F76" i="9"/>
  <c r="F24" i="10"/>
  <c r="E24" i="10"/>
  <c r="I17" i="14"/>
  <c r="C33" i="14"/>
  <c r="H17" i="14"/>
  <c r="C31" i="14"/>
  <c r="I31" i="14" s="1"/>
  <c r="E17" i="17"/>
  <c r="F17" i="17" s="1"/>
  <c r="E16" i="20"/>
  <c r="F16" i="20" s="1"/>
  <c r="D54" i="22"/>
  <c r="D40" i="22"/>
  <c r="D46" i="22"/>
  <c r="D30" i="22"/>
  <c r="D36" i="22"/>
  <c r="D108" i="22"/>
  <c r="D110" i="22"/>
  <c r="D112" i="22"/>
  <c r="D273" i="17"/>
  <c r="E36" i="22"/>
  <c r="F21" i="5"/>
  <c r="C35" i="5"/>
  <c r="D158" i="8"/>
  <c r="D17" i="13"/>
  <c r="D28" i="13" s="1"/>
  <c r="D70" i="13" s="1"/>
  <c r="D72" i="13" s="1"/>
  <c r="D69" i="13" s="1"/>
  <c r="D24" i="13"/>
  <c r="C271" i="17"/>
  <c r="E271" i="17" s="1"/>
  <c r="C263" i="17"/>
  <c r="C268" i="17"/>
  <c r="E208" i="17"/>
  <c r="F208" i="17" s="1"/>
  <c r="C161" i="17"/>
  <c r="C196" i="17"/>
  <c r="D75" i="4"/>
  <c r="E75" i="4" s="1"/>
  <c r="F75" i="4" s="1"/>
  <c r="E56" i="4"/>
  <c r="F56" i="4" s="1"/>
  <c r="F179" i="6"/>
  <c r="D21" i="8"/>
  <c r="D22" i="8"/>
  <c r="D20" i="8"/>
  <c r="D53" i="8"/>
  <c r="D43" i="8"/>
  <c r="D49" i="8"/>
  <c r="E76" i="9"/>
  <c r="E89" i="9"/>
  <c r="E202" i="9"/>
  <c r="F202" i="9"/>
  <c r="E206" i="9"/>
  <c r="F206" i="9"/>
  <c r="D156" i="18"/>
  <c r="E151" i="18"/>
  <c r="E266" i="17"/>
  <c r="D70" i="17"/>
  <c r="E50" i="17"/>
  <c r="D138" i="8"/>
  <c r="E214" i="17"/>
  <c r="C304" i="17"/>
  <c r="F214" i="17"/>
  <c r="C303" i="18"/>
  <c r="E302" i="18"/>
  <c r="E77" i="22"/>
  <c r="E101" i="22"/>
  <c r="E103" i="22" s="1"/>
  <c r="D324" i="17"/>
  <c r="E92" i="17"/>
  <c r="F92" i="17" s="1"/>
  <c r="D140" i="17"/>
  <c r="D139" i="17"/>
  <c r="E139" i="17" s="1"/>
  <c r="E145" i="18"/>
  <c r="C20" i="8"/>
  <c r="C22" i="8"/>
  <c r="C21" i="8"/>
  <c r="D136" i="8"/>
  <c r="E193" i="17"/>
  <c r="F193" i="17" s="1"/>
  <c r="D282" i="17"/>
  <c r="E164" i="17"/>
  <c r="D113" i="17"/>
  <c r="D265" i="17"/>
  <c r="F46" i="6"/>
  <c r="D121" i="10"/>
  <c r="E112" i="10"/>
  <c r="C66" i="18"/>
  <c r="E66" i="18" s="1"/>
  <c r="C246" i="18"/>
  <c r="E65" i="18"/>
  <c r="C156" i="18"/>
  <c r="C163" i="18"/>
  <c r="E127" i="17"/>
  <c r="F50" i="17"/>
  <c r="E188" i="7"/>
  <c r="F188" i="7" s="1"/>
  <c r="C174" i="17"/>
  <c r="E61" i="17"/>
  <c r="F61" i="17" s="1"/>
  <c r="E91" i="17"/>
  <c r="F91" i="17" s="1"/>
  <c r="E40" i="22"/>
  <c r="H31" i="14"/>
  <c r="E76" i="17"/>
  <c r="F76" i="17" s="1"/>
  <c r="F44" i="20"/>
  <c r="E46" i="20"/>
  <c r="D109" i="22"/>
  <c r="C43" i="4"/>
  <c r="F29" i="4"/>
  <c r="C52" i="6"/>
  <c r="C95" i="6"/>
  <c r="E157" i="8"/>
  <c r="E153" i="8"/>
  <c r="E156" i="8"/>
  <c r="E158" i="8" s="1"/>
  <c r="E154" i="8"/>
  <c r="E38" i="18"/>
  <c r="D43" i="18"/>
  <c r="D77" i="18"/>
  <c r="E24" i="9"/>
  <c r="F24" i="9"/>
  <c r="E204" i="9"/>
  <c r="F204" i="9"/>
  <c r="D215" i="17"/>
  <c r="D278" i="17"/>
  <c r="C283" i="18"/>
  <c r="E283" i="18" s="1"/>
  <c r="E21" i="18"/>
  <c r="C210" i="18"/>
  <c r="C229" i="18"/>
  <c r="E229" i="18" s="1"/>
  <c r="C175" i="18"/>
  <c r="E175" i="18" s="1"/>
  <c r="E205" i="18"/>
  <c r="E218" i="18"/>
  <c r="D217" i="18"/>
  <c r="D304" i="17"/>
  <c r="D153" i="8"/>
  <c r="D242" i="18"/>
  <c r="E242" i="18" s="1"/>
  <c r="E297" i="17"/>
  <c r="F297" i="17" s="1"/>
  <c r="F46" i="20"/>
  <c r="F38" i="6"/>
  <c r="F72" i="10"/>
  <c r="E72" i="10"/>
  <c r="D57" i="13"/>
  <c r="F17" i="16"/>
  <c r="C111" i="17"/>
  <c r="F110" i="17"/>
  <c r="C180" i="18"/>
  <c r="E180" i="18" s="1"/>
  <c r="C145" i="18"/>
  <c r="E245" i="18"/>
  <c r="F48" i="5"/>
  <c r="E48" i="5"/>
  <c r="E41" i="7"/>
  <c r="F41" i="7"/>
  <c r="E53" i="8"/>
  <c r="E43" i="8"/>
  <c r="E49" i="8"/>
  <c r="D109" i="8"/>
  <c r="D106" i="8" s="1"/>
  <c r="E21" i="16"/>
  <c r="F21" i="16" s="1"/>
  <c r="E77" i="17"/>
  <c r="C195" i="17"/>
  <c r="E285" i="17"/>
  <c r="C160" i="17"/>
  <c r="D222" i="18"/>
  <c r="C41" i="20"/>
  <c r="F81" i="6"/>
  <c r="E153" i="9"/>
  <c r="D208" i="9"/>
  <c r="E208" i="9" s="1"/>
  <c r="F208" i="9" s="1"/>
  <c r="E83" i="10"/>
  <c r="E41" i="11"/>
  <c r="F41" i="11" s="1"/>
  <c r="F29" i="17"/>
  <c r="C146" i="17"/>
  <c r="E144" i="17"/>
  <c r="F144" i="17" s="1"/>
  <c r="F223" i="17"/>
  <c r="E37" i="18"/>
  <c r="E70" i="18"/>
  <c r="D76" i="18"/>
  <c r="E29" i="4"/>
  <c r="E114" i="10"/>
  <c r="E198" i="17"/>
  <c r="F198" i="17" s="1"/>
  <c r="D199" i="17"/>
  <c r="E199" i="17" s="1"/>
  <c r="F199" i="17" s="1"/>
  <c r="E88" i="22"/>
  <c r="E41" i="20"/>
  <c r="C17" i="13"/>
  <c r="C28" i="13" s="1"/>
  <c r="C70" i="13" s="1"/>
  <c r="C72" i="13" s="1"/>
  <c r="C69" i="13" s="1"/>
  <c r="D290" i="17"/>
  <c r="E290" i="17" s="1"/>
  <c r="E189" i="17"/>
  <c r="F189" i="17" s="1"/>
  <c r="F121" i="7"/>
  <c r="D86" i="8"/>
  <c r="F114" i="9"/>
  <c r="E65" i="11"/>
  <c r="F65" i="11" s="1"/>
  <c r="D75" i="11"/>
  <c r="F16" i="15"/>
  <c r="E36" i="17"/>
  <c r="F36" i="17" s="1"/>
  <c r="D37" i="17"/>
  <c r="E37" i="17" s="1"/>
  <c r="F37" i="17" s="1"/>
  <c r="F67" i="17"/>
  <c r="C306" i="17"/>
  <c r="E306" i="17" s="1"/>
  <c r="E250" i="17"/>
  <c r="F250" i="17"/>
  <c r="F25" i="6"/>
  <c r="D95" i="6"/>
  <c r="E137" i="6"/>
  <c r="F137" i="6" s="1"/>
  <c r="F52" i="17"/>
  <c r="C68" i="17"/>
  <c r="E42" i="18"/>
  <c r="E230" i="18"/>
  <c r="E279" i="18"/>
  <c r="C65" i="19"/>
  <c r="C114" i="19" s="1"/>
  <c r="C116" i="19" s="1"/>
  <c r="C119" i="19" s="1"/>
  <c r="C123" i="19" s="1"/>
  <c r="F21" i="21"/>
  <c r="D52" i="6"/>
  <c r="F18" i="7"/>
  <c r="E101" i="9"/>
  <c r="F101" i="9"/>
  <c r="E48" i="10"/>
  <c r="E120" i="10"/>
  <c r="C43" i="11"/>
  <c r="E170" i="17"/>
  <c r="F19" i="21"/>
  <c r="F141" i="9"/>
  <c r="C121" i="10"/>
  <c r="F121" i="10" s="1"/>
  <c r="E155" i="17"/>
  <c r="C71" i="18"/>
  <c r="E71" i="18" s="1"/>
  <c r="C289" i="18"/>
  <c r="E289" i="18" s="1"/>
  <c r="E23" i="10"/>
  <c r="D27" i="13"/>
  <c r="E100" i="15"/>
  <c r="F100" i="15" s="1"/>
  <c r="F20" i="17"/>
  <c r="F307" i="17"/>
  <c r="C98" i="22"/>
  <c r="C57" i="8"/>
  <c r="C62" i="8" s="1"/>
  <c r="E193" i="9"/>
  <c r="F193" i="9" s="1"/>
  <c r="C42" i="13"/>
  <c r="E13" i="16"/>
  <c r="F13" i="16" s="1"/>
  <c r="E165" i="17"/>
  <c r="E230" i="17"/>
  <c r="C76" i="18"/>
  <c r="E276" i="18"/>
  <c r="C77" i="22"/>
  <c r="C207" i="9"/>
  <c r="E96" i="10"/>
  <c r="C75" i="11"/>
  <c r="C27" i="13"/>
  <c r="C59" i="13"/>
  <c r="C61" i="13" s="1"/>
  <c r="C57" i="13" s="1"/>
  <c r="F30" i="15"/>
  <c r="F44" i="17"/>
  <c r="E67" i="17"/>
  <c r="E145" i="17"/>
  <c r="F145" i="17" s="1"/>
  <c r="E41" i="18"/>
  <c r="E178" i="18"/>
  <c r="E262" i="18"/>
  <c r="D102" i="22"/>
  <c r="D103" i="22" s="1"/>
  <c r="E272" i="17" l="1"/>
  <c r="F272" i="17" s="1"/>
  <c r="D288" i="17"/>
  <c r="D279" i="17"/>
  <c r="E279" i="17" s="1"/>
  <c r="F279" i="17" s="1"/>
  <c r="E278" i="17"/>
  <c r="F278" i="17" s="1"/>
  <c r="E38" i="22"/>
  <c r="E56" i="22"/>
  <c r="E113" i="22"/>
  <c r="E48" i="22"/>
  <c r="C42" i="12"/>
  <c r="E34" i="12"/>
  <c r="F34" i="12"/>
  <c r="E215" i="17"/>
  <c r="F215" i="17" s="1"/>
  <c r="D255" i="17"/>
  <c r="E255" i="17" s="1"/>
  <c r="D216" i="17"/>
  <c r="E216" i="17" s="1"/>
  <c r="F216" i="17" s="1"/>
  <c r="C105" i="17"/>
  <c r="E55" i="22"/>
  <c r="E47" i="22"/>
  <c r="E37" i="22"/>
  <c r="E112" i="22"/>
  <c r="E207" i="9"/>
  <c r="F207" i="9"/>
  <c r="E76" i="18"/>
  <c r="D223" i="18"/>
  <c r="D246" i="18"/>
  <c r="E246" i="18" s="1"/>
  <c r="E222" i="18"/>
  <c r="E217" i="18"/>
  <c r="D241" i="18"/>
  <c r="E241" i="18" s="1"/>
  <c r="E265" i="17"/>
  <c r="F265" i="17" s="1"/>
  <c r="C36" i="14"/>
  <c r="C38" i="14" s="1"/>
  <c r="C40" i="14" s="1"/>
  <c r="H33" i="14"/>
  <c r="H36" i="14" s="1"/>
  <c r="H38" i="14" s="1"/>
  <c r="H40" i="14" s="1"/>
  <c r="I33" i="14"/>
  <c r="I36" i="14" s="1"/>
  <c r="I38" i="14" s="1"/>
  <c r="I40" i="14" s="1"/>
  <c r="E210" i="17"/>
  <c r="F210" i="17"/>
  <c r="D183" i="17"/>
  <c r="D323" i="17"/>
  <c r="C113" i="22"/>
  <c r="C108" i="22"/>
  <c r="C109" i="22"/>
  <c r="C111" i="22"/>
  <c r="F160" i="17"/>
  <c r="C181" i="18"/>
  <c r="E181" i="18" s="1"/>
  <c r="C169" i="18"/>
  <c r="F174" i="17"/>
  <c r="E108" i="22"/>
  <c r="E109" i="22"/>
  <c r="E111" i="22"/>
  <c r="F255" i="17"/>
  <c r="C77" i="18"/>
  <c r="C259" i="18"/>
  <c r="C263" i="18" s="1"/>
  <c r="C264" i="18" s="1"/>
  <c r="C266" i="18" s="1"/>
  <c r="C267" i="18" s="1"/>
  <c r="C306" i="18"/>
  <c r="E303" i="18"/>
  <c r="F111" i="17"/>
  <c r="E282" i="17"/>
  <c r="D281" i="17"/>
  <c r="E269" i="17"/>
  <c r="F269" i="17"/>
  <c r="C270" i="17"/>
  <c r="E209" i="17"/>
  <c r="F209" i="17" s="1"/>
  <c r="E52" i="6"/>
  <c r="F52" i="6" s="1"/>
  <c r="C211" i="18"/>
  <c r="C234" i="18"/>
  <c r="E234" i="18" s="1"/>
  <c r="E210" i="18"/>
  <c r="E35" i="5"/>
  <c r="F35" i="5"/>
  <c r="C43" i="5"/>
  <c r="C104" i="17"/>
  <c r="D21" i="13"/>
  <c r="D22" i="13"/>
  <c r="D20" i="13"/>
  <c r="E95" i="6"/>
  <c r="F95" i="6" s="1"/>
  <c r="F146" i="17"/>
  <c r="E43" i="4"/>
  <c r="F43" i="4" s="1"/>
  <c r="E176" i="17"/>
  <c r="E263" i="17"/>
  <c r="F263" i="17" s="1"/>
  <c r="D56" i="22"/>
  <c r="D48" i="22"/>
  <c r="D38" i="22"/>
  <c r="D113" i="22"/>
  <c r="E227" i="17"/>
  <c r="F227" i="17" s="1"/>
  <c r="F139" i="17"/>
  <c r="D141" i="8"/>
  <c r="E195" i="17"/>
  <c r="F195" i="17" s="1"/>
  <c r="D115" i="18"/>
  <c r="D112" i="18"/>
  <c r="D125" i="18"/>
  <c r="D113" i="18"/>
  <c r="D110" i="18"/>
  <c r="D109" i="18"/>
  <c r="D114" i="18"/>
  <c r="D124" i="18"/>
  <c r="D121" i="18"/>
  <c r="D122" i="18"/>
  <c r="D111" i="18"/>
  <c r="D126" i="18"/>
  <c r="D123" i="18"/>
  <c r="D127" i="18"/>
  <c r="C247" i="18"/>
  <c r="C295" i="18"/>
  <c r="E295" i="18" s="1"/>
  <c r="C162" i="17"/>
  <c r="E162" i="17" s="1"/>
  <c r="C112" i="22"/>
  <c r="C47" i="22"/>
  <c r="C37" i="22"/>
  <c r="C55" i="22"/>
  <c r="E43" i="18"/>
  <c r="D259" i="18"/>
  <c r="D44" i="18"/>
  <c r="C281" i="17"/>
  <c r="F282" i="17"/>
  <c r="E68" i="17"/>
  <c r="F68" i="17" s="1"/>
  <c r="E121" i="10"/>
  <c r="F300" i="17"/>
  <c r="F62" i="17"/>
  <c r="E62" i="17"/>
  <c r="C63" i="17"/>
  <c r="C141" i="17"/>
  <c r="D197" i="17"/>
  <c r="E196" i="17"/>
  <c r="F196" i="17" s="1"/>
  <c r="C21" i="13"/>
  <c r="C20" i="13"/>
  <c r="C22" i="13"/>
  <c r="E111" i="17"/>
  <c r="D141" i="17"/>
  <c r="E140" i="17"/>
  <c r="F140" i="17" s="1"/>
  <c r="E268" i="17"/>
  <c r="F268" i="17"/>
  <c r="F266" i="17"/>
  <c r="F205" i="17"/>
  <c r="E205" i="17"/>
  <c r="C140" i="8"/>
  <c r="C136" i="8"/>
  <c r="C138" i="8"/>
  <c r="C137" i="8"/>
  <c r="C139" i="8"/>
  <c r="C135" i="8"/>
  <c r="F43" i="11"/>
  <c r="E75" i="11"/>
  <c r="F75" i="11" s="1"/>
  <c r="E103" i="17"/>
  <c r="F103" i="17" s="1"/>
  <c r="F41" i="20"/>
  <c r="E43" i="11"/>
  <c r="E304" i="17"/>
  <c r="F304" i="17" s="1"/>
  <c r="C157" i="18"/>
  <c r="C168" i="18"/>
  <c r="E156" i="18"/>
  <c r="D157" i="18"/>
  <c r="D168" i="18"/>
  <c r="E168" i="18" s="1"/>
  <c r="F271" i="17"/>
  <c r="C273" i="17"/>
  <c r="E160" i="17"/>
  <c r="F285" i="17"/>
  <c r="C286" i="17"/>
  <c r="C288" i="17"/>
  <c r="C110" i="22"/>
  <c r="E161" i="17"/>
  <c r="F161" i="17" s="1"/>
  <c r="E124" i="18" l="1"/>
  <c r="E104" i="17"/>
  <c r="F104" i="17" s="1"/>
  <c r="C126" i="18"/>
  <c r="C127" i="18"/>
  <c r="E127" i="18" s="1"/>
  <c r="C124" i="18"/>
  <c r="C112" i="18"/>
  <c r="C111" i="18"/>
  <c r="C123" i="18"/>
  <c r="C109" i="18"/>
  <c r="E109" i="18" s="1"/>
  <c r="C121" i="18"/>
  <c r="C114" i="18"/>
  <c r="C115" i="18"/>
  <c r="E115" i="18" s="1"/>
  <c r="C125" i="18"/>
  <c r="C122" i="18"/>
  <c r="C110" i="18"/>
  <c r="C113" i="18"/>
  <c r="C141" i="8"/>
  <c r="E114" i="18"/>
  <c r="C50" i="5"/>
  <c r="E43" i="5"/>
  <c r="F43" i="5" s="1"/>
  <c r="E270" i="17"/>
  <c r="F270" i="17"/>
  <c r="E123" i="18"/>
  <c r="E157" i="18"/>
  <c r="D169" i="18"/>
  <c r="E169" i="18" s="1"/>
  <c r="E126" i="18"/>
  <c r="C310" i="18"/>
  <c r="E310" i="18" s="1"/>
  <c r="E306" i="18"/>
  <c r="C322" i="17"/>
  <c r="C211" i="17"/>
  <c r="C148" i="17"/>
  <c r="E113" i="18"/>
  <c r="E288" i="17"/>
  <c r="D289" i="17"/>
  <c r="D291" i="17"/>
  <c r="E141" i="17"/>
  <c r="F141" i="17" s="1"/>
  <c r="D322" i="17"/>
  <c r="D148" i="17"/>
  <c r="F281" i="17"/>
  <c r="E125" i="18"/>
  <c r="E273" i="17"/>
  <c r="F273" i="17" s="1"/>
  <c r="C70" i="17"/>
  <c r="E63" i="17"/>
  <c r="F63" i="17" s="1"/>
  <c r="D86" i="18"/>
  <c r="E86" i="18" s="1"/>
  <c r="D101" i="18"/>
  <c r="E101" i="18" s="1"/>
  <c r="D84" i="18"/>
  <c r="D88" i="18"/>
  <c r="E88" i="18" s="1"/>
  <c r="D100" i="18"/>
  <c r="E100" i="18" s="1"/>
  <c r="D96" i="18"/>
  <c r="D258" i="18"/>
  <c r="D83" i="18"/>
  <c r="D99" i="18"/>
  <c r="E99" i="18" s="1"/>
  <c r="D95" i="18"/>
  <c r="E44" i="18"/>
  <c r="D97" i="18"/>
  <c r="E97" i="18" s="1"/>
  <c r="D87" i="18"/>
  <c r="E87" i="18" s="1"/>
  <c r="D85" i="18"/>
  <c r="E85" i="18" s="1"/>
  <c r="D98" i="18"/>
  <c r="E98" i="18" s="1"/>
  <c r="D89" i="18"/>
  <c r="E89" i="18" s="1"/>
  <c r="C323" i="17"/>
  <c r="F323" i="17" s="1"/>
  <c r="C183" i="17"/>
  <c r="F183" i="17" s="1"/>
  <c r="F162" i="17"/>
  <c r="C197" i="17"/>
  <c r="D128" i="18"/>
  <c r="E122" i="18"/>
  <c r="E112" i="18"/>
  <c r="C235" i="18"/>
  <c r="E235" i="18" s="1"/>
  <c r="E211" i="18"/>
  <c r="E223" i="18"/>
  <c r="D247" i="18"/>
  <c r="E247" i="18" s="1"/>
  <c r="E323" i="17"/>
  <c r="E110" i="18"/>
  <c r="D116" i="18"/>
  <c r="F288" i="17"/>
  <c r="C291" i="17"/>
  <c r="C289" i="17"/>
  <c r="E111" i="18"/>
  <c r="F286" i="17"/>
  <c r="E286" i="17"/>
  <c r="E77" i="18"/>
  <c r="E281" i="17"/>
  <c r="C49" i="12"/>
  <c r="E42" i="12"/>
  <c r="F42" i="12" s="1"/>
  <c r="E259" i="18"/>
  <c r="D263" i="18"/>
  <c r="E263" i="18" s="1"/>
  <c r="D129" i="18"/>
  <c r="C269" i="18"/>
  <c r="C268" i="18"/>
  <c r="C271" i="18" s="1"/>
  <c r="C106" i="17"/>
  <c r="E105" i="17"/>
  <c r="F105" i="17" s="1"/>
  <c r="D90" i="18" l="1"/>
  <c r="E90" i="18" s="1"/>
  <c r="E84" i="18"/>
  <c r="E211" i="17"/>
  <c r="F211" i="17" s="1"/>
  <c r="D91" i="18"/>
  <c r="E83" i="18"/>
  <c r="E291" i="17"/>
  <c r="F291" i="17" s="1"/>
  <c r="D305" i="17"/>
  <c r="E183" i="17"/>
  <c r="C116" i="18"/>
  <c r="E50" i="5"/>
  <c r="F50" i="5" s="1"/>
  <c r="F106" i="17"/>
  <c r="C324" i="17"/>
  <c r="C113" i="17"/>
  <c r="E106" i="17"/>
  <c r="E95" i="18"/>
  <c r="E322" i="17"/>
  <c r="D325" i="17"/>
  <c r="E116" i="18"/>
  <c r="E258" i="18"/>
  <c r="D264" i="18"/>
  <c r="E96" i="18"/>
  <c r="D102" i="18"/>
  <c r="E102" i="18" s="1"/>
  <c r="E289" i="17"/>
  <c r="F289" i="17" s="1"/>
  <c r="C128" i="18"/>
  <c r="C129" i="18" s="1"/>
  <c r="E129" i="18" s="1"/>
  <c r="F148" i="17"/>
  <c r="E148" i="17"/>
  <c r="C305" i="17"/>
  <c r="F322" i="17"/>
  <c r="C117" i="18"/>
  <c r="E49" i="12"/>
  <c r="F49" i="12" s="1"/>
  <c r="E70" i="17"/>
  <c r="F70" i="17" s="1"/>
  <c r="E121" i="18"/>
  <c r="E197" i="17"/>
  <c r="F197" i="17" s="1"/>
  <c r="D117" i="18"/>
  <c r="D309" i="17" l="1"/>
  <c r="E305" i="17"/>
  <c r="E128" i="18"/>
  <c r="C325" i="17"/>
  <c r="E324" i="17"/>
  <c r="F324" i="17" s="1"/>
  <c r="D131" i="18"/>
  <c r="E117" i="18"/>
  <c r="C309" i="17"/>
  <c r="F305" i="17"/>
  <c r="D266" i="18"/>
  <c r="E264" i="18"/>
  <c r="E113" i="17"/>
  <c r="F113" i="17" s="1"/>
  <c r="C131" i="18"/>
  <c r="E91" i="18"/>
  <c r="D103" i="18"/>
  <c r="E103" i="18" s="1"/>
  <c r="E131" i="18" l="1"/>
  <c r="E266" i="18"/>
  <c r="D267" i="18"/>
  <c r="F309" i="17"/>
  <c r="C310" i="17"/>
  <c r="E325" i="17"/>
  <c r="F325" i="17" s="1"/>
  <c r="D105" i="18"/>
  <c r="E105" i="18" s="1"/>
  <c r="E309" i="17"/>
  <c r="D310" i="17"/>
  <c r="E310" i="17" l="1"/>
  <c r="D312" i="17"/>
  <c r="C312" i="17"/>
  <c r="F310" i="17"/>
  <c r="D268" i="18"/>
  <c r="D269" i="18"/>
  <c r="E269" i="18" s="1"/>
  <c r="E267" i="18"/>
  <c r="D271" i="18" l="1"/>
  <c r="E271" i="18" s="1"/>
  <c r="E268" i="18"/>
  <c r="C313" i="17"/>
  <c r="E312" i="17"/>
  <c r="F312" i="17" s="1"/>
  <c r="D313" i="17"/>
  <c r="D314" i="17" l="1"/>
  <c r="E313" i="17"/>
  <c r="D256" i="17"/>
  <c r="D315" i="17"/>
  <c r="E315" i="17" s="1"/>
  <c r="D251" i="17"/>
  <c r="C256" i="17"/>
  <c r="F313" i="17"/>
  <c r="C251" i="17"/>
  <c r="C315" i="17"/>
  <c r="C314" i="17"/>
  <c r="C257" i="17" l="1"/>
  <c r="E251" i="17"/>
  <c r="F251" i="17" s="1"/>
  <c r="D257" i="17"/>
  <c r="E257" i="17" s="1"/>
  <c r="E256" i="17"/>
  <c r="F256" i="17" s="1"/>
  <c r="F314" i="17"/>
  <c r="C318" i="17"/>
  <c r="F315" i="17"/>
  <c r="E314" i="17"/>
  <c r="D318" i="17"/>
  <c r="E318" i="17" l="1"/>
  <c r="F318" i="17"/>
  <c r="F257" i="17"/>
</calcChain>
</file>

<file path=xl/sharedStrings.xml><?xml version="1.0" encoding="utf-8"?>
<sst xmlns="http://schemas.openxmlformats.org/spreadsheetml/2006/main" count="2333" uniqueCount="1009">
  <si>
    <t>BRISTOL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</si>
  <si>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</si>
  <si>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</si>
  <si>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</si>
  <si>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</si>
  <si>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</si>
  <si>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</si>
  <si>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</si>
  <si>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</si>
  <si>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</si>
  <si>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</si>
  <si>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</si>
  <si>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</si>
  <si>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</si>
  <si>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</si>
  <si>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</si>
  <si>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</si>
  <si>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</si>
  <si>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</si>
  <si>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</si>
  <si>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</si>
  <si>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</si>
  <si>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</si>
  <si>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</si>
  <si>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</si>
  <si>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</si>
  <si>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</si>
  <si>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</si>
  <si>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</si>
  <si>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</si>
  <si>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</si>
  <si>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</si>
  <si>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</si>
  <si>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</si>
  <si>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</si>
  <si>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</si>
  <si>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</si>
  <si>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</si>
  <si>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</si>
  <si>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</si>
  <si>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</si>
  <si>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</si>
  <si>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</si>
  <si>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</si>
  <si>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</si>
  <si>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</si>
  <si>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</si>
  <si>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</si>
  <si>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</si>
  <si>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</si>
  <si>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</si>
  <si>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</si>
  <si>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</si>
  <si>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</si>
  <si>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</si>
  <si>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</si>
  <si>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</si>
  <si>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</si>
  <si>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</si>
  <si>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</si>
  <si>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</si>
  <si>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</si>
  <si>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</si>
  <si>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</si>
  <si>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</si>
  <si>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</si>
  <si>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</si>
  <si>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</si>
  <si>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</si>
  <si>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</si>
  <si>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</si>
  <si>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</si>
  <si>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</si>
  <si>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</si>
  <si>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</si>
  <si>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</si>
  <si>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</si>
  <si>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</si>
  <si>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</si>
  <si>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</si>
  <si>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</si>
  <si>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</si>
  <si>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</si>
  <si>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</si>
  <si>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</si>
  <si>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</si>
  <si>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</si>
  <si>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</si>
  <si>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</si>
  <si>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</si>
  <si>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</si>
  <si>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</si>
  <si>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</si>
  <si>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</si>
  <si>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</si>
  <si>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</si>
  <si>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</si>
  <si>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</si>
  <si>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</si>
  <si>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</si>
  <si>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</si>
  <si>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</si>
  <si>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</si>
  <si>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</si>
  <si>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</si>
  <si>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</si>
  <si>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</si>
  <si>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</si>
  <si>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</si>
  <si>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</si>
  <si>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</si>
  <si>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</si>
  <si>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</si>
  <si>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</si>
  <si>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</si>
  <si>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</si>
  <si>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</si>
  <si>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</si>
  <si>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</si>
  <si>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</si>
  <si>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</si>
  <si>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</si>
  <si>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</si>
  <si>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</si>
  <si>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</si>
  <si>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</si>
  <si>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</si>
  <si>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</si>
  <si>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</si>
  <si>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</si>
  <si>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</si>
  <si>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</si>
  <si>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</si>
  <si>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</si>
  <si>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</si>
  <si>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</si>
  <si>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</si>
  <si>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</si>
  <si>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</si>
  <si>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</si>
  <si>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</si>
  <si>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</si>
  <si>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</si>
  <si>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</si>
  <si>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</si>
  <si>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</si>
  <si>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</si>
  <si>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</si>
  <si>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</si>
  <si>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</si>
  <si>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</si>
  <si>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</si>
  <si>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</si>
  <si>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</si>
  <si>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</si>
  <si>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</si>
  <si>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</si>
  <si>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</si>
  <si>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</si>
  <si>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</si>
  <si>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</si>
  <si>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</si>
  <si>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</si>
  <si>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</si>
  <si>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</si>
  <si>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</si>
  <si>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</si>
  <si>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</si>
  <si>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</si>
  <si>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</si>
  <si>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</si>
  <si>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</si>
  <si>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</si>
  <si>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</si>
  <si>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</si>
  <si>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</si>
  <si>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</si>
  <si>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</si>
  <si>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</si>
  <si>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</si>
  <si>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</si>
  <si>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</si>
  <si>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</si>
  <si>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</si>
  <si>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</si>
  <si>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</si>
  <si>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</si>
  <si>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</si>
  <si>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</si>
  <si>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</si>
  <si>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</si>
  <si>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</si>
  <si>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</si>
  <si>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</si>
  <si>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</si>
  <si>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</si>
  <si>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</si>
  <si>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</si>
  <si>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</si>
  <si>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</si>
  <si>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</si>
  <si>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</si>
  <si>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</si>
  <si>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</si>
  <si>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</si>
  <si>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</si>
  <si>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</si>
  <si>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</si>
  <si>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</si>
  <si>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</si>
  <si>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</si>
  <si>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</si>
  <si>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</si>
  <si>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</si>
  <si>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</si>
  <si>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</si>
  <si>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</si>
  <si>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</si>
  <si>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</si>
  <si>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</si>
  <si>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</si>
  <si>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</si>
  <si>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</si>
  <si>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</si>
  <si>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</si>
  <si>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</si>
  <si>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</si>
  <si>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</si>
  <si>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</si>
  <si>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</si>
  <si>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</si>
  <si>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</si>
  <si>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</si>
  <si>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</si>
  <si>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</si>
  <si>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</si>
  <si>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</si>
  <si>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</si>
  <si>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</si>
  <si>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</si>
  <si>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</si>
  <si>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</si>
  <si>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</si>
  <si>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</si>
  <si>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</si>
  <si>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</si>
  <si>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</si>
  <si>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</si>
  <si>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</si>
  <si>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</si>
  <si>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</si>
  <si>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</si>
  <si>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</si>
  <si>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</si>
  <si>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</si>
  <si>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</si>
  <si>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</si>
  <si>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</si>
  <si>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</si>
  <si>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</si>
  <si>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</si>
  <si>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</si>
  <si>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</si>
  <si>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</si>
  <si>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</si>
  <si>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</si>
  <si>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</si>
  <si>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</si>
  <si>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</si>
  <si>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</si>
  <si>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</si>
  <si>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</si>
  <si>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</si>
  <si>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</si>
  <si>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</si>
  <si>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</si>
  <si>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</si>
  <si>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</si>
  <si>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</si>
  <si>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</si>
  <si>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</si>
  <si>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</si>
  <si>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</si>
  <si>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</si>
  <si>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</si>
  <si>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</si>
  <si>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</si>
  <si>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</si>
  <si>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</si>
  <si>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</si>
  <si>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</si>
  <si>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</si>
  <si>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</si>
  <si>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</si>
  <si>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</si>
  <si>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</si>
  <si>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</si>
  <si>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</si>
  <si>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</si>
  <si>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</si>
  <si>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</si>
  <si>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</si>
  <si>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</si>
  <si>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</si>
  <si>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</si>
  <si>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</si>
  <si>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</si>
  <si>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</si>
  <si>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</si>
  <si>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</si>
  <si>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</si>
  <si>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</si>
  <si>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</si>
  <si>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</si>
  <si>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</si>
  <si>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</si>
  <si>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</si>
  <si>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</si>
  <si>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</si>
  <si>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</si>
  <si>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</si>
  <si>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</si>
  <si>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</si>
  <si>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</si>
  <si>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</si>
  <si>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</si>
  <si>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</si>
  <si>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</si>
  <si>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</si>
  <si>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</si>
  <si>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</si>
  <si>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</si>
  <si>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</si>
  <si>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</si>
  <si>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</si>
  <si>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</si>
  <si>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</si>
  <si>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</si>
  <si>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</si>
  <si>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</si>
  <si>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</si>
  <si>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</si>
  <si>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</si>
  <si>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</si>
  <si>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</si>
  <si>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</si>
  <si>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</si>
  <si>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</si>
  <si>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</si>
  <si>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</si>
  <si>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</si>
  <si>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</si>
  <si>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</si>
  <si>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</si>
  <si>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</si>
  <si>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</si>
  <si>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</si>
  <si>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</si>
  <si>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</si>
  <si>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</si>
  <si>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</si>
  <si>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</si>
  <si>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</si>
  <si>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</si>
  <si>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</si>
  <si>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</si>
  <si>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</si>
  <si>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</si>
  <si>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</si>
  <si>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</si>
  <si>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</si>
  <si>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</si>
  <si>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</si>
  <si>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</si>
  <si>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</si>
  <si>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</si>
  <si>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</si>
  <si>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</si>
  <si>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</si>
  <si>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</si>
  <si>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</si>
  <si>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</si>
  <si>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</si>
  <si>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</si>
  <si>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</si>
  <si>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</si>
  <si>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</si>
  <si>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</si>
  <si>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</si>
  <si>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</si>
  <si>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</si>
  <si>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</si>
  <si>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</si>
  <si>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</si>
  <si>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</si>
  <si>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</si>
  <si>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</si>
  <si>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</si>
  <si>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</si>
  <si>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</si>
  <si>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</si>
  <si>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</si>
  <si>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</si>
  <si>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</si>
  <si>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</si>
  <si>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</si>
  <si>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</si>
  <si>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</si>
  <si>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</si>
  <si>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</si>
  <si>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</si>
  <si>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</si>
  <si>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</si>
  <si>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</si>
  <si>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</si>
  <si>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</si>
  <si>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</si>
  <si>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</si>
  <si>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</si>
  <si>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</si>
  <si>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</si>
  <si>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</si>
  <si>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</si>
  <si>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</si>
  <si>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</si>
  <si>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</si>
  <si>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</si>
  <si>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</si>
  <si>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</si>
  <si>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</si>
  <si>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</si>
  <si>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</si>
  <si>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</si>
  <si>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</si>
  <si>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</si>
  <si>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</si>
  <si>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</si>
  <si>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</si>
  <si>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</si>
  <si>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</si>
  <si>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</si>
  <si>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</si>
  <si>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</si>
  <si>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</si>
  <si>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</si>
  <si>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</si>
  <si>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</si>
  <si>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</si>
  <si>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</si>
  <si>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</si>
  <si>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</si>
  <si>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</si>
  <si>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</si>
  <si>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</si>
  <si>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</si>
  <si>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</si>
  <si>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</si>
  <si>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</si>
  <si>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</si>
  <si>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</si>
  <si>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</si>
  <si>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</si>
  <si>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</si>
  <si>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</si>
  <si>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</si>
  <si>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</si>
  <si>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</si>
  <si>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</si>
  <si>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</si>
  <si>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</si>
  <si>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</si>
  <si>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</si>
  <si>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</si>
  <si>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</si>
  <si>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</si>
  <si>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</si>
  <si>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</si>
  <si>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</si>
  <si>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</si>
  <si>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</si>
  <si>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</si>
  <si>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</si>
  <si>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</si>
  <si>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</si>
  <si>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</si>
  <si>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</si>
  <si>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</si>
  <si>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</si>
  <si>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</si>
  <si>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</si>
  <si>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</si>
  <si>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</si>
  <si>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</si>
  <si>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</si>
  <si>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</si>
  <si>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</si>
  <si>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</si>
  <si>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</si>
  <si>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</si>
  <si>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</si>
  <si>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BRISTOL HOSPITAL &amp; HEALTH CARE GROUP,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</si>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</sst>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1008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13617245</v>
      </c>
      <c r="D13" s="22">
        <v>15285938</v>
      </c>
      <c r="E13" s="22">
        <f t="shared" ref="E13:E22" si="0">D13-C13</f>
        <v>1668693</v>
      </c>
      <c r="F13" s="23">
        <f t="shared" ref="F13:F22" si="1">IF(C13=0,0,E13/C13)</f>
        <v>0.12254262885040255</v>
      </c>
    </row>
    <row r="14" spans="1:8" ht="24" customHeight="1" x14ac:dyDescent="0.2">
      <c r="A14" s="20">
        <v>2</v>
      </c>
      <c r="B14" s="21" t="s">
        <v>17</v>
      </c>
      <c r="C14" s="22">
        <v>96550</v>
      </c>
      <c r="D14" s="22">
        <v>0</v>
      </c>
      <c r="E14" s="22">
        <f t="shared" si="0"/>
        <v>-96550</v>
      </c>
      <c r="F14" s="23">
        <f t="shared" si="1"/>
        <v>-1</v>
      </c>
    </row>
    <row r="15" spans="1:8" ht="24" customHeight="1" x14ac:dyDescent="0.2">
      <c r="A15" s="20">
        <v>3</v>
      </c>
      <c r="B15" s="21" t="s">
        <v>18</v>
      </c>
      <c r="C15" s="22">
        <v>17715144</v>
      </c>
      <c r="D15" s="22">
        <v>16471779</v>
      </c>
      <c r="E15" s="22">
        <f t="shared" si="0"/>
        <v>-1243365</v>
      </c>
      <c r="F15" s="23">
        <f t="shared" si="1"/>
        <v>-7.0186559025430445E-2</v>
      </c>
    </row>
    <row r="16" spans="1:8" ht="24" customHeight="1" x14ac:dyDescent="0.2">
      <c r="A16" s="20">
        <v>4</v>
      </c>
      <c r="B16" s="21" t="s">
        <v>19</v>
      </c>
      <c r="C16" s="22">
        <v>394825</v>
      </c>
      <c r="D16" s="22">
        <v>347671</v>
      </c>
      <c r="E16" s="22">
        <f t="shared" si="0"/>
        <v>-47154</v>
      </c>
      <c r="F16" s="23">
        <f t="shared" si="1"/>
        <v>-0.11943012727157601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581194</v>
      </c>
      <c r="D18" s="22">
        <v>0</v>
      </c>
      <c r="E18" s="22">
        <f t="shared" si="0"/>
        <v>-581194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1413639</v>
      </c>
      <c r="D19" s="22">
        <v>1388084</v>
      </c>
      <c r="E19" s="22">
        <f t="shared" si="0"/>
        <v>-25555</v>
      </c>
      <c r="F19" s="23">
        <f t="shared" si="1"/>
        <v>-1.8077458247827062E-2</v>
      </c>
    </row>
    <row r="20" spans="1:11" ht="24" customHeight="1" x14ac:dyDescent="0.2">
      <c r="A20" s="20">
        <v>8</v>
      </c>
      <c r="B20" s="21" t="s">
        <v>23</v>
      </c>
      <c r="C20" s="22">
        <v>947594</v>
      </c>
      <c r="D20" s="22">
        <v>1008601</v>
      </c>
      <c r="E20" s="22">
        <f t="shared" si="0"/>
        <v>61007</v>
      </c>
      <c r="F20" s="23">
        <f t="shared" si="1"/>
        <v>6.4380947958724941E-2</v>
      </c>
    </row>
    <row r="21" spans="1:11" ht="24" customHeight="1" x14ac:dyDescent="0.2">
      <c r="A21" s="20">
        <v>9</v>
      </c>
      <c r="B21" s="21" t="s">
        <v>24</v>
      </c>
      <c r="C21" s="22">
        <v>2785093</v>
      </c>
      <c r="D21" s="22">
        <v>2818801</v>
      </c>
      <c r="E21" s="22">
        <f t="shared" si="0"/>
        <v>33708</v>
      </c>
      <c r="F21" s="23">
        <f t="shared" si="1"/>
        <v>1.2103006973196228E-2</v>
      </c>
    </row>
    <row r="22" spans="1:11" ht="24" customHeight="1" x14ac:dyDescent="0.25">
      <c r="A22" s="24"/>
      <c r="B22" s="25" t="s">
        <v>25</v>
      </c>
      <c r="C22" s="26">
        <f>SUM(C13:C21)</f>
        <v>37551284</v>
      </c>
      <c r="D22" s="26">
        <f>SUM(D13:D21)</f>
        <v>37320874</v>
      </c>
      <c r="E22" s="26">
        <f t="shared" si="0"/>
        <v>-230410</v>
      </c>
      <c r="F22" s="27">
        <f t="shared" si="1"/>
        <v>-6.1358754070832836E-3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6835761</v>
      </c>
      <c r="D26" s="22">
        <v>6705918</v>
      </c>
      <c r="E26" s="22">
        <f>D26-C26</f>
        <v>-129843</v>
      </c>
      <c r="F26" s="23">
        <f>IF(C26=0,0,E26/C26)</f>
        <v>-1.8994666431433164E-2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12530053</v>
      </c>
      <c r="D28" s="22">
        <v>10868212</v>
      </c>
      <c r="E28" s="22">
        <f>D28-C28</f>
        <v>-1661841</v>
      </c>
      <c r="F28" s="23">
        <f>IF(C28=0,0,E28/C28)</f>
        <v>-0.1326284094728091</v>
      </c>
    </row>
    <row r="29" spans="1:11" ht="24" customHeight="1" x14ac:dyDescent="0.25">
      <c r="A29" s="24"/>
      <c r="B29" s="25" t="s">
        <v>32</v>
      </c>
      <c r="C29" s="26">
        <f>SUM(C25:C28)</f>
        <v>19365814</v>
      </c>
      <c r="D29" s="26">
        <f>SUM(D25:D28)</f>
        <v>17574130</v>
      </c>
      <c r="E29" s="26">
        <f>D29-C29</f>
        <v>-1791684</v>
      </c>
      <c r="F29" s="27">
        <f>IF(C29=0,0,E29/C29)</f>
        <v>-9.25178771209927E-2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6665478</v>
      </c>
      <c r="D31" s="22">
        <v>6033606</v>
      </c>
      <c r="E31" s="22">
        <f>D31-C31</f>
        <v>-631872</v>
      </c>
      <c r="F31" s="23">
        <f>IF(C31=0,0,E31/C31)</f>
        <v>-9.4797702430343328E-2</v>
      </c>
    </row>
    <row r="32" spans="1:11" ht="24" customHeight="1" x14ac:dyDescent="0.2">
      <c r="A32" s="20">
        <v>6</v>
      </c>
      <c r="B32" s="21" t="s">
        <v>34</v>
      </c>
      <c r="C32" s="22">
        <v>6665386</v>
      </c>
      <c r="D32" s="22">
        <v>6496418</v>
      </c>
      <c r="E32" s="22">
        <f>D32-C32</f>
        <v>-168968</v>
      </c>
      <c r="F32" s="23">
        <f>IF(C32=0,0,E32/C32)</f>
        <v>-2.5350069748398669E-2</v>
      </c>
    </row>
    <row r="33" spans="1:8" ht="24" customHeight="1" x14ac:dyDescent="0.2">
      <c r="A33" s="20">
        <v>7</v>
      </c>
      <c r="B33" s="21" t="s">
        <v>35</v>
      </c>
      <c r="C33" s="22">
        <v>5018587</v>
      </c>
      <c r="D33" s="22">
        <v>4357098</v>
      </c>
      <c r="E33" s="22">
        <f>D33-C33</f>
        <v>-661489</v>
      </c>
      <c r="F33" s="23">
        <f>IF(C33=0,0,E33/C33)</f>
        <v>-0.13180781761878393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155451420</v>
      </c>
      <c r="D36" s="22">
        <v>164441956</v>
      </c>
      <c r="E36" s="22">
        <f>D36-C36</f>
        <v>8990536</v>
      </c>
      <c r="F36" s="23">
        <f>IF(C36=0,0,E36/C36)</f>
        <v>5.783502009824034E-2</v>
      </c>
    </row>
    <row r="37" spans="1:8" ht="24" customHeight="1" x14ac:dyDescent="0.2">
      <c r="A37" s="20">
        <v>2</v>
      </c>
      <c r="B37" s="21" t="s">
        <v>39</v>
      </c>
      <c r="C37" s="22">
        <v>118322799</v>
      </c>
      <c r="D37" s="22">
        <v>124849240</v>
      </c>
      <c r="E37" s="22">
        <f>D37-C37</f>
        <v>6526441</v>
      </c>
      <c r="F37" s="23">
        <f>IF(C37=0,0,E37/C37)</f>
        <v>5.5157932834229186E-2</v>
      </c>
    </row>
    <row r="38" spans="1:8" ht="24" customHeight="1" x14ac:dyDescent="0.25">
      <c r="A38" s="24"/>
      <c r="B38" s="25" t="s">
        <v>40</v>
      </c>
      <c r="C38" s="26">
        <f>C36-C37</f>
        <v>37128621</v>
      </c>
      <c r="D38" s="26">
        <f>D36-D37</f>
        <v>39592716</v>
      </c>
      <c r="E38" s="26">
        <f>D38-C38</f>
        <v>2464095</v>
      </c>
      <c r="F38" s="27">
        <f>IF(C38=0,0,E38/C38)</f>
        <v>6.6366456217159267E-2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1942559</v>
      </c>
      <c r="D40" s="22">
        <v>616812</v>
      </c>
      <c r="E40" s="22">
        <f>D40-C40</f>
        <v>-1325747</v>
      </c>
      <c r="F40" s="23">
        <f>IF(C40=0,0,E40/C40)</f>
        <v>-0.68247450913974816</v>
      </c>
    </row>
    <row r="41" spans="1:8" ht="24" customHeight="1" x14ac:dyDescent="0.25">
      <c r="A41" s="24"/>
      <c r="B41" s="25" t="s">
        <v>42</v>
      </c>
      <c r="C41" s="26">
        <f>+C38+C40</f>
        <v>39071180</v>
      </c>
      <c r="D41" s="26">
        <f>+D38+D40</f>
        <v>40209528</v>
      </c>
      <c r="E41" s="26">
        <f>D41-C41</f>
        <v>1138348</v>
      </c>
      <c r="F41" s="27">
        <f>IF(C41=0,0,E41/C41)</f>
        <v>2.9135234717763834E-2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114337729</v>
      </c>
      <c r="D43" s="26">
        <f>D22+D29+D31+D32+D33+D41</f>
        <v>111991654</v>
      </c>
      <c r="E43" s="26">
        <f>D43-C43</f>
        <v>-2346075</v>
      </c>
      <c r="F43" s="27">
        <f>IF(C43=0,0,E43/C43)</f>
        <v>-2.0518817546218711E-2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12409451</v>
      </c>
      <c r="D49" s="22">
        <v>11966693</v>
      </c>
      <c r="E49" s="22">
        <f t="shared" ref="E49:E56" si="2">D49-C49</f>
        <v>-442758</v>
      </c>
      <c r="F49" s="23">
        <f t="shared" ref="F49:F56" si="3">IF(C49=0,0,E49/C49)</f>
        <v>-3.5679096520869459E-2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11289636</v>
      </c>
      <c r="D50" s="22">
        <v>6634907</v>
      </c>
      <c r="E50" s="22">
        <f t="shared" si="2"/>
        <v>-4654729</v>
      </c>
      <c r="F50" s="23">
        <f t="shared" si="3"/>
        <v>-0.41230106975991077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1130211</v>
      </c>
      <c r="E51" s="22">
        <f t="shared" si="2"/>
        <v>1130211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676115</v>
      </c>
      <c r="D53" s="22">
        <v>702335</v>
      </c>
      <c r="E53" s="22">
        <f t="shared" si="2"/>
        <v>26220</v>
      </c>
      <c r="F53" s="23">
        <f t="shared" si="3"/>
        <v>3.8780384993677114E-2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8648</v>
      </c>
      <c r="D54" s="22">
        <v>109090</v>
      </c>
      <c r="E54" s="22">
        <f t="shared" si="2"/>
        <v>100442</v>
      </c>
      <c r="F54" s="23">
        <f t="shared" si="3"/>
        <v>11.614477335800185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2900000</v>
      </c>
      <c r="D55" s="22">
        <v>2490414</v>
      </c>
      <c r="E55" s="22">
        <f t="shared" si="2"/>
        <v>-409586</v>
      </c>
      <c r="F55" s="23">
        <f t="shared" si="3"/>
        <v>-0.14123655172413793</v>
      </c>
    </row>
    <row r="56" spans="1:6" ht="24" customHeight="1" x14ac:dyDescent="0.25">
      <c r="A56" s="24"/>
      <c r="B56" s="25" t="s">
        <v>54</v>
      </c>
      <c r="C56" s="26">
        <f>SUM(C49:C55)</f>
        <v>27283850</v>
      </c>
      <c r="D56" s="26">
        <f>SUM(D49:D55)</f>
        <v>23033650</v>
      </c>
      <c r="E56" s="26">
        <f t="shared" si="2"/>
        <v>-4250200</v>
      </c>
      <c r="F56" s="27">
        <f t="shared" si="3"/>
        <v>-0.15577713555821485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25303397</v>
      </c>
      <c r="D59" s="22">
        <v>24560239</v>
      </c>
      <c r="E59" s="22">
        <f>D59-C59</f>
        <v>-743158</v>
      </c>
      <c r="F59" s="23">
        <f>IF(C59=0,0,E59/C59)</f>
        <v>-2.9369890532879833E-2</v>
      </c>
    </row>
    <row r="60" spans="1:6" ht="24" customHeight="1" x14ac:dyDescent="0.2">
      <c r="A60" s="20">
        <v>2</v>
      </c>
      <c r="B60" s="21" t="s">
        <v>57</v>
      </c>
      <c r="C60" s="22">
        <v>273261</v>
      </c>
      <c r="D60" s="22">
        <v>464171</v>
      </c>
      <c r="E60" s="22">
        <f>D60-C60</f>
        <v>190910</v>
      </c>
      <c r="F60" s="23">
        <f>IF(C60=0,0,E60/C60)</f>
        <v>0.69863610248077845</v>
      </c>
    </row>
    <row r="61" spans="1:6" ht="24" customHeight="1" x14ac:dyDescent="0.25">
      <c r="A61" s="24"/>
      <c r="B61" s="25" t="s">
        <v>58</v>
      </c>
      <c r="C61" s="26">
        <f>SUM(C59:C60)</f>
        <v>25576658</v>
      </c>
      <c r="D61" s="26">
        <f>SUM(D59:D60)</f>
        <v>25024410</v>
      </c>
      <c r="E61" s="26">
        <f>D61-C61</f>
        <v>-552248</v>
      </c>
      <c r="F61" s="27">
        <f>IF(C61=0,0,E61/C61)</f>
        <v>-2.1591874904062915E-2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23468844</v>
      </c>
      <c r="D63" s="22">
        <v>32795767</v>
      </c>
      <c r="E63" s="22">
        <f>D63-C63</f>
        <v>9326923</v>
      </c>
      <c r="F63" s="23">
        <f>IF(C63=0,0,E63/C63)</f>
        <v>0.39741723111713556</v>
      </c>
    </row>
    <row r="64" spans="1:6" ht="24" customHeight="1" x14ac:dyDescent="0.2">
      <c r="A64" s="20">
        <v>4</v>
      </c>
      <c r="B64" s="21" t="s">
        <v>60</v>
      </c>
      <c r="C64" s="22">
        <v>9581422</v>
      </c>
      <c r="D64" s="22">
        <v>9230355</v>
      </c>
      <c r="E64" s="22">
        <f>D64-C64</f>
        <v>-351067</v>
      </c>
      <c r="F64" s="23">
        <f>IF(C64=0,0,E64/C64)</f>
        <v>-3.6640385946887635E-2</v>
      </c>
    </row>
    <row r="65" spans="1:6" ht="24" customHeight="1" x14ac:dyDescent="0.25">
      <c r="A65" s="24"/>
      <c r="B65" s="25" t="s">
        <v>61</v>
      </c>
      <c r="C65" s="26">
        <f>SUM(C61:C64)</f>
        <v>58626924</v>
      </c>
      <c r="D65" s="26">
        <f>SUM(D61:D64)</f>
        <v>67050532</v>
      </c>
      <c r="E65" s="26">
        <f>D65-C65</f>
        <v>8423608</v>
      </c>
      <c r="F65" s="27">
        <f>IF(C65=0,0,E65/C65)</f>
        <v>0.14368156173433216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17633376</v>
      </c>
      <c r="D70" s="22">
        <v>11995043</v>
      </c>
      <c r="E70" s="22">
        <f>D70-C70</f>
        <v>-5638333</v>
      </c>
      <c r="F70" s="23">
        <f>IF(C70=0,0,E70/C70)</f>
        <v>-0.31975346070996274</v>
      </c>
    </row>
    <row r="71" spans="1:6" ht="24" customHeight="1" x14ac:dyDescent="0.2">
      <c r="A71" s="20">
        <v>2</v>
      </c>
      <c r="B71" s="21" t="s">
        <v>65</v>
      </c>
      <c r="C71" s="22">
        <v>3708091</v>
      </c>
      <c r="D71" s="22">
        <v>3122057</v>
      </c>
      <c r="E71" s="22">
        <f>D71-C71</f>
        <v>-586034</v>
      </c>
      <c r="F71" s="23">
        <f>IF(C71=0,0,E71/C71)</f>
        <v>-0.15804196822569888</v>
      </c>
    </row>
    <row r="72" spans="1:6" ht="24" customHeight="1" x14ac:dyDescent="0.2">
      <c r="A72" s="20">
        <v>3</v>
      </c>
      <c r="B72" s="21" t="s">
        <v>66</v>
      </c>
      <c r="C72" s="22">
        <v>7085488</v>
      </c>
      <c r="D72" s="22">
        <v>6790372</v>
      </c>
      <c r="E72" s="22">
        <f>D72-C72</f>
        <v>-295116</v>
      </c>
      <c r="F72" s="23">
        <f>IF(C72=0,0,E72/C72)</f>
        <v>-4.1650765621224675E-2</v>
      </c>
    </row>
    <row r="73" spans="1:6" ht="24" customHeight="1" x14ac:dyDescent="0.25">
      <c r="A73" s="20"/>
      <c r="B73" s="25" t="s">
        <v>67</v>
      </c>
      <c r="C73" s="26">
        <f>SUM(C70:C72)</f>
        <v>28426955</v>
      </c>
      <c r="D73" s="26">
        <f>SUM(D70:D72)</f>
        <v>21907472</v>
      </c>
      <c r="E73" s="26">
        <f>D73-C73</f>
        <v>-6519483</v>
      </c>
      <c r="F73" s="27">
        <f>IF(C73=0,0,E73/C73)</f>
        <v>-0.22934158794003789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114337729</v>
      </c>
      <c r="D75" s="26">
        <f>D56+D65+D67+D73</f>
        <v>111991654</v>
      </c>
      <c r="E75" s="26">
        <f>D75-C75</f>
        <v>-2346075</v>
      </c>
      <c r="F75" s="27">
        <f>IF(C75=0,0,E75/C75)</f>
        <v>-2.0518817546218711E-2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155469099</v>
      </c>
      <c r="D11" s="76">
        <v>168232406</v>
      </c>
      <c r="E11" s="76">
        <v>166109451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6651756</v>
      </c>
      <c r="D12" s="185">
        <v>7836353</v>
      </c>
      <c r="E12" s="185">
        <v>6317978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162120855</v>
      </c>
      <c r="D13" s="76">
        <f>+D11+D12</f>
        <v>176068759</v>
      </c>
      <c r="E13" s="76">
        <f>+E11+E12</f>
        <v>172427429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161783218</v>
      </c>
      <c r="D14" s="185">
        <v>175386378</v>
      </c>
      <c r="E14" s="185">
        <v>172340088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337637</v>
      </c>
      <c r="D15" s="76">
        <f>+D13-D14</f>
        <v>682381</v>
      </c>
      <c r="E15" s="76">
        <f>+E13-E14</f>
        <v>87341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857803</v>
      </c>
      <c r="D16" s="185">
        <v>1478569</v>
      </c>
      <c r="E16" s="185">
        <v>997043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1195440</v>
      </c>
      <c r="D17" s="76">
        <f>D15+D16</f>
        <v>2160950</v>
      </c>
      <c r="E17" s="76">
        <f>E15+E16</f>
        <v>1084384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2.0716638862003636E-3</v>
      </c>
      <c r="D20" s="189">
        <f>IF(+D27=0,0,+D24/+D27)</f>
        <v>3.8433752154242501E-3</v>
      </c>
      <c r="E20" s="189">
        <f>IF(+E27=0,0,+E24/+E27)</f>
        <v>5.0362557828632166E-4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5.2632842270673259E-3</v>
      </c>
      <c r="D21" s="189">
        <f>IF(+D27=0,0,+D26/+D27)</f>
        <v>8.3277457152157192E-3</v>
      </c>
      <c r="E21" s="189">
        <f>IF(+E27=0,0,+E26/+E27)</f>
        <v>5.7491482516954127E-3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7.3349481132676895E-3</v>
      </c>
      <c r="D22" s="189">
        <f>IF(+D27=0,0,+D28/+D27)</f>
        <v>1.217112093063997E-2</v>
      </c>
      <c r="E22" s="189">
        <f>IF(+E27=0,0,+E28/+E27)</f>
        <v>6.252773829981734E-3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337637</v>
      </c>
      <c r="D24" s="76">
        <f>+D15</f>
        <v>682381</v>
      </c>
      <c r="E24" s="76">
        <f>+E15</f>
        <v>87341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162120855</v>
      </c>
      <c r="D25" s="76">
        <f>+D13</f>
        <v>176068759</v>
      </c>
      <c r="E25" s="76">
        <f>+E13</f>
        <v>172427429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857803</v>
      </c>
      <c r="D26" s="76">
        <f>+D16</f>
        <v>1478569</v>
      </c>
      <c r="E26" s="76">
        <f>+E16</f>
        <v>997043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162978658</v>
      </c>
      <c r="D27" s="76">
        <f>SUM(D25:D26)</f>
        <v>177547328</v>
      </c>
      <c r="E27" s="76">
        <f>SUM(E25:E26)</f>
        <v>173424472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1195440</v>
      </c>
      <c r="D28" s="76">
        <f>+D17</f>
        <v>2160950</v>
      </c>
      <c r="E28" s="76">
        <f>+E17</f>
        <v>1084384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18001943</v>
      </c>
      <c r="D31" s="76">
        <v>18611817</v>
      </c>
      <c r="E31" s="76">
        <v>12974320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28607725</v>
      </c>
      <c r="D32" s="76">
        <v>29431435</v>
      </c>
      <c r="E32" s="76">
        <v>22895820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17201898</v>
      </c>
      <c r="D33" s="76">
        <f>+D32-C32</f>
        <v>823710</v>
      </c>
      <c r="E33" s="76">
        <f>+E32-D32</f>
        <v>-6535615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2.5081000000000002</v>
      </c>
      <c r="D34" s="193">
        <f>IF(C32=0,0,+D33/C32)</f>
        <v>2.8793271747403891E-2</v>
      </c>
      <c r="E34" s="193">
        <f>IF(D32=0,0,+E33/D32)</f>
        <v>-0.22206239688958421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1.4797937603041773</v>
      </c>
      <c r="D38" s="338">
        <f>IF(+D40=0,0,+D39/+D40)</f>
        <v>1.4582781201553805</v>
      </c>
      <c r="E38" s="338">
        <f>IF(+E40=0,0,+E39/+E40)</f>
        <v>1.6662651661718928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45488801</v>
      </c>
      <c r="D39" s="341">
        <v>46812673</v>
      </c>
      <c r="E39" s="341">
        <v>46867022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30739960</v>
      </c>
      <c r="D40" s="341">
        <v>32101334</v>
      </c>
      <c r="E40" s="341">
        <v>28126989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38.761949659413716</v>
      </c>
      <c r="D42" s="343">
        <f>IF((D48/365)=0,0,+D45/(D48/365))</f>
        <v>40.574296524282069</v>
      </c>
      <c r="E42" s="343">
        <f>IF((E48/365)=0,0,+E45/(E48/365))</f>
        <v>45.53800021939346</v>
      </c>
    </row>
    <row r="43" spans="1:14" ht="24" customHeight="1" x14ac:dyDescent="0.2">
      <c r="A43" s="339">
        <v>5</v>
      </c>
      <c r="B43" s="344" t="s">
        <v>16</v>
      </c>
      <c r="C43" s="345">
        <v>16318029</v>
      </c>
      <c r="D43" s="345">
        <v>18575899</v>
      </c>
      <c r="E43" s="345">
        <v>20508378</v>
      </c>
    </row>
    <row r="44" spans="1:14" ht="24" customHeight="1" x14ac:dyDescent="0.2">
      <c r="A44" s="339">
        <v>6</v>
      </c>
      <c r="B44" s="346" t="s">
        <v>17</v>
      </c>
      <c r="C44" s="345">
        <v>96526</v>
      </c>
      <c r="D44" s="345">
        <v>96550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16414555</v>
      </c>
      <c r="D45" s="341">
        <f>+D43+D44</f>
        <v>18672449</v>
      </c>
      <c r="E45" s="341">
        <f>+E43+E44</f>
        <v>20508378</v>
      </c>
    </row>
    <row r="46" spans="1:14" ht="24" customHeight="1" x14ac:dyDescent="0.2">
      <c r="A46" s="339">
        <v>8</v>
      </c>
      <c r="B46" s="340" t="s">
        <v>334</v>
      </c>
      <c r="C46" s="341">
        <f>+C14</f>
        <v>161783218</v>
      </c>
      <c r="D46" s="341">
        <f>+D14</f>
        <v>175386378</v>
      </c>
      <c r="E46" s="341">
        <f>+E14</f>
        <v>172340088</v>
      </c>
    </row>
    <row r="47" spans="1:14" ht="24" customHeight="1" x14ac:dyDescent="0.2">
      <c r="A47" s="339">
        <v>9</v>
      </c>
      <c r="B47" s="340" t="s">
        <v>356</v>
      </c>
      <c r="C47" s="341">
        <v>7216365</v>
      </c>
      <c r="D47" s="341">
        <v>7411959</v>
      </c>
      <c r="E47" s="341">
        <v>7959616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154566853</v>
      </c>
      <c r="D48" s="341">
        <f>+D46-D47</f>
        <v>167974419</v>
      </c>
      <c r="E48" s="341">
        <f>+E46-E47</f>
        <v>164380472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54.688635295943925</v>
      </c>
      <c r="D50" s="350">
        <f>IF((D55/365)=0,0,+D54/(D55/365))</f>
        <v>45.951499796061881</v>
      </c>
      <c r="E50" s="350">
        <f>IF((E55/365)=0,0,+E54/(E55/365))</f>
        <v>40.906443938581191</v>
      </c>
    </row>
    <row r="51" spans="1:5" ht="24" customHeight="1" x14ac:dyDescent="0.2">
      <c r="A51" s="339">
        <v>12</v>
      </c>
      <c r="B51" s="344" t="s">
        <v>359</v>
      </c>
      <c r="C51" s="351">
        <v>20536329</v>
      </c>
      <c r="D51" s="351">
        <v>20598344</v>
      </c>
      <c r="E51" s="351">
        <v>19746504</v>
      </c>
    </row>
    <row r="52" spans="1:5" ht="24" customHeight="1" x14ac:dyDescent="0.2">
      <c r="A52" s="339">
        <v>13</v>
      </c>
      <c r="B52" s="344" t="s">
        <v>21</v>
      </c>
      <c r="C52" s="341">
        <v>2757898</v>
      </c>
      <c r="D52" s="341">
        <v>581194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1130211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23294227</v>
      </c>
      <c r="D54" s="352">
        <f>+D51+D52-D53</f>
        <v>21179538</v>
      </c>
      <c r="E54" s="352">
        <f>+E51+E52-E53</f>
        <v>18616293</v>
      </c>
    </row>
    <row r="55" spans="1:5" ht="24" customHeight="1" x14ac:dyDescent="0.2">
      <c r="A55" s="339">
        <v>16</v>
      </c>
      <c r="B55" s="340" t="s">
        <v>75</v>
      </c>
      <c r="C55" s="341">
        <f>+C11</f>
        <v>155469099</v>
      </c>
      <c r="D55" s="341">
        <f>+D11</f>
        <v>168232406</v>
      </c>
      <c r="E55" s="341">
        <f>+E11</f>
        <v>166109451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72.59050166467452</v>
      </c>
      <c r="D57" s="355">
        <f>IF((D61/365)=0,0,+D58/(D61/365))</f>
        <v>69.754591084491267</v>
      </c>
      <c r="E57" s="355">
        <f>IF((E61/365)=0,0,+E58/(E61/365))</f>
        <v>62.454809017703759</v>
      </c>
    </row>
    <row r="58" spans="1:5" ht="24" customHeight="1" x14ac:dyDescent="0.2">
      <c r="A58" s="339">
        <v>18</v>
      </c>
      <c r="B58" s="340" t="s">
        <v>54</v>
      </c>
      <c r="C58" s="353">
        <f>+C40</f>
        <v>30739960</v>
      </c>
      <c r="D58" s="353">
        <f>+D40</f>
        <v>32101334</v>
      </c>
      <c r="E58" s="353">
        <f>+E40</f>
        <v>28126989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161783218</v>
      </c>
      <c r="D59" s="353">
        <f t="shared" si="0"/>
        <v>175386378</v>
      </c>
      <c r="E59" s="353">
        <f t="shared" si="0"/>
        <v>172340088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7216365</v>
      </c>
      <c r="D60" s="356">
        <f t="shared" si="0"/>
        <v>7411959</v>
      </c>
      <c r="E60" s="356">
        <f t="shared" si="0"/>
        <v>7959616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154566853</v>
      </c>
      <c r="D61" s="353">
        <f>+D59-D60</f>
        <v>167974419</v>
      </c>
      <c r="E61" s="353">
        <f>+E59-E60</f>
        <v>164380472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22.7706142144092</v>
      </c>
      <c r="D65" s="357">
        <f>IF(D67=0,0,(D66/D67)*100)</f>
        <v>23.515457007734721</v>
      </c>
      <c r="E65" s="357">
        <f>IF(E67=0,0,(E66/E67)*100)</f>
        <v>18.611157466863045</v>
      </c>
    </row>
    <row r="66" spans="1:5" ht="24" customHeight="1" x14ac:dyDescent="0.2">
      <c r="A66" s="339">
        <v>2</v>
      </c>
      <c r="B66" s="340" t="s">
        <v>67</v>
      </c>
      <c r="C66" s="353">
        <f>+C32</f>
        <v>28607725</v>
      </c>
      <c r="D66" s="353">
        <f>+D32</f>
        <v>29431435</v>
      </c>
      <c r="E66" s="353">
        <f>+E32</f>
        <v>22895820</v>
      </c>
    </row>
    <row r="67" spans="1:5" ht="24" customHeight="1" x14ac:dyDescent="0.2">
      <c r="A67" s="339">
        <v>3</v>
      </c>
      <c r="B67" s="340" t="s">
        <v>43</v>
      </c>
      <c r="C67" s="353">
        <v>125634402</v>
      </c>
      <c r="D67" s="353">
        <v>125157827</v>
      </c>
      <c r="E67" s="353">
        <v>123022010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13.826481718886516</v>
      </c>
      <c r="D69" s="357">
        <f>IF(D75=0,0,(D72/D75)*100)</f>
        <v>15.712173808855558</v>
      </c>
      <c r="E69" s="357">
        <f>IF(E75=0,0,(E72/E75)*100)</f>
        <v>16.203484229265612</v>
      </c>
    </row>
    <row r="70" spans="1:5" ht="24" customHeight="1" x14ac:dyDescent="0.2">
      <c r="A70" s="339">
        <v>5</v>
      </c>
      <c r="B70" s="340" t="s">
        <v>366</v>
      </c>
      <c r="C70" s="353">
        <f>+C28</f>
        <v>1195440</v>
      </c>
      <c r="D70" s="353">
        <f>+D28</f>
        <v>2160950</v>
      </c>
      <c r="E70" s="353">
        <f>+E28</f>
        <v>1084384</v>
      </c>
    </row>
    <row r="71" spans="1:5" ht="24" customHeight="1" x14ac:dyDescent="0.2">
      <c r="A71" s="339">
        <v>6</v>
      </c>
      <c r="B71" s="340" t="s">
        <v>356</v>
      </c>
      <c r="C71" s="356">
        <f>+C47</f>
        <v>7216365</v>
      </c>
      <c r="D71" s="356">
        <f>+D47</f>
        <v>7411959</v>
      </c>
      <c r="E71" s="356">
        <f>+E47</f>
        <v>7959616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8411805</v>
      </c>
      <c r="D72" s="353">
        <f>+D70+D71</f>
        <v>9572909</v>
      </c>
      <c r="E72" s="353">
        <f>+E70+E71</f>
        <v>9044000</v>
      </c>
    </row>
    <row r="73" spans="1:5" ht="24" customHeight="1" x14ac:dyDescent="0.2">
      <c r="A73" s="339">
        <v>8</v>
      </c>
      <c r="B73" s="340" t="s">
        <v>54</v>
      </c>
      <c r="C73" s="341">
        <f>+C40</f>
        <v>30739960</v>
      </c>
      <c r="D73" s="341">
        <f>+D40</f>
        <v>32101334</v>
      </c>
      <c r="E73" s="341">
        <f>+E40</f>
        <v>28126989</v>
      </c>
    </row>
    <row r="74" spans="1:5" ht="24" customHeight="1" x14ac:dyDescent="0.2">
      <c r="A74" s="339">
        <v>9</v>
      </c>
      <c r="B74" s="340" t="s">
        <v>58</v>
      </c>
      <c r="C74" s="353">
        <v>30098402</v>
      </c>
      <c r="D74" s="353">
        <v>28825366</v>
      </c>
      <c r="E74" s="353">
        <v>27688167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60838362</v>
      </c>
      <c r="D75" s="341">
        <f>+D73+D74</f>
        <v>60926700</v>
      </c>
      <c r="E75" s="341">
        <f>+E73+E74</f>
        <v>55815156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51.269609388471494</v>
      </c>
      <c r="D77" s="359">
        <f>IF(D80=0,0,(D78/D80)*100)</f>
        <v>49.479829831370246</v>
      </c>
      <c r="E77" s="359">
        <f>IF(E80=0,0,(E78/E80)*100)</f>
        <v>54.737019839895183</v>
      </c>
    </row>
    <row r="78" spans="1:5" ht="24" customHeight="1" x14ac:dyDescent="0.2">
      <c r="A78" s="339">
        <v>12</v>
      </c>
      <c r="B78" s="340" t="s">
        <v>58</v>
      </c>
      <c r="C78" s="341">
        <f>+C74</f>
        <v>30098402</v>
      </c>
      <c r="D78" s="341">
        <f>+D74</f>
        <v>28825366</v>
      </c>
      <c r="E78" s="341">
        <f>+E74</f>
        <v>27688167</v>
      </c>
    </row>
    <row r="79" spans="1:5" ht="24" customHeight="1" x14ac:dyDescent="0.2">
      <c r="A79" s="339">
        <v>13</v>
      </c>
      <c r="B79" s="340" t="s">
        <v>67</v>
      </c>
      <c r="C79" s="341">
        <f>+C32</f>
        <v>28607725</v>
      </c>
      <c r="D79" s="341">
        <f>+D32</f>
        <v>29431435</v>
      </c>
      <c r="E79" s="341">
        <f>+E32</f>
        <v>22895820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58706127</v>
      </c>
      <c r="D80" s="341">
        <f>+D78+D79</f>
        <v>58256801</v>
      </c>
      <c r="E80" s="341">
        <f>+E78+E79</f>
        <v>50583987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FILING&amp;R&amp;8BRISTOL HOSPITAL &amp; HEALTH CARE GROUP,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17887</v>
      </c>
      <c r="D11" s="376">
        <v>5089</v>
      </c>
      <c r="E11" s="376">
        <v>5064</v>
      </c>
      <c r="F11" s="377">
        <v>74</v>
      </c>
      <c r="G11" s="377">
        <v>86</v>
      </c>
      <c r="H11" s="378">
        <f>IF(F11=0,0,$C11/(F11*365))</f>
        <v>0.66223620881155132</v>
      </c>
      <c r="I11" s="378">
        <f>IF(G11=0,0,$C11/(G11*365))</f>
        <v>0.56983115641924176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2748</v>
      </c>
      <c r="D13" s="376">
        <v>264</v>
      </c>
      <c r="E13" s="376">
        <v>0</v>
      </c>
      <c r="F13" s="377">
        <v>14</v>
      </c>
      <c r="G13" s="377">
        <v>14</v>
      </c>
      <c r="H13" s="378">
        <f>IF(F13=0,0,$C13/(F13*365))</f>
        <v>0.53776908023483361</v>
      </c>
      <c r="I13" s="378">
        <f>IF(G13=0,0,$C13/(G13*365))</f>
        <v>0.53776908023483361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4598</v>
      </c>
      <c r="D16" s="376">
        <v>908</v>
      </c>
      <c r="E16" s="376">
        <v>911</v>
      </c>
      <c r="F16" s="377">
        <v>14</v>
      </c>
      <c r="G16" s="377">
        <v>16</v>
      </c>
      <c r="H16" s="378">
        <f t="shared" si="0"/>
        <v>0.89980430528375732</v>
      </c>
      <c r="I16" s="378">
        <f t="shared" si="0"/>
        <v>0.7873287671232877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4598</v>
      </c>
      <c r="D17" s="381">
        <f>SUM(D15:D16)</f>
        <v>908</v>
      </c>
      <c r="E17" s="381">
        <f>SUM(E15:E16)</f>
        <v>911</v>
      </c>
      <c r="F17" s="381">
        <f>SUM(F15:F16)</f>
        <v>14</v>
      </c>
      <c r="G17" s="381">
        <f>SUM(G15:G16)</f>
        <v>16</v>
      </c>
      <c r="H17" s="382">
        <f t="shared" si="0"/>
        <v>0.89980430528375732</v>
      </c>
      <c r="I17" s="382">
        <f t="shared" si="0"/>
        <v>0.7873287671232877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1488</v>
      </c>
      <c r="D21" s="376">
        <v>514</v>
      </c>
      <c r="E21" s="376">
        <v>515</v>
      </c>
      <c r="F21" s="377">
        <v>15</v>
      </c>
      <c r="G21" s="377">
        <v>15</v>
      </c>
      <c r="H21" s="378">
        <f>IF(F21=0,0,$C21/(F21*365))</f>
        <v>0.27178082191780822</v>
      </c>
      <c r="I21" s="378">
        <f>IF(G21=0,0,$C21/(G21*365))</f>
        <v>0.27178082191780822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1351</v>
      </c>
      <c r="D23" s="376">
        <v>558</v>
      </c>
      <c r="E23" s="376">
        <v>564</v>
      </c>
      <c r="F23" s="377">
        <v>8</v>
      </c>
      <c r="G23" s="377">
        <v>20</v>
      </c>
      <c r="H23" s="378">
        <f>IF(F23=0,0,$C23/(F23*365))</f>
        <v>0.4626712328767123</v>
      </c>
      <c r="I23" s="378">
        <f>IF(G23=0,0,$C23/(G23*365))</f>
        <v>0.18506849315068494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8</v>
      </c>
      <c r="D27" s="376">
        <v>2</v>
      </c>
      <c r="E27" s="376">
        <v>2</v>
      </c>
      <c r="F27" s="377">
        <v>3</v>
      </c>
      <c r="G27" s="377">
        <v>3</v>
      </c>
      <c r="H27" s="378">
        <f>IF(F27=0,0,$C27/(F27*365))</f>
        <v>7.3059360730593605E-3</v>
      </c>
      <c r="I27" s="378">
        <f>IF(G27=0,0,$C27/(G27*365))</f>
        <v>7.3059360730593605E-3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26729</v>
      </c>
      <c r="D31" s="384">
        <f>SUM(D10:D29)-D13-D17-D23</f>
        <v>6513</v>
      </c>
      <c r="E31" s="384">
        <f>SUM(E10:E29)-E17-E23</f>
        <v>6492</v>
      </c>
      <c r="F31" s="384">
        <f>SUM(F10:F29)-F17-F23</f>
        <v>120</v>
      </c>
      <c r="G31" s="384">
        <f>SUM(G10:G29)-G17-G23</f>
        <v>134</v>
      </c>
      <c r="H31" s="385">
        <f>IF(F31=0,0,$C31/(F31*365))</f>
        <v>0.61025114155251137</v>
      </c>
      <c r="I31" s="385">
        <f>IF(G31=0,0,$C31/(G31*365))</f>
        <v>0.54649355959926393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28080</v>
      </c>
      <c r="D33" s="384">
        <f>SUM(D10:D29)-D13-D17</f>
        <v>7071</v>
      </c>
      <c r="E33" s="384">
        <f>SUM(E10:E29)-E17</f>
        <v>7056</v>
      </c>
      <c r="F33" s="384">
        <f>SUM(F10:F29)-F17</f>
        <v>128</v>
      </c>
      <c r="G33" s="384">
        <f>SUM(G10:G29)-G17</f>
        <v>154</v>
      </c>
      <c r="H33" s="385">
        <f>IF(F33=0,0,$C33/(F33*365))</f>
        <v>0.60102739726027399</v>
      </c>
      <c r="I33" s="385">
        <f>IF(G33=0,0,$C33/(G33*365))</f>
        <v>0.49955523928126666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28080</v>
      </c>
      <c r="D36" s="384">
        <f t="shared" si="1"/>
        <v>7071</v>
      </c>
      <c r="E36" s="384">
        <f t="shared" si="1"/>
        <v>7056</v>
      </c>
      <c r="F36" s="384">
        <f t="shared" si="1"/>
        <v>128</v>
      </c>
      <c r="G36" s="384">
        <f t="shared" si="1"/>
        <v>154</v>
      </c>
      <c r="H36" s="387">
        <f t="shared" si="1"/>
        <v>0.60102739726027399</v>
      </c>
      <c r="I36" s="387">
        <f t="shared" si="1"/>
        <v>0.49955523928126666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29830</v>
      </c>
      <c r="D37" s="384">
        <v>7349</v>
      </c>
      <c r="E37" s="384">
        <v>7348</v>
      </c>
      <c r="F37" s="386">
        <v>115</v>
      </c>
      <c r="G37" s="386">
        <v>154</v>
      </c>
      <c r="H37" s="385">
        <f>IF(F37=0,0,$C37/(F37*365))</f>
        <v>0.71066110780226321</v>
      </c>
      <c r="I37" s="385">
        <f>IF(G37=0,0,$C37/(G37*365))</f>
        <v>0.53068848959259918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-1750</v>
      </c>
      <c r="D38" s="384">
        <f t="shared" si="2"/>
        <v>-278</v>
      </c>
      <c r="E38" s="384">
        <f t="shared" si="2"/>
        <v>-292</v>
      </c>
      <c r="F38" s="384">
        <f t="shared" si="2"/>
        <v>13</v>
      </c>
      <c r="G38" s="384">
        <f t="shared" si="2"/>
        <v>0</v>
      </c>
      <c r="H38" s="387">
        <f t="shared" si="2"/>
        <v>-0.10963371054198923</v>
      </c>
      <c r="I38" s="387">
        <f t="shared" si="2"/>
        <v>-3.1133250311332517E-2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-5.8665772712034867E-2</v>
      </c>
      <c r="D40" s="389">
        <f t="shared" si="3"/>
        <v>-3.7828275955912372E-2</v>
      </c>
      <c r="E40" s="389">
        <f t="shared" si="3"/>
        <v>-3.9738704409363092E-2</v>
      </c>
      <c r="F40" s="389">
        <f t="shared" si="3"/>
        <v>0.11304347826086956</v>
      </c>
      <c r="G40" s="389">
        <f t="shared" si="3"/>
        <v>0</v>
      </c>
      <c r="H40" s="389">
        <f t="shared" si="3"/>
        <v>-0.15427003017096877</v>
      </c>
      <c r="I40" s="389">
        <f t="shared" si="3"/>
        <v>-5.8665772712034887E-2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9" orientation="landscape" horizontalDpi="1200" verticalDpi="1200" r:id="rId1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3239</v>
      </c>
      <c r="D12" s="409">
        <v>3244</v>
      </c>
      <c r="E12" s="409">
        <f>+D12-C12</f>
        <v>5</v>
      </c>
      <c r="F12" s="410">
        <f>IF(C12=0,0,+E12/C12)</f>
        <v>1.5436863229391787E-3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3937</v>
      </c>
      <c r="D13" s="409">
        <v>4322</v>
      </c>
      <c r="E13" s="409">
        <f>+D13-C13</f>
        <v>385</v>
      </c>
      <c r="F13" s="410">
        <f>IF(C13=0,0,+E13/C13)</f>
        <v>9.7790195580391162E-2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4829</v>
      </c>
      <c r="D14" s="409">
        <v>5112</v>
      </c>
      <c r="E14" s="409">
        <f>+D14-C14</f>
        <v>283</v>
      </c>
      <c r="F14" s="410">
        <f>IF(C14=0,0,+E14/C14)</f>
        <v>5.8604265893559743E-2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12005</v>
      </c>
      <c r="D16" s="401">
        <f>SUM(D12:D15)</f>
        <v>12678</v>
      </c>
      <c r="E16" s="401">
        <f>+D16-C16</f>
        <v>673</v>
      </c>
      <c r="F16" s="402">
        <f>IF(C16=0,0,+E16/C16)</f>
        <v>5.6059975010412329E-2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358</v>
      </c>
      <c r="D19" s="409">
        <v>374</v>
      </c>
      <c r="E19" s="409">
        <f>+D19-C19</f>
        <v>16</v>
      </c>
      <c r="F19" s="410">
        <f>IF(C19=0,0,+E19/C19)</f>
        <v>4.4692737430167599E-2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2658</v>
      </c>
      <c r="D20" s="409">
        <v>2337</v>
      </c>
      <c r="E20" s="409">
        <f>+D20-C20</f>
        <v>-321</v>
      </c>
      <c r="F20" s="410">
        <f>IF(C20=0,0,+E20/C20)</f>
        <v>-0.12076749435665914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89</v>
      </c>
      <c r="D21" s="409">
        <v>105</v>
      </c>
      <c r="E21" s="409">
        <f>+D21-C21</f>
        <v>16</v>
      </c>
      <c r="F21" s="410">
        <f>IF(C21=0,0,+E21/C21)</f>
        <v>0.1797752808988764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3105</v>
      </c>
      <c r="D23" s="401">
        <f>SUM(D19:D22)</f>
        <v>2816</v>
      </c>
      <c r="E23" s="401">
        <f>+D23-C23</f>
        <v>-289</v>
      </c>
      <c r="F23" s="402">
        <f>IF(C23=0,0,+E23/C23)</f>
        <v>-9.3075684380032206E-2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211</v>
      </c>
      <c r="D27" s="409">
        <v>213</v>
      </c>
      <c r="E27" s="409">
        <f>+D27-C27</f>
        <v>2</v>
      </c>
      <c r="F27" s="410">
        <f>IF(C27=0,0,+E27/C27)</f>
        <v>9.4786729857819912E-3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211</v>
      </c>
      <c r="D30" s="401">
        <f>SUM(D26:D29)</f>
        <v>213</v>
      </c>
      <c r="E30" s="401">
        <f>+D30-C30</f>
        <v>2</v>
      </c>
      <c r="F30" s="402">
        <f>IF(C30=0,0,+E30/C30)</f>
        <v>9.4786729857819912E-3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1272</v>
      </c>
      <c r="D63" s="409">
        <v>1280</v>
      </c>
      <c r="E63" s="409">
        <f>+D63-C63</f>
        <v>8</v>
      </c>
      <c r="F63" s="410">
        <f>IF(C63=0,0,+E63/C63)</f>
        <v>6.2893081761006293E-3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3385</v>
      </c>
      <c r="D64" s="409">
        <v>3088</v>
      </c>
      <c r="E64" s="409">
        <f>+D64-C64</f>
        <v>-297</v>
      </c>
      <c r="F64" s="410">
        <f>IF(C64=0,0,+E64/C64)</f>
        <v>-8.7740029542097489E-2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4657</v>
      </c>
      <c r="D65" s="401">
        <f>SUM(D63:D64)</f>
        <v>4368</v>
      </c>
      <c r="E65" s="401">
        <f>+D65-C65</f>
        <v>-289</v>
      </c>
      <c r="F65" s="402">
        <f>IF(C65=0,0,+E65/C65)</f>
        <v>-6.2057118316512776E-2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412</v>
      </c>
      <c r="D68" s="409">
        <v>392</v>
      </c>
      <c r="E68" s="409">
        <f>+D68-C68</f>
        <v>-20</v>
      </c>
      <c r="F68" s="410">
        <f>IF(C68=0,0,+E68/C68)</f>
        <v>-4.8543689320388349E-2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1732</v>
      </c>
      <c r="D69" s="409">
        <v>1844</v>
      </c>
      <c r="E69" s="409">
        <f>+D69-C69</f>
        <v>112</v>
      </c>
      <c r="F69" s="412">
        <f>IF(C69=0,0,+E69/C69)</f>
        <v>6.4665127020785224E-2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2144</v>
      </c>
      <c r="D70" s="401">
        <f>SUM(D68:D69)</f>
        <v>2236</v>
      </c>
      <c r="E70" s="401">
        <f>+D70-C70</f>
        <v>92</v>
      </c>
      <c r="F70" s="402">
        <f>IF(C70=0,0,+E70/C70)</f>
        <v>4.2910447761194029E-2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5323</v>
      </c>
      <c r="D73" s="376">
        <v>5331</v>
      </c>
      <c r="E73" s="409">
        <f>+D73-C73</f>
        <v>8</v>
      </c>
      <c r="F73" s="410">
        <f>IF(C73=0,0,+E73/C73)</f>
        <v>1.5029118917903438E-3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33489</v>
      </c>
      <c r="D74" s="376">
        <v>34310</v>
      </c>
      <c r="E74" s="409">
        <f>+D74-C74</f>
        <v>821</v>
      </c>
      <c r="F74" s="410">
        <f>IF(C74=0,0,+E74/C74)</f>
        <v>2.451551255636179E-2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38812</v>
      </c>
      <c r="D75" s="401">
        <f>SUM(D73:D74)</f>
        <v>39641</v>
      </c>
      <c r="E75" s="401">
        <f>SUM(E73:E74)</f>
        <v>829</v>
      </c>
      <c r="F75" s="402">
        <f>IF(C75=0,0,+E75/C75)</f>
        <v>2.1359373389673298E-2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28802</v>
      </c>
      <c r="D81" s="376">
        <v>26649</v>
      </c>
      <c r="E81" s="409">
        <f t="shared" si="0"/>
        <v>-2153</v>
      </c>
      <c r="F81" s="410">
        <f t="shared" si="1"/>
        <v>-7.4751753350461775E-2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28802</v>
      </c>
      <c r="D92" s="381">
        <f>SUM(D79:D91)</f>
        <v>26649</v>
      </c>
      <c r="E92" s="401">
        <f t="shared" si="0"/>
        <v>-2153</v>
      </c>
      <c r="F92" s="402">
        <f t="shared" si="1"/>
        <v>-7.4751753350461775E-2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88038</v>
      </c>
      <c r="D95" s="414">
        <v>82934</v>
      </c>
      <c r="E95" s="415">
        <f t="shared" ref="E95:E100" si="2">+D95-C95</f>
        <v>-5104</v>
      </c>
      <c r="F95" s="412">
        <f t="shared" ref="F95:F100" si="3">IF(C95=0,0,+E95/C95)</f>
        <v>-5.797496535586906E-2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3584</v>
      </c>
      <c r="D96" s="414">
        <v>3893</v>
      </c>
      <c r="E96" s="409">
        <f t="shared" si="2"/>
        <v>309</v>
      </c>
      <c r="F96" s="410">
        <f t="shared" si="3"/>
        <v>8.6216517857142863E-2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10441</v>
      </c>
      <c r="D97" s="414">
        <v>9299</v>
      </c>
      <c r="E97" s="409">
        <f t="shared" si="2"/>
        <v>-1142</v>
      </c>
      <c r="F97" s="410">
        <f t="shared" si="3"/>
        <v>-0.10937649650416627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1239</v>
      </c>
      <c r="D98" s="414">
        <v>1295</v>
      </c>
      <c r="E98" s="409">
        <f t="shared" si="2"/>
        <v>56</v>
      </c>
      <c r="F98" s="410">
        <f t="shared" si="3"/>
        <v>4.519774011299435E-2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3816</v>
      </c>
      <c r="D99" s="414">
        <v>4039</v>
      </c>
      <c r="E99" s="409">
        <f t="shared" si="2"/>
        <v>223</v>
      </c>
      <c r="F99" s="410">
        <f t="shared" si="3"/>
        <v>5.8438155136268342E-2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107118</v>
      </c>
      <c r="D100" s="381">
        <f>SUM(D95:D99)</f>
        <v>101460</v>
      </c>
      <c r="E100" s="401">
        <f t="shared" si="2"/>
        <v>-5658</v>
      </c>
      <c r="F100" s="402">
        <f t="shared" si="3"/>
        <v>-5.2820254298997366E-2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235.5</v>
      </c>
      <c r="D104" s="416">
        <v>205.4</v>
      </c>
      <c r="E104" s="417">
        <f>+D104-C104</f>
        <v>-30.099999999999994</v>
      </c>
      <c r="F104" s="410">
        <f>IF(C104=0,0,+E104/C104)</f>
        <v>-0.12781316348195326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1.2</v>
      </c>
      <c r="D105" s="416">
        <v>1.7</v>
      </c>
      <c r="E105" s="417">
        <f>+D105-C105</f>
        <v>0.5</v>
      </c>
      <c r="F105" s="410">
        <f>IF(C105=0,0,+E105/C105)</f>
        <v>0.41666666666666669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659.2</v>
      </c>
      <c r="D106" s="416">
        <v>636.79999999999995</v>
      </c>
      <c r="E106" s="417">
        <f>+D106-C106</f>
        <v>-22.400000000000091</v>
      </c>
      <c r="F106" s="410">
        <f>IF(C106=0,0,+E106/C106)</f>
        <v>-3.3980582524271982E-2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895.90000000000009</v>
      </c>
      <c r="D107" s="418">
        <f>SUM(D104:D106)</f>
        <v>843.9</v>
      </c>
      <c r="E107" s="418">
        <f>+D107-C107</f>
        <v>-52.000000000000114</v>
      </c>
      <c r="F107" s="402">
        <f>IF(C107=0,0,+E107/C107)</f>
        <v>-5.8042192208952015E-2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3385</v>
      </c>
      <c r="D12" s="409">
        <v>3088</v>
      </c>
      <c r="E12" s="409">
        <f>+D12-C12</f>
        <v>-297</v>
      </c>
      <c r="F12" s="410">
        <f>IF(C12=0,0,+E12/C12)</f>
        <v>-8.7740029542097489E-2</v>
      </c>
    </row>
    <row r="13" spans="1:6" ht="15.75" customHeight="1" x14ac:dyDescent="0.25">
      <c r="A13" s="374"/>
      <c r="B13" s="399" t="s">
        <v>622</v>
      </c>
      <c r="C13" s="401">
        <f>SUM(C11:C12)</f>
        <v>3385</v>
      </c>
      <c r="D13" s="401">
        <f>SUM(D11:D12)</f>
        <v>3088</v>
      </c>
      <c r="E13" s="401">
        <f>+D13-C13</f>
        <v>-297</v>
      </c>
      <c r="F13" s="402">
        <f>IF(C13=0,0,+E13/C13)</f>
        <v>-8.7740029542097489E-2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1732</v>
      </c>
      <c r="D16" s="409">
        <v>1844</v>
      </c>
      <c r="E16" s="409">
        <f>+D16-C16</f>
        <v>112</v>
      </c>
      <c r="F16" s="410">
        <f>IF(C16=0,0,+E16/C16)</f>
        <v>6.4665127020785224E-2</v>
      </c>
    </row>
    <row r="17" spans="1:6" ht="15.75" customHeight="1" x14ac:dyDescent="0.25">
      <c r="A17" s="374"/>
      <c r="B17" s="399" t="s">
        <v>623</v>
      </c>
      <c r="C17" s="401">
        <f>SUM(C15:C16)</f>
        <v>1732</v>
      </c>
      <c r="D17" s="401">
        <f>SUM(D15:D16)</f>
        <v>1844</v>
      </c>
      <c r="E17" s="401">
        <f>+D17-C17</f>
        <v>112</v>
      </c>
      <c r="F17" s="402">
        <f>IF(C17=0,0,+E17/C17)</f>
        <v>6.4665127020785224E-2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33489</v>
      </c>
      <c r="D20" s="409">
        <v>34310</v>
      </c>
      <c r="E20" s="409">
        <f>+D20-C20</f>
        <v>821</v>
      </c>
      <c r="F20" s="410">
        <f>IF(C20=0,0,+E20/C20)</f>
        <v>2.451551255636179E-2</v>
      </c>
    </row>
    <row r="21" spans="1:6" ht="15.75" customHeight="1" x14ac:dyDescent="0.25">
      <c r="A21" s="374"/>
      <c r="B21" s="399" t="s">
        <v>625</v>
      </c>
      <c r="C21" s="401">
        <f>SUM(C19:C20)</f>
        <v>33489</v>
      </c>
      <c r="D21" s="401">
        <f>SUM(D19:D20)</f>
        <v>34310</v>
      </c>
      <c r="E21" s="401">
        <f>+D21-C21</f>
        <v>821</v>
      </c>
      <c r="F21" s="402">
        <f>IF(C21=0,0,+E21/C21)</f>
        <v>2.451551255636179E-2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FILING&amp;RBRISTOL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92227399</v>
      </c>
      <c r="D15" s="448">
        <v>89030643</v>
      </c>
      <c r="E15" s="448">
        <f t="shared" ref="E15:E24" si="0">D15-C15</f>
        <v>-3196756</v>
      </c>
      <c r="F15" s="449">
        <f t="shared" ref="F15:F24" si="1">IF(C15=0,0,E15/C15)</f>
        <v>-3.4661673587910682E-2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31043356</v>
      </c>
      <c r="D16" s="448">
        <v>28121510</v>
      </c>
      <c r="E16" s="448">
        <f t="shared" si="0"/>
        <v>-2921846</v>
      </c>
      <c r="F16" s="449">
        <f t="shared" si="1"/>
        <v>-9.4121460321493586E-2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0.33659580923452043</v>
      </c>
      <c r="D17" s="453">
        <f>IF(LN_IA1=0,0,LN_IA2/LN_IA1)</f>
        <v>0.31586326968345046</v>
      </c>
      <c r="E17" s="454">
        <f t="shared" si="0"/>
        <v>-2.0732539551069962E-2</v>
      </c>
      <c r="F17" s="449">
        <f t="shared" si="1"/>
        <v>-6.1594764350214271E-2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3410</v>
      </c>
      <c r="D18" s="456">
        <v>3380</v>
      </c>
      <c r="E18" s="456">
        <f t="shared" si="0"/>
        <v>-30</v>
      </c>
      <c r="F18" s="449">
        <f t="shared" si="1"/>
        <v>-8.7976539589442824E-3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1.3064</v>
      </c>
      <c r="D19" s="459">
        <v>1.2741</v>
      </c>
      <c r="E19" s="460">
        <f t="shared" si="0"/>
        <v>-3.2299999999999995E-2</v>
      </c>
      <c r="F19" s="449">
        <f t="shared" si="1"/>
        <v>-2.4724433557868949E-2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4454.8239999999996</v>
      </c>
      <c r="D20" s="463">
        <f>LN_IA4*LN_IA5</f>
        <v>4306.4579999999996</v>
      </c>
      <c r="E20" s="463">
        <f t="shared" si="0"/>
        <v>-148.36599999999999</v>
      </c>
      <c r="F20" s="449">
        <f t="shared" si="1"/>
        <v>-3.3304570506040194E-2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6968.4809096835261</v>
      </c>
      <c r="D21" s="465">
        <f>IF(LN_IA6=0,0,LN_IA2/LN_IA6)</f>
        <v>6530.0787793588142</v>
      </c>
      <c r="E21" s="465">
        <f t="shared" si="0"/>
        <v>-438.40213032471183</v>
      </c>
      <c r="F21" s="449">
        <f t="shared" si="1"/>
        <v>-6.2912152018024525E-2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16245</v>
      </c>
      <c r="D22" s="456">
        <v>14869</v>
      </c>
      <c r="E22" s="456">
        <f t="shared" si="0"/>
        <v>-1376</v>
      </c>
      <c r="F22" s="449">
        <f t="shared" si="1"/>
        <v>-8.4702985534010469E-2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1910.9483533394891</v>
      </c>
      <c r="D23" s="465">
        <f>IF(LN_IA8=0,0,LN_IA2/LN_IA8)</f>
        <v>1891.2845517519672</v>
      </c>
      <c r="E23" s="465">
        <f t="shared" si="0"/>
        <v>-19.663801587521903</v>
      </c>
      <c r="F23" s="449">
        <f t="shared" si="1"/>
        <v>-1.0290074848521317E-2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4.7639296187683282</v>
      </c>
      <c r="D24" s="466">
        <f>IF(LN_IA4=0,0,LN_IA8/LN_IA4)</f>
        <v>4.3991124260355026</v>
      </c>
      <c r="E24" s="466">
        <f t="shared" si="0"/>
        <v>-0.36481719273282565</v>
      </c>
      <c r="F24" s="449">
        <f t="shared" si="1"/>
        <v>-7.6579047535791658E-2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115155887</v>
      </c>
      <c r="D27" s="448">
        <v>116531165</v>
      </c>
      <c r="E27" s="448">
        <f t="shared" ref="E27:E32" si="2">D27-C27</f>
        <v>1375278</v>
      </c>
      <c r="F27" s="449">
        <f t="shared" ref="F27:F32" si="3">IF(C27=0,0,E27/C27)</f>
        <v>1.1942750265125394E-2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20899377</v>
      </c>
      <c r="D28" s="448">
        <v>23973082</v>
      </c>
      <c r="E28" s="448">
        <f t="shared" si="2"/>
        <v>3073705</v>
      </c>
      <c r="F28" s="449">
        <f t="shared" si="3"/>
        <v>0.14707160888097287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0.18148769936529602</v>
      </c>
      <c r="D29" s="453">
        <f>IF(LN_IA11=0,0,LN_IA12/LN_IA11)</f>
        <v>0.20572249492228109</v>
      </c>
      <c r="E29" s="454">
        <f t="shared" si="2"/>
        <v>2.4234795556985073E-2</v>
      </c>
      <c r="F29" s="449">
        <f t="shared" si="3"/>
        <v>0.13353409427602914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1.2486082037291326</v>
      </c>
      <c r="D30" s="453">
        <f>IF(LN_IA1=0,0,LN_IA11/LN_IA1)</f>
        <v>1.3088882779381925</v>
      </c>
      <c r="E30" s="454">
        <f t="shared" si="2"/>
        <v>6.0280074209059897E-2</v>
      </c>
      <c r="F30" s="449">
        <f t="shared" si="3"/>
        <v>4.8277813672075461E-2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4257.7539747163419</v>
      </c>
      <c r="D31" s="463">
        <f>LN_IA14*LN_IA4</f>
        <v>4424.0423794310909</v>
      </c>
      <c r="E31" s="463">
        <f t="shared" si="2"/>
        <v>166.28840471474905</v>
      </c>
      <c r="F31" s="449">
        <f t="shared" si="3"/>
        <v>3.9055428214550006E-2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4908.5450037991795</v>
      </c>
      <c r="D32" s="465">
        <f>IF(LN_IA15=0,0,LN_IA12/LN_IA15)</f>
        <v>5418.8183439334089</v>
      </c>
      <c r="E32" s="465">
        <f t="shared" si="2"/>
        <v>510.27334013422933</v>
      </c>
      <c r="F32" s="449">
        <f t="shared" si="3"/>
        <v>0.10395612951277443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207383286</v>
      </c>
      <c r="D35" s="448">
        <f>LN_IA1+LN_IA11</f>
        <v>205561808</v>
      </c>
      <c r="E35" s="448">
        <f>D35-C35</f>
        <v>-1821478</v>
      </c>
      <c r="F35" s="449">
        <f>IF(C35=0,0,E35/C35)</f>
        <v>-8.783147548351607E-3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51942733</v>
      </c>
      <c r="D36" s="448">
        <f>LN_IA2+LN_IA12</f>
        <v>52094592</v>
      </c>
      <c r="E36" s="448">
        <f>D36-C36</f>
        <v>151859</v>
      </c>
      <c r="F36" s="449">
        <f>IF(C36=0,0,E36/C36)</f>
        <v>2.923585095146996E-3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155440553</v>
      </c>
      <c r="D37" s="448">
        <f>LN_IA17-LN_IA18</f>
        <v>153467216</v>
      </c>
      <c r="E37" s="448">
        <f>D37-C37</f>
        <v>-1973337</v>
      </c>
      <c r="F37" s="449">
        <f>IF(C37=0,0,E37/C37)</f>
        <v>-1.2695123389068232E-2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42111049</v>
      </c>
      <c r="D42" s="448">
        <v>34686289</v>
      </c>
      <c r="E42" s="448">
        <f t="shared" ref="E42:E53" si="4">D42-C42</f>
        <v>-7424760</v>
      </c>
      <c r="F42" s="449">
        <f t="shared" ref="F42:F53" si="5">IF(C42=0,0,E42/C42)</f>
        <v>-0.17631382205653437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20870629</v>
      </c>
      <c r="D43" s="448">
        <v>17963053</v>
      </c>
      <c r="E43" s="448">
        <f t="shared" si="4"/>
        <v>-2907576</v>
      </c>
      <c r="F43" s="449">
        <f t="shared" si="5"/>
        <v>-0.13931424874640816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0.49560933521271339</v>
      </c>
      <c r="D44" s="453">
        <f>IF(LN_IB1=0,0,LN_IB2/LN_IB1)</f>
        <v>0.51787185997325913</v>
      </c>
      <c r="E44" s="454">
        <f t="shared" si="4"/>
        <v>2.2262524760545743E-2</v>
      </c>
      <c r="F44" s="449">
        <f t="shared" si="5"/>
        <v>4.4919502476664937E-2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2116</v>
      </c>
      <c r="D45" s="456">
        <v>1833</v>
      </c>
      <c r="E45" s="456">
        <f t="shared" si="4"/>
        <v>-283</v>
      </c>
      <c r="F45" s="449">
        <f t="shared" si="5"/>
        <v>-0.13374291115311909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1.0463</v>
      </c>
      <c r="D46" s="459">
        <v>0.99299999999999999</v>
      </c>
      <c r="E46" s="460">
        <f t="shared" si="4"/>
        <v>-5.3300000000000014E-2</v>
      </c>
      <c r="F46" s="449">
        <f t="shared" si="5"/>
        <v>-5.0941412596769584E-2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2213.9708000000001</v>
      </c>
      <c r="D47" s="463">
        <f>LN_IB4*LN_IB5</f>
        <v>1820.1690000000001</v>
      </c>
      <c r="E47" s="463">
        <f t="shared" si="4"/>
        <v>-393.80179999999996</v>
      </c>
      <c r="F47" s="449">
        <f t="shared" si="5"/>
        <v>-0.17787127093094451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9426.7860262655668</v>
      </c>
      <c r="D48" s="465">
        <f>IF(LN_IB6=0,0,LN_IB2/LN_IB6)</f>
        <v>9868.8929434574475</v>
      </c>
      <c r="E48" s="465">
        <f t="shared" si="4"/>
        <v>442.10691719188071</v>
      </c>
      <c r="F48" s="449">
        <f t="shared" si="5"/>
        <v>4.689900841708422E-2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-2458.3051165820407</v>
      </c>
      <c r="D49" s="465">
        <f>LN_IA7-LN_IB7</f>
        <v>-3338.8141640986332</v>
      </c>
      <c r="E49" s="465">
        <f t="shared" si="4"/>
        <v>-880.50904751659255</v>
      </c>
      <c r="F49" s="449">
        <f t="shared" si="5"/>
        <v>0.35817728303019924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-5442615.7456032336</v>
      </c>
      <c r="D50" s="479">
        <f>LN_IB8*LN_IB6</f>
        <v>-6077206.0382532459</v>
      </c>
      <c r="E50" s="479">
        <f t="shared" si="4"/>
        <v>-634590.2926500123</v>
      </c>
      <c r="F50" s="449">
        <f t="shared" si="5"/>
        <v>0.11659656354808075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6986</v>
      </c>
      <c r="D51" s="456">
        <v>6026</v>
      </c>
      <c r="E51" s="456">
        <f t="shared" si="4"/>
        <v>-960</v>
      </c>
      <c r="F51" s="449">
        <f t="shared" si="5"/>
        <v>-0.13741769252791297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2987.493415402233</v>
      </c>
      <c r="D52" s="465">
        <f>IF(LN_IB10=0,0,LN_IB2/LN_IB10)</f>
        <v>2980.9248257550612</v>
      </c>
      <c r="E52" s="465">
        <f t="shared" si="4"/>
        <v>-6.5685896471718479</v>
      </c>
      <c r="F52" s="449">
        <f t="shared" si="5"/>
        <v>-2.1986959413222537E-3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3.3015122873345937</v>
      </c>
      <c r="D53" s="466">
        <f>IF(LN_IB4=0,0,LN_IB10/LN_IB4)</f>
        <v>3.2875068194217132</v>
      </c>
      <c r="E53" s="466">
        <f t="shared" si="4"/>
        <v>-1.4005467912880487E-2</v>
      </c>
      <c r="F53" s="449">
        <f t="shared" si="5"/>
        <v>-4.2421371462432163E-3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112105411</v>
      </c>
      <c r="D56" s="448">
        <v>104545675</v>
      </c>
      <c r="E56" s="448">
        <f t="shared" ref="E56:E63" si="6">D56-C56</f>
        <v>-7559736</v>
      </c>
      <c r="F56" s="449">
        <f t="shared" ref="F56:F63" si="7">IF(C56=0,0,E56/C56)</f>
        <v>-6.7434175857934278E-2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43163596</v>
      </c>
      <c r="D57" s="448">
        <v>41191436</v>
      </c>
      <c r="E57" s="448">
        <f t="shared" si="6"/>
        <v>-1972160</v>
      </c>
      <c r="F57" s="449">
        <f t="shared" si="7"/>
        <v>-4.5690354436641469E-2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0.38502687439413608</v>
      </c>
      <c r="D58" s="453">
        <f>IF(LN_IB13=0,0,LN_IB14/LN_IB13)</f>
        <v>0.3940042091650372</v>
      </c>
      <c r="E58" s="454">
        <f t="shared" si="6"/>
        <v>8.9773347709011242E-3</v>
      </c>
      <c r="F58" s="449">
        <f t="shared" si="7"/>
        <v>2.3316125101728348E-2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2.6621376969260488</v>
      </c>
      <c r="D59" s="453">
        <f>IF(LN_IB1=0,0,LN_IB13/LN_IB1)</f>
        <v>3.0140345944762208</v>
      </c>
      <c r="E59" s="454">
        <f t="shared" si="6"/>
        <v>0.35189689755017195</v>
      </c>
      <c r="F59" s="449">
        <f t="shared" si="7"/>
        <v>0.13218583620092408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5633.0833666955195</v>
      </c>
      <c r="D60" s="463">
        <f>LN_IB16*LN_IB4</f>
        <v>5524.7254116749127</v>
      </c>
      <c r="E60" s="463">
        <f t="shared" si="6"/>
        <v>-108.35795502060682</v>
      </c>
      <c r="F60" s="449">
        <f t="shared" si="7"/>
        <v>-1.9235993498915992E-2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7662.5168118753827</v>
      </c>
      <c r="D61" s="465">
        <f>IF(LN_IB17=0,0,LN_IB14/LN_IB17)</f>
        <v>7455.8340787315492</v>
      </c>
      <c r="E61" s="465">
        <f t="shared" si="6"/>
        <v>-206.6827331438335</v>
      </c>
      <c r="F61" s="449">
        <f t="shared" si="7"/>
        <v>-2.697321757565559E-2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-2753.9718080762032</v>
      </c>
      <c r="D62" s="465">
        <f>LN_IA16-LN_IB18</f>
        <v>-2037.0157347981403</v>
      </c>
      <c r="E62" s="465">
        <f t="shared" si="6"/>
        <v>716.95607327806283</v>
      </c>
      <c r="F62" s="449">
        <f t="shared" si="7"/>
        <v>-0.26033529870405431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-15513352.784422446</v>
      </c>
      <c r="D63" s="448">
        <f>LN_IB19*LN_IB17</f>
        <v>-11253952.594020931</v>
      </c>
      <c r="E63" s="448">
        <f t="shared" si="6"/>
        <v>4259400.190401515</v>
      </c>
      <c r="F63" s="449">
        <f t="shared" si="7"/>
        <v>-0.27456348408956072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154216460</v>
      </c>
      <c r="D66" s="448">
        <f>LN_IB1+LN_IB13</f>
        <v>139231964</v>
      </c>
      <c r="E66" s="448">
        <f>D66-C66</f>
        <v>-14984496</v>
      </c>
      <c r="F66" s="449">
        <f>IF(C66=0,0,E66/C66)</f>
        <v>-9.7165347979067868E-2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64034225</v>
      </c>
      <c r="D67" s="448">
        <f>LN_IB2+LN_IB14</f>
        <v>59154489</v>
      </c>
      <c r="E67" s="448">
        <f>D67-C67</f>
        <v>-4879736</v>
      </c>
      <c r="F67" s="449">
        <f>IF(C67=0,0,E67/C67)</f>
        <v>-7.6205123119706689E-2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90182235</v>
      </c>
      <c r="D68" s="448">
        <f>LN_IB21-LN_IB22</f>
        <v>80077475</v>
      </c>
      <c r="E68" s="448">
        <f>D68-C68</f>
        <v>-10104760</v>
      </c>
      <c r="F68" s="449">
        <f>IF(C68=0,0,E68/C68)</f>
        <v>-0.11204823211578201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-20955968.53002568</v>
      </c>
      <c r="D70" s="441">
        <f>LN_IB9+LN_IB20</f>
        <v>-17331158.632274177</v>
      </c>
      <c r="E70" s="448">
        <f>D70-C70</f>
        <v>3624809.8977515027</v>
      </c>
      <c r="F70" s="449">
        <f>IF(C70=0,0,E70/C70)</f>
        <v>-0.17297267327720409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142326436</v>
      </c>
      <c r="D73" s="488">
        <v>129119183</v>
      </c>
      <c r="E73" s="488">
        <f>D73-C73</f>
        <v>-13207253</v>
      </c>
      <c r="F73" s="489">
        <f>IF(C73=0,0,E73/C73)</f>
        <v>-9.2795501462567362E-2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68862450</v>
      </c>
      <c r="D74" s="488">
        <v>65741313</v>
      </c>
      <c r="E74" s="488">
        <f>D74-C74</f>
        <v>-3121137</v>
      </c>
      <c r="F74" s="489">
        <f>IF(C74=0,0,E74/C74)</f>
        <v>-4.532422241729709E-2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73463986</v>
      </c>
      <c r="D76" s="441">
        <f>LN_IB32-LN_IB33</f>
        <v>63377870</v>
      </c>
      <c r="E76" s="488">
        <f>D76-C76</f>
        <v>-10086116</v>
      </c>
      <c r="F76" s="489">
        <f>IF(E76=0,0,E76/C76)</f>
        <v>-0.13729333989582324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0.51616542973084778</v>
      </c>
      <c r="D77" s="453">
        <f>IF(LN_IB32=0,0,LN_IB34/LN_IB32)</f>
        <v>0.49084782390545328</v>
      </c>
      <c r="E77" s="493">
        <f>D77-C77</f>
        <v>-2.5317605825394496E-2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1460013</v>
      </c>
      <c r="D83" s="448">
        <v>1368087</v>
      </c>
      <c r="E83" s="448">
        <f t="shared" ref="E83:E95" si="8">D83-C83</f>
        <v>-91926</v>
      </c>
      <c r="F83" s="449">
        <f t="shared" ref="F83:F95" si="9">IF(C83=0,0,E83/C83)</f>
        <v>-6.2962453074047978E-2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0</v>
      </c>
      <c r="D84" s="448">
        <v>0</v>
      </c>
      <c r="E84" s="448">
        <f t="shared" si="8"/>
        <v>0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</v>
      </c>
      <c r="D85" s="453">
        <f>IF(LN_IC1=0,0,LN_IC2/LN_IC1)</f>
        <v>0</v>
      </c>
      <c r="E85" s="454">
        <f t="shared" si="8"/>
        <v>0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113</v>
      </c>
      <c r="D86" s="456">
        <v>102</v>
      </c>
      <c r="E86" s="456">
        <f t="shared" si="8"/>
        <v>-11</v>
      </c>
      <c r="F86" s="449">
        <f t="shared" si="9"/>
        <v>-9.7345132743362831E-2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1.1759999999999999</v>
      </c>
      <c r="D87" s="459">
        <v>1.1252</v>
      </c>
      <c r="E87" s="460">
        <f t="shared" si="8"/>
        <v>-5.0799999999999956E-2</v>
      </c>
      <c r="F87" s="449">
        <f t="shared" si="9"/>
        <v>-4.3197278911564593E-2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132.88800000000001</v>
      </c>
      <c r="D88" s="463">
        <f>LN_IC4*LN_IC5</f>
        <v>114.7704</v>
      </c>
      <c r="E88" s="463">
        <f t="shared" si="8"/>
        <v>-18.11760000000001</v>
      </c>
      <c r="F88" s="449">
        <f t="shared" si="9"/>
        <v>-0.1363373668051292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0</v>
      </c>
      <c r="D89" s="465">
        <f>IF(LN_IC6=0,0,LN_IC2/LN_IC6)</f>
        <v>0</v>
      </c>
      <c r="E89" s="465">
        <f t="shared" si="8"/>
        <v>0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9426.7860262655668</v>
      </c>
      <c r="D90" s="465">
        <f>LN_IB7-LN_IC7</f>
        <v>9868.8929434574475</v>
      </c>
      <c r="E90" s="465">
        <f t="shared" si="8"/>
        <v>442.10691719188071</v>
      </c>
      <c r="F90" s="449">
        <f t="shared" si="9"/>
        <v>4.689900841708422E-2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6968.4809096835261</v>
      </c>
      <c r="D91" s="465">
        <f>LN_IA7-LN_IC7</f>
        <v>6530.0787793588142</v>
      </c>
      <c r="E91" s="465">
        <f t="shared" si="8"/>
        <v>-438.40213032471183</v>
      </c>
      <c r="F91" s="449">
        <f t="shared" si="9"/>
        <v>-6.2912152018024525E-2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926027.4911260244</v>
      </c>
      <c r="D92" s="441">
        <f>LN_IC9*LN_IC6</f>
        <v>749459.75353852287</v>
      </c>
      <c r="E92" s="441">
        <f t="shared" si="8"/>
        <v>-176567.73758750153</v>
      </c>
      <c r="F92" s="449">
        <f t="shared" si="9"/>
        <v>-0.19067224167697217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375</v>
      </c>
      <c r="D93" s="456">
        <v>360</v>
      </c>
      <c r="E93" s="456">
        <f t="shared" si="8"/>
        <v>-15</v>
      </c>
      <c r="F93" s="449">
        <f t="shared" si="9"/>
        <v>-0.04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0</v>
      </c>
      <c r="D94" s="499">
        <f>IF(LN_IC11=0,0,LN_IC2/LN_IC11)</f>
        <v>0</v>
      </c>
      <c r="E94" s="499">
        <f t="shared" si="8"/>
        <v>0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3.3185840707964602</v>
      </c>
      <c r="D95" s="466">
        <f>IF(LN_IC4=0,0,LN_IC11/LN_IC4)</f>
        <v>3.5294117647058822</v>
      </c>
      <c r="E95" s="466">
        <f t="shared" si="8"/>
        <v>0.21082769390942202</v>
      </c>
      <c r="F95" s="449">
        <f t="shared" si="9"/>
        <v>6.3529411764705834E-2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5851418</v>
      </c>
      <c r="D98" s="448">
        <v>5132339</v>
      </c>
      <c r="E98" s="448">
        <f t="shared" ref="E98:E106" si="10">D98-C98</f>
        <v>-719079</v>
      </c>
      <c r="F98" s="449">
        <f t="shared" ref="F98:F106" si="11">IF(C98=0,0,E98/C98)</f>
        <v>-0.12288969955658612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67919</v>
      </c>
      <c r="D99" s="448">
        <v>108324</v>
      </c>
      <c r="E99" s="448">
        <f t="shared" si="10"/>
        <v>40405</v>
      </c>
      <c r="F99" s="449">
        <f t="shared" si="11"/>
        <v>0.5948998071231909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1.1607271946731544E-2</v>
      </c>
      <c r="D100" s="453">
        <f>IF(LN_IC14=0,0,LN_IC15/LN_IC14)</f>
        <v>2.1106166213884156E-2</v>
      </c>
      <c r="E100" s="454">
        <f t="shared" si="10"/>
        <v>9.4988942671526116E-3</v>
      </c>
      <c r="F100" s="449">
        <f t="shared" si="11"/>
        <v>0.81835717391177132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4.0077848621895829</v>
      </c>
      <c r="D101" s="453">
        <f>IF(LN_IC1=0,0,LN_IC14/LN_IC1)</f>
        <v>3.7514712149154259</v>
      </c>
      <c r="E101" s="454">
        <f t="shared" si="10"/>
        <v>-0.25631364727415695</v>
      </c>
      <c r="F101" s="449">
        <f t="shared" si="11"/>
        <v>-6.3953943659072685E-2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452.87968942742287</v>
      </c>
      <c r="D102" s="463">
        <f>LN_IC17*LN_IC4</f>
        <v>382.65006392137343</v>
      </c>
      <c r="E102" s="463">
        <f t="shared" si="10"/>
        <v>-70.229625506049445</v>
      </c>
      <c r="F102" s="449">
        <f t="shared" si="11"/>
        <v>-0.15507347126748158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149.97139767047224</v>
      </c>
      <c r="D103" s="465">
        <f>IF(LN_IC18=0,0,LN_IC15/LN_IC18)</f>
        <v>283.08893742209938</v>
      </c>
      <c r="E103" s="465">
        <f t="shared" si="10"/>
        <v>133.11753975162713</v>
      </c>
      <c r="F103" s="449">
        <f t="shared" si="11"/>
        <v>0.88761951825055607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7512.5454142049102</v>
      </c>
      <c r="D104" s="465">
        <f>LN_IB18-LN_IC19</f>
        <v>7172.7451413094495</v>
      </c>
      <c r="E104" s="465">
        <f t="shared" si="10"/>
        <v>-339.80027289546069</v>
      </c>
      <c r="F104" s="449">
        <f t="shared" si="11"/>
        <v>-4.5231044094982478E-2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4758.5736061287071</v>
      </c>
      <c r="D105" s="465">
        <f>LN_IA16-LN_IC19</f>
        <v>5135.7294065113092</v>
      </c>
      <c r="E105" s="465">
        <f t="shared" si="10"/>
        <v>377.15580038260214</v>
      </c>
      <c r="F105" s="449">
        <f t="shared" si="11"/>
        <v>7.9258162550402092E-2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2155061.3368611005</v>
      </c>
      <c r="D106" s="448">
        <f>LN_IC21*LN_IC18</f>
        <v>1965187.1856844297</v>
      </c>
      <c r="E106" s="448">
        <f t="shared" si="10"/>
        <v>-189874.1511766708</v>
      </c>
      <c r="F106" s="449">
        <f t="shared" si="11"/>
        <v>-8.8106147110052629E-2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7311431</v>
      </c>
      <c r="D109" s="448">
        <f>LN_IC1+LN_IC14</f>
        <v>6500426</v>
      </c>
      <c r="E109" s="448">
        <f>D109-C109</f>
        <v>-811005</v>
      </c>
      <c r="F109" s="449">
        <f>IF(C109=0,0,E109/C109)</f>
        <v>-0.11092288226477143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67919</v>
      </c>
      <c r="D110" s="448">
        <f>LN_IC2+LN_IC15</f>
        <v>108324</v>
      </c>
      <c r="E110" s="448">
        <f>D110-C110</f>
        <v>40405</v>
      </c>
      <c r="F110" s="449">
        <f>IF(C110=0,0,E110/C110)</f>
        <v>0.5948998071231909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7243512</v>
      </c>
      <c r="D111" s="448">
        <f>LN_IC23-LN_IC24</f>
        <v>6392102</v>
      </c>
      <c r="E111" s="448">
        <f>D111-C111</f>
        <v>-851410</v>
      </c>
      <c r="F111" s="449">
        <f>IF(C111=0,0,E111/C111)</f>
        <v>-0.11754104914853458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3081088.8279871251</v>
      </c>
      <c r="D113" s="448">
        <f>LN_IC10+LN_IC22</f>
        <v>2714646.9392229524</v>
      </c>
      <c r="E113" s="448">
        <f>D113-C113</f>
        <v>-366441.88876417279</v>
      </c>
      <c r="F113" s="449">
        <f>IF(C113=0,0,E113/C113)</f>
        <v>-0.11893259468392842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30033754</v>
      </c>
      <c r="D118" s="448">
        <v>32931847</v>
      </c>
      <c r="E118" s="448">
        <f t="shared" ref="E118:E130" si="12">D118-C118</f>
        <v>2898093</v>
      </c>
      <c r="F118" s="449">
        <f t="shared" ref="F118:F130" si="13">IF(C118=0,0,E118/C118)</f>
        <v>9.6494530786927268E-2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6607478</v>
      </c>
      <c r="D119" s="448">
        <v>7687592</v>
      </c>
      <c r="E119" s="448">
        <f t="shared" si="12"/>
        <v>1080114</v>
      </c>
      <c r="F119" s="449">
        <f t="shared" si="13"/>
        <v>0.16346842168827502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0.22000173538079856</v>
      </c>
      <c r="D120" s="453">
        <f>IF(LN_ID1=0,0,LN_1D2/LN_ID1)</f>
        <v>0.23343944237321398</v>
      </c>
      <c r="E120" s="454">
        <f t="shared" si="12"/>
        <v>1.3437706992415421E-2</v>
      </c>
      <c r="F120" s="449">
        <f t="shared" si="13"/>
        <v>6.108000452431088E-2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1797</v>
      </c>
      <c r="D121" s="456">
        <v>1840</v>
      </c>
      <c r="E121" s="456">
        <f t="shared" si="12"/>
        <v>43</v>
      </c>
      <c r="F121" s="449">
        <f t="shared" si="13"/>
        <v>2.3928770172509738E-2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0.94320000000000004</v>
      </c>
      <c r="D122" s="459">
        <v>0.93630000000000002</v>
      </c>
      <c r="E122" s="460">
        <f t="shared" si="12"/>
        <v>-6.9000000000000172E-3</v>
      </c>
      <c r="F122" s="449">
        <f t="shared" si="13"/>
        <v>-7.3155216284987454E-3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1694.9304</v>
      </c>
      <c r="D123" s="463">
        <f>LN_ID4*LN_ID5</f>
        <v>1722.7920000000001</v>
      </c>
      <c r="E123" s="463">
        <f t="shared" si="12"/>
        <v>27.86160000000018</v>
      </c>
      <c r="F123" s="449">
        <f t="shared" si="13"/>
        <v>1.6438197108270748E-2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3898.3771841014832</v>
      </c>
      <c r="D124" s="465">
        <f>IF(LN_ID6=0,0,LN_1D2/LN_ID6)</f>
        <v>4462.2867995672141</v>
      </c>
      <c r="E124" s="465">
        <f t="shared" si="12"/>
        <v>563.90961546573089</v>
      </c>
      <c r="F124" s="449">
        <f t="shared" si="13"/>
        <v>0.1446523999179683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5528.4088421640836</v>
      </c>
      <c r="D125" s="465">
        <f>LN_IB7-LN_ID7</f>
        <v>5406.6061438902334</v>
      </c>
      <c r="E125" s="465">
        <f t="shared" si="12"/>
        <v>-121.80269827385018</v>
      </c>
      <c r="F125" s="449">
        <f t="shared" si="13"/>
        <v>-2.2032143741773407E-2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3070.1037255820429</v>
      </c>
      <c r="D126" s="465">
        <f>LN_IA7-LN_ID7</f>
        <v>2067.7919797916002</v>
      </c>
      <c r="E126" s="465">
        <f t="shared" si="12"/>
        <v>-1002.3117457904427</v>
      </c>
      <c r="F126" s="449">
        <f t="shared" si="13"/>
        <v>-0.32647488012816905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5203612.1356422622</v>
      </c>
      <c r="D127" s="479">
        <f>LN_ID9*LN_ID6</f>
        <v>3562375.4804491308</v>
      </c>
      <c r="E127" s="479">
        <f t="shared" si="12"/>
        <v>-1641236.6551931314</v>
      </c>
      <c r="F127" s="449">
        <f t="shared" si="13"/>
        <v>-0.31540334145034427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6529</v>
      </c>
      <c r="D128" s="456">
        <v>7135</v>
      </c>
      <c r="E128" s="456">
        <f t="shared" si="12"/>
        <v>606</v>
      </c>
      <c r="F128" s="449">
        <f t="shared" si="13"/>
        <v>9.2816664113953132E-2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1012.0199111655691</v>
      </c>
      <c r="D129" s="465">
        <f>IF(LN_ID11=0,0,LN_1D2/LN_ID11)</f>
        <v>1077.4480728801682</v>
      </c>
      <c r="E129" s="465">
        <f t="shared" si="12"/>
        <v>65.428161714599128</v>
      </c>
      <c r="F129" s="449">
        <f t="shared" si="13"/>
        <v>6.465106169625047E-2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3.6332776850306066</v>
      </c>
      <c r="D130" s="466">
        <f>IF(LN_ID4=0,0,LN_ID11/LN_ID4)</f>
        <v>3.8777173913043477</v>
      </c>
      <c r="E130" s="466">
        <f t="shared" si="12"/>
        <v>0.24443970627374112</v>
      </c>
      <c r="F130" s="449">
        <f t="shared" si="13"/>
        <v>6.7278013811290061E-2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59919782</v>
      </c>
      <c r="D133" s="448">
        <v>65028189</v>
      </c>
      <c r="E133" s="448">
        <f t="shared" ref="E133:E141" si="14">D133-C133</f>
        <v>5108407</v>
      </c>
      <c r="F133" s="449">
        <f t="shared" ref="F133:F141" si="15">IF(C133=0,0,E133/C133)</f>
        <v>8.5254098554630925E-2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13100657</v>
      </c>
      <c r="D134" s="448">
        <v>13782560</v>
      </c>
      <c r="E134" s="448">
        <f t="shared" si="14"/>
        <v>681903</v>
      </c>
      <c r="F134" s="449">
        <f t="shared" si="15"/>
        <v>5.2051053622730527E-2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0.21863659317051587</v>
      </c>
      <c r="D135" s="453">
        <f>IF(LN_ID14=0,0,LN_ID15/LN_ID14)</f>
        <v>0.21194746788965629</v>
      </c>
      <c r="E135" s="454">
        <f t="shared" si="14"/>
        <v>-6.6891252808595758E-3</v>
      </c>
      <c r="F135" s="449">
        <f t="shared" si="15"/>
        <v>-3.0594719684653569E-2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1.9950813341548979</v>
      </c>
      <c r="D136" s="453">
        <f>IF(LN_ID1=0,0,LN_ID14/LN_ID1)</f>
        <v>1.9746292699586512</v>
      </c>
      <c r="E136" s="454">
        <f t="shared" si="14"/>
        <v>-2.0452064196246678E-2</v>
      </c>
      <c r="F136" s="449">
        <f t="shared" si="15"/>
        <v>-1.0251243318313149E-2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3585.1611574763515</v>
      </c>
      <c r="D137" s="463">
        <f>LN_ID17*LN_ID4</f>
        <v>3633.3178567239183</v>
      </c>
      <c r="E137" s="463">
        <f t="shared" si="14"/>
        <v>48.156699247566848</v>
      </c>
      <c r="F137" s="449">
        <f t="shared" si="15"/>
        <v>1.3432227208850234E-2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3654.1333637625785</v>
      </c>
      <c r="D138" s="465">
        <f>IF(LN_ID18=0,0,LN_ID15/LN_ID18)</f>
        <v>3793.3812959671595</v>
      </c>
      <c r="E138" s="465">
        <f t="shared" si="14"/>
        <v>139.24793220458105</v>
      </c>
      <c r="F138" s="449">
        <f t="shared" si="15"/>
        <v>3.8106965001737263E-2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4008.3834481128042</v>
      </c>
      <c r="D139" s="465">
        <f>LN_IB18-LN_ID19</f>
        <v>3662.4527827643897</v>
      </c>
      <c r="E139" s="465">
        <f t="shared" si="14"/>
        <v>-345.93066534841455</v>
      </c>
      <c r="F139" s="449">
        <f t="shared" si="15"/>
        <v>-8.6301789693120037E-2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1254.4116400366011</v>
      </c>
      <c r="D140" s="465">
        <f>LN_IA16-LN_ID19</f>
        <v>1625.4370479662493</v>
      </c>
      <c r="E140" s="465">
        <f t="shared" si="14"/>
        <v>371.02540792964828</v>
      </c>
      <c r="F140" s="449">
        <f t="shared" si="15"/>
        <v>0.29577643899957956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4497267.8873454286</v>
      </c>
      <c r="D141" s="441">
        <f>LN_ID21*LN_ID18</f>
        <v>5905729.4513563858</v>
      </c>
      <c r="E141" s="441">
        <f t="shared" si="14"/>
        <v>1408461.5640109573</v>
      </c>
      <c r="F141" s="449">
        <f t="shared" si="15"/>
        <v>0.31318160254009692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89953536</v>
      </c>
      <c r="D144" s="448">
        <f>LN_ID1+LN_ID14</f>
        <v>97960036</v>
      </c>
      <c r="E144" s="448">
        <f>D144-C144</f>
        <v>8006500</v>
      </c>
      <c r="F144" s="449">
        <f>IF(C144=0,0,E144/C144)</f>
        <v>8.9007062490572914E-2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19708135</v>
      </c>
      <c r="D145" s="448">
        <f>LN_1D2+LN_ID15</f>
        <v>21470152</v>
      </c>
      <c r="E145" s="448">
        <f>D145-C145</f>
        <v>1762017</v>
      </c>
      <c r="F145" s="449">
        <f>IF(C145=0,0,E145/C145)</f>
        <v>8.9405567802331373E-2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70245401</v>
      </c>
      <c r="D146" s="448">
        <f>LN_ID23-LN_ID24</f>
        <v>76489884</v>
      </c>
      <c r="E146" s="448">
        <f>D146-C146</f>
        <v>6244483</v>
      </c>
      <c r="F146" s="449">
        <f>IF(C146=0,0,E146/C146)</f>
        <v>8.8895257356421092E-2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9700880.0229876898</v>
      </c>
      <c r="D148" s="448">
        <f>LN_ID10+LN_ID22</f>
        <v>9468104.9318055175</v>
      </c>
      <c r="E148" s="448">
        <f>D148-C148</f>
        <v>-232775.0911821723</v>
      </c>
      <c r="F148" s="503">
        <f>IF(C148=0,0,E148/C148)</f>
        <v>-2.3995255134645187E-2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9426.7860262655668</v>
      </c>
      <c r="D160" s="465">
        <f>LN_IB7-LN_IE7</f>
        <v>9868.8929434574475</v>
      </c>
      <c r="E160" s="465">
        <f t="shared" si="16"/>
        <v>442.10691719188071</v>
      </c>
      <c r="F160" s="449">
        <f t="shared" si="17"/>
        <v>4.689900841708422E-2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6968.4809096835261</v>
      </c>
      <c r="D161" s="465">
        <f>LN_IA7-LN_IE7</f>
        <v>6530.0787793588142</v>
      </c>
      <c r="E161" s="465">
        <f t="shared" si="16"/>
        <v>-438.40213032471183</v>
      </c>
      <c r="F161" s="449">
        <f t="shared" si="17"/>
        <v>-6.2912152018024525E-2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7662.5168118753827</v>
      </c>
      <c r="D174" s="465">
        <f>LN_IB18-LN_IE19</f>
        <v>7455.8340787315492</v>
      </c>
      <c r="E174" s="465">
        <f t="shared" si="18"/>
        <v>-206.6827331438335</v>
      </c>
      <c r="F174" s="449">
        <f t="shared" si="19"/>
        <v>-2.697321757565559E-2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4908.5450037991795</v>
      </c>
      <c r="D175" s="465">
        <f>LN_IA16-LN_IE19</f>
        <v>5418.8183439334089</v>
      </c>
      <c r="E175" s="465">
        <f t="shared" si="18"/>
        <v>510.27334013422933</v>
      </c>
      <c r="F175" s="449">
        <f t="shared" si="19"/>
        <v>0.10395612951277443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30033754</v>
      </c>
      <c r="D188" s="448">
        <f>LN_ID1+LN_IE1</f>
        <v>32931847</v>
      </c>
      <c r="E188" s="448">
        <f t="shared" ref="E188:E200" si="20">D188-C188</f>
        <v>2898093</v>
      </c>
      <c r="F188" s="449">
        <f t="shared" ref="F188:F200" si="21">IF(C188=0,0,E188/C188)</f>
        <v>9.6494530786927268E-2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6607478</v>
      </c>
      <c r="D189" s="448">
        <f>LN_1D2+LN_IE2</f>
        <v>7687592</v>
      </c>
      <c r="E189" s="448">
        <f t="shared" si="20"/>
        <v>1080114</v>
      </c>
      <c r="F189" s="449">
        <f t="shared" si="21"/>
        <v>0.16346842168827502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0.22000173538079856</v>
      </c>
      <c r="D190" s="453">
        <f>IF(LN_IF1=0,0,LN_IF2/LN_IF1)</f>
        <v>0.23343944237321398</v>
      </c>
      <c r="E190" s="454">
        <f t="shared" si="20"/>
        <v>1.3437706992415421E-2</v>
      </c>
      <c r="F190" s="449">
        <f t="shared" si="21"/>
        <v>6.108000452431088E-2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1797</v>
      </c>
      <c r="D191" s="456">
        <f>LN_ID4+LN_IE4</f>
        <v>1840</v>
      </c>
      <c r="E191" s="456">
        <f t="shared" si="20"/>
        <v>43</v>
      </c>
      <c r="F191" s="449">
        <f t="shared" si="21"/>
        <v>2.3928770172509738E-2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0.94319999999999993</v>
      </c>
      <c r="D192" s="459">
        <f>IF((LN_ID4+LN_IE4)=0,0,(LN_ID6+LN_IE6)/(LN_ID4+LN_IE4))</f>
        <v>0.93630000000000013</v>
      </c>
      <c r="E192" s="460">
        <f t="shared" si="20"/>
        <v>-6.8999999999997952E-3</v>
      </c>
      <c r="F192" s="449">
        <f t="shared" si="21"/>
        <v>-7.3155216284985112E-3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1694.9304</v>
      </c>
      <c r="D193" s="463">
        <f>LN_IF4*LN_IF5</f>
        <v>1722.7920000000001</v>
      </c>
      <c r="E193" s="463">
        <f t="shared" si="20"/>
        <v>27.86160000000018</v>
      </c>
      <c r="F193" s="449">
        <f t="shared" si="21"/>
        <v>1.6438197108270748E-2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3898.3771841014832</v>
      </c>
      <c r="D194" s="465">
        <f>IF(LN_IF6=0,0,LN_IF2/LN_IF6)</f>
        <v>4462.2867995672141</v>
      </c>
      <c r="E194" s="465">
        <f t="shared" si="20"/>
        <v>563.90961546573089</v>
      </c>
      <c r="F194" s="449">
        <f t="shared" si="21"/>
        <v>0.1446523999179683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5528.4088421640836</v>
      </c>
      <c r="D195" s="465">
        <f>LN_IB7-LN_IF7</f>
        <v>5406.6061438902334</v>
      </c>
      <c r="E195" s="465">
        <f t="shared" si="20"/>
        <v>-121.80269827385018</v>
      </c>
      <c r="F195" s="449">
        <f t="shared" si="21"/>
        <v>-2.2032143741773407E-2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3070.1037255820429</v>
      </c>
      <c r="D196" s="465">
        <f>LN_IA7-LN_IF7</f>
        <v>2067.7919797916002</v>
      </c>
      <c r="E196" s="465">
        <f t="shared" si="20"/>
        <v>-1002.3117457904427</v>
      </c>
      <c r="F196" s="449">
        <f t="shared" si="21"/>
        <v>-0.32647488012816905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5203612.1356422622</v>
      </c>
      <c r="D197" s="479">
        <f>LN_IF9*LN_IF6</f>
        <v>3562375.4804491308</v>
      </c>
      <c r="E197" s="479">
        <f t="shared" si="20"/>
        <v>-1641236.6551931314</v>
      </c>
      <c r="F197" s="449">
        <f t="shared" si="21"/>
        <v>-0.31540334145034427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6529</v>
      </c>
      <c r="D198" s="456">
        <f>LN_ID11+LN_IE11</f>
        <v>7135</v>
      </c>
      <c r="E198" s="456">
        <f t="shared" si="20"/>
        <v>606</v>
      </c>
      <c r="F198" s="449">
        <f t="shared" si="21"/>
        <v>9.2816664113953132E-2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1012.0199111655691</v>
      </c>
      <c r="D199" s="519">
        <f>IF(LN_IF11=0,0,LN_IF2/LN_IF11)</f>
        <v>1077.4480728801682</v>
      </c>
      <c r="E199" s="519">
        <f t="shared" si="20"/>
        <v>65.428161714599128</v>
      </c>
      <c r="F199" s="449">
        <f t="shared" si="21"/>
        <v>6.465106169625047E-2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3.6332776850306066</v>
      </c>
      <c r="D200" s="466">
        <f>IF(LN_IF4=0,0,LN_IF11/LN_IF4)</f>
        <v>3.8777173913043477</v>
      </c>
      <c r="E200" s="466">
        <f t="shared" si="20"/>
        <v>0.24443970627374112</v>
      </c>
      <c r="F200" s="449">
        <f t="shared" si="21"/>
        <v>6.7278013811290061E-2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59919782</v>
      </c>
      <c r="D203" s="448">
        <f>LN_ID14+LN_IE14</f>
        <v>65028189</v>
      </c>
      <c r="E203" s="448">
        <f t="shared" ref="E203:E211" si="22">D203-C203</f>
        <v>5108407</v>
      </c>
      <c r="F203" s="449">
        <f t="shared" ref="F203:F211" si="23">IF(C203=0,0,E203/C203)</f>
        <v>8.5254098554630925E-2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13100657</v>
      </c>
      <c r="D204" s="448">
        <f>LN_ID15+LN_IE15</f>
        <v>13782560</v>
      </c>
      <c r="E204" s="448">
        <f t="shared" si="22"/>
        <v>681903</v>
      </c>
      <c r="F204" s="449">
        <f t="shared" si="23"/>
        <v>5.2051053622730527E-2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0.21863659317051587</v>
      </c>
      <c r="D205" s="453">
        <f>IF(LN_IF14=0,0,LN_IF15/LN_IF14)</f>
        <v>0.21194746788965629</v>
      </c>
      <c r="E205" s="454">
        <f t="shared" si="22"/>
        <v>-6.6891252808595758E-3</v>
      </c>
      <c r="F205" s="449">
        <f t="shared" si="23"/>
        <v>-3.0594719684653569E-2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1.9950813341548979</v>
      </c>
      <c r="D206" s="453">
        <f>IF(LN_IF1=0,0,LN_IF14/LN_IF1)</f>
        <v>1.9746292699586512</v>
      </c>
      <c r="E206" s="454">
        <f t="shared" si="22"/>
        <v>-2.0452064196246678E-2</v>
      </c>
      <c r="F206" s="449">
        <f t="shared" si="23"/>
        <v>-1.0251243318313149E-2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3585.1611574763515</v>
      </c>
      <c r="D207" s="463">
        <f>LN_ID18+LN_IE18</f>
        <v>3633.3178567239183</v>
      </c>
      <c r="E207" s="463">
        <f t="shared" si="22"/>
        <v>48.156699247566848</v>
      </c>
      <c r="F207" s="449">
        <f t="shared" si="23"/>
        <v>1.3432227208850234E-2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3654.1333637625785</v>
      </c>
      <c r="D208" s="465">
        <f>IF(LN_IF18=0,0,LN_IF15/LN_IF18)</f>
        <v>3793.3812959671595</v>
      </c>
      <c r="E208" s="465">
        <f t="shared" si="22"/>
        <v>139.24793220458105</v>
      </c>
      <c r="F208" s="449">
        <f t="shared" si="23"/>
        <v>3.8106965001737263E-2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4008.3834481128042</v>
      </c>
      <c r="D209" s="465">
        <f>LN_IB18-LN_IF19</f>
        <v>3662.4527827643897</v>
      </c>
      <c r="E209" s="465">
        <f t="shared" si="22"/>
        <v>-345.93066534841455</v>
      </c>
      <c r="F209" s="449">
        <f t="shared" si="23"/>
        <v>-8.6301789693120037E-2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1254.4116400366011</v>
      </c>
      <c r="D210" s="465">
        <f>LN_IA16-LN_IF19</f>
        <v>1625.4370479662493</v>
      </c>
      <c r="E210" s="465">
        <f t="shared" si="22"/>
        <v>371.02540792964828</v>
      </c>
      <c r="F210" s="449">
        <f t="shared" si="23"/>
        <v>0.29577643899957956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4497267.8873454286</v>
      </c>
      <c r="D211" s="441">
        <f>LN_IF21*LN_IF18</f>
        <v>5905729.4513563858</v>
      </c>
      <c r="E211" s="441">
        <f t="shared" si="22"/>
        <v>1408461.5640109573</v>
      </c>
      <c r="F211" s="449">
        <f t="shared" si="23"/>
        <v>0.31318160254009692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89953536</v>
      </c>
      <c r="D214" s="448">
        <f>LN_IF1+LN_IF14</f>
        <v>97960036</v>
      </c>
      <c r="E214" s="448">
        <f>D214-C214</f>
        <v>8006500</v>
      </c>
      <c r="F214" s="449">
        <f>IF(C214=0,0,E214/C214)</f>
        <v>8.9007062490572914E-2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19708135</v>
      </c>
      <c r="D215" s="448">
        <f>LN_IF2+LN_IF15</f>
        <v>21470152</v>
      </c>
      <c r="E215" s="448">
        <f>D215-C215</f>
        <v>1762017</v>
      </c>
      <c r="F215" s="449">
        <f>IF(C215=0,0,E215/C215)</f>
        <v>8.9405567802331373E-2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70245401</v>
      </c>
      <c r="D216" s="448">
        <f>LN_IF23-LN_IF24</f>
        <v>76489884</v>
      </c>
      <c r="E216" s="448">
        <f>D216-C216</f>
        <v>6244483</v>
      </c>
      <c r="F216" s="449">
        <f>IF(C216=0,0,E216/C216)</f>
        <v>8.8895257356421092E-2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432011</v>
      </c>
      <c r="D221" s="448">
        <v>201255</v>
      </c>
      <c r="E221" s="448">
        <f t="shared" ref="E221:E230" si="24">D221-C221</f>
        <v>-230756</v>
      </c>
      <c r="F221" s="449">
        <f t="shared" ref="F221:F230" si="25">IF(C221=0,0,E221/C221)</f>
        <v>-0.53414380652344495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160387</v>
      </c>
      <c r="D222" s="448">
        <v>29548</v>
      </c>
      <c r="E222" s="448">
        <f t="shared" si="24"/>
        <v>-130839</v>
      </c>
      <c r="F222" s="449">
        <f t="shared" si="25"/>
        <v>-0.81577060484952024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0.37125675040681833</v>
      </c>
      <c r="D223" s="453">
        <f>IF(LN_IG1=0,0,LN_IG2/LN_IG1)</f>
        <v>0.14681871257856949</v>
      </c>
      <c r="E223" s="454">
        <f t="shared" si="24"/>
        <v>-0.22443803782824884</v>
      </c>
      <c r="F223" s="449">
        <f t="shared" si="25"/>
        <v>-0.6045359110166012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26</v>
      </c>
      <c r="D224" s="456">
        <v>18</v>
      </c>
      <c r="E224" s="456">
        <f t="shared" si="24"/>
        <v>-8</v>
      </c>
      <c r="F224" s="449">
        <f t="shared" si="25"/>
        <v>-0.30769230769230771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1.0066999999999999</v>
      </c>
      <c r="D225" s="459">
        <v>0.62180000000000002</v>
      </c>
      <c r="E225" s="460">
        <f t="shared" si="24"/>
        <v>-0.38489999999999991</v>
      </c>
      <c r="F225" s="449">
        <f t="shared" si="25"/>
        <v>-0.38233833316777582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26.174199999999999</v>
      </c>
      <c r="D226" s="463">
        <f>LN_IG3*LN_IG4</f>
        <v>11.192400000000001</v>
      </c>
      <c r="E226" s="463">
        <f t="shared" si="24"/>
        <v>-14.981799999999998</v>
      </c>
      <c r="F226" s="449">
        <f t="shared" si="25"/>
        <v>-0.57238807680846016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6127.6753444231344</v>
      </c>
      <c r="D227" s="465">
        <f>IF(LN_IG5=0,0,LN_IG2/LN_IG5)</f>
        <v>2640.0057181658981</v>
      </c>
      <c r="E227" s="465">
        <f t="shared" si="24"/>
        <v>-3487.6696262572364</v>
      </c>
      <c r="F227" s="449">
        <f t="shared" si="25"/>
        <v>-0.56916684227264147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70</v>
      </c>
      <c r="D228" s="456">
        <v>50</v>
      </c>
      <c r="E228" s="456">
        <f t="shared" si="24"/>
        <v>-20</v>
      </c>
      <c r="F228" s="449">
        <f t="shared" si="25"/>
        <v>-0.2857142857142857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2291.2428571428572</v>
      </c>
      <c r="D229" s="465">
        <f>IF(LN_IG6=0,0,LN_IG2/LN_IG6)</f>
        <v>590.96</v>
      </c>
      <c r="E229" s="465">
        <f t="shared" si="24"/>
        <v>-1700.2828571428572</v>
      </c>
      <c r="F229" s="449">
        <f t="shared" si="25"/>
        <v>-0.74207884678932834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2.6923076923076925</v>
      </c>
      <c r="D230" s="466">
        <f>IF(LN_IG3=0,0,LN_IG6/LN_IG3)</f>
        <v>2.7777777777777777</v>
      </c>
      <c r="E230" s="466">
        <f t="shared" si="24"/>
        <v>8.5470085470085166E-2</v>
      </c>
      <c r="F230" s="449">
        <f t="shared" si="25"/>
        <v>3.1746031746031633E-2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1106845</v>
      </c>
      <c r="D233" s="448">
        <v>1153587</v>
      </c>
      <c r="E233" s="448">
        <f>D233-C233</f>
        <v>46742</v>
      </c>
      <c r="F233" s="449">
        <f>IF(C233=0,0,E233/C233)</f>
        <v>4.2229941861778295E-2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123430</v>
      </c>
      <c r="D234" s="448">
        <v>283322</v>
      </c>
      <c r="E234" s="448">
        <f>D234-C234</f>
        <v>159892</v>
      </c>
      <c r="F234" s="449">
        <f>IF(C234=0,0,E234/C234)</f>
        <v>1.2954063031677874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1538856</v>
      </c>
      <c r="D237" s="448">
        <f>LN_IG1+LN_IG9</f>
        <v>1354842</v>
      </c>
      <c r="E237" s="448">
        <f>D237-C237</f>
        <v>-184014</v>
      </c>
      <c r="F237" s="449">
        <f>IF(C237=0,0,E237/C237)</f>
        <v>-0.11957844008796145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283817</v>
      </c>
      <c r="D238" s="448">
        <f>LN_IG2+LN_IG10</f>
        <v>312870</v>
      </c>
      <c r="E238" s="448">
        <f>D238-C238</f>
        <v>29053</v>
      </c>
      <c r="F238" s="449">
        <f>IF(C238=0,0,E238/C238)</f>
        <v>0.10236525648569325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1255039</v>
      </c>
      <c r="D239" s="448">
        <f>LN_IG13-LN_IG14</f>
        <v>1041972</v>
      </c>
      <c r="E239" s="448">
        <f>D239-C239</f>
        <v>-213067</v>
      </c>
      <c r="F239" s="449">
        <f>IF(C239=0,0,E239/C239)</f>
        <v>-0.16976922629495975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4301391</v>
      </c>
      <c r="D243" s="448">
        <v>3838007</v>
      </c>
      <c r="E243" s="441">
        <f>D243-C243</f>
        <v>-463384</v>
      </c>
      <c r="F243" s="503">
        <f>IF(C243=0,0,E243/C243)</f>
        <v>-0.10772887189283653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141228949</v>
      </c>
      <c r="D244" s="448">
        <v>136633273</v>
      </c>
      <c r="E244" s="441">
        <f>D244-C244</f>
        <v>-4595676</v>
      </c>
      <c r="F244" s="503">
        <f>IF(C244=0,0,E244/C244)</f>
        <v>-3.2540608937052982E-2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4530623</v>
      </c>
      <c r="D248" s="441">
        <v>4092111</v>
      </c>
      <c r="E248" s="441">
        <f>D248-C248</f>
        <v>-438512</v>
      </c>
      <c r="F248" s="449">
        <f>IF(C248=0,0,E248/C248)</f>
        <v>-9.6788454921100261E-2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4007799</v>
      </c>
      <c r="D249" s="441">
        <v>2212274</v>
      </c>
      <c r="E249" s="441">
        <f>D249-C249</f>
        <v>-1795525</v>
      </c>
      <c r="F249" s="449">
        <f>IF(C249=0,0,E249/C249)</f>
        <v>-0.4480077468954905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8538422</v>
      </c>
      <c r="D250" s="441">
        <f>LN_IH4+LN_IH5</f>
        <v>6304385</v>
      </c>
      <c r="E250" s="441">
        <f>D250-C250</f>
        <v>-2234037</v>
      </c>
      <c r="F250" s="449">
        <f>IF(C250=0,0,E250/C250)</f>
        <v>-0.26164518455517893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2602198.9058584417</v>
      </c>
      <c r="D251" s="441">
        <f>LN_IH6*LN_III10</f>
        <v>1921892.2647699951</v>
      </c>
      <c r="E251" s="441">
        <f>D251-C251</f>
        <v>-680306.6410884466</v>
      </c>
      <c r="F251" s="449">
        <f>IF(C251=0,0,E251/C251)</f>
        <v>-0.26143529595560244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89953536</v>
      </c>
      <c r="D254" s="441">
        <f>LN_IF23</f>
        <v>97960036</v>
      </c>
      <c r="E254" s="441">
        <f>D254-C254</f>
        <v>8006500</v>
      </c>
      <c r="F254" s="449">
        <f>IF(C254=0,0,E254/C254)</f>
        <v>8.9007062490572914E-2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19708135</v>
      </c>
      <c r="D255" s="441">
        <f>LN_IF24</f>
        <v>21470152</v>
      </c>
      <c r="E255" s="441">
        <f>D255-C255</f>
        <v>1762017</v>
      </c>
      <c r="F255" s="449">
        <f>IF(C255=0,0,E255/C255)</f>
        <v>8.9405567802331373E-2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27414549.545255311</v>
      </c>
      <c r="D256" s="441">
        <f>LN_IH8*LN_III10</f>
        <v>29863124.705263123</v>
      </c>
      <c r="E256" s="441">
        <f>D256-C256</f>
        <v>2448575.1600078121</v>
      </c>
      <c r="F256" s="449">
        <f>IF(C256=0,0,E256/C256)</f>
        <v>8.9316629330923727E-2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7706414.5452553108</v>
      </c>
      <c r="D257" s="441">
        <f>LN_IH10-LN_IH9</f>
        <v>8392972.7052631229</v>
      </c>
      <c r="E257" s="441">
        <f>D257-C257</f>
        <v>686558.16000781208</v>
      </c>
      <c r="F257" s="449">
        <f>IF(C257=0,0,E257/C257)</f>
        <v>8.9089180964254319E-2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164804213</v>
      </c>
      <c r="D261" s="448">
        <f>LN_IA1+LN_IB1+LN_IF1+LN_IG1</f>
        <v>156850034</v>
      </c>
      <c r="E261" s="448">
        <f t="shared" ref="E261:E274" si="26">D261-C261</f>
        <v>-7954179</v>
      </c>
      <c r="F261" s="503">
        <f t="shared" ref="F261:F274" si="27">IF(C261=0,0,E261/C261)</f>
        <v>-4.8264415424865384E-2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58681850</v>
      </c>
      <c r="D262" s="448">
        <f>+LN_IA2+LN_IB2+LN_IF2+LN_IG2</f>
        <v>53801703</v>
      </c>
      <c r="E262" s="448">
        <f t="shared" si="26"/>
        <v>-4880147</v>
      </c>
      <c r="F262" s="503">
        <f t="shared" si="27"/>
        <v>-8.3162800763779604E-2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0.35607008420349062</v>
      </c>
      <c r="D263" s="453">
        <f>IF(LN_IIA1=0,0,LN_IIA2/LN_IIA1)</f>
        <v>0.34301365213602697</v>
      </c>
      <c r="E263" s="454">
        <f t="shared" si="26"/>
        <v>-1.3056432067463652E-2</v>
      </c>
      <c r="F263" s="458">
        <f t="shared" si="27"/>
        <v>-3.6668152273084606E-2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7349</v>
      </c>
      <c r="D264" s="456">
        <f>LN_IA4+LN_IB4+LN_IF4+LN_IG3</f>
        <v>7071</v>
      </c>
      <c r="E264" s="456">
        <f t="shared" si="26"/>
        <v>-278</v>
      </c>
      <c r="F264" s="503">
        <f t="shared" si="27"/>
        <v>-3.7828275955912372E-2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1.141638236494761</v>
      </c>
      <c r="D265" s="525">
        <f>IF(LN_IIA4=0,0,LN_IIA6/LN_IIA4)</f>
        <v>1.1116689859991515</v>
      </c>
      <c r="E265" s="525">
        <f t="shared" si="26"/>
        <v>-2.9969250495609501E-2</v>
      </c>
      <c r="F265" s="503">
        <f t="shared" si="27"/>
        <v>-2.6251092103945162E-2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8389.8993999999984</v>
      </c>
      <c r="D266" s="463">
        <f>LN_IA6+LN_IB6+LN_IF6+LN_IG5</f>
        <v>7860.6113999999998</v>
      </c>
      <c r="E266" s="463">
        <f t="shared" si="26"/>
        <v>-529.28799999999865</v>
      </c>
      <c r="F266" s="503">
        <f t="shared" si="27"/>
        <v>-6.3086334503605457E-2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288287925</v>
      </c>
      <c r="D267" s="448">
        <f>LN_IA11+LN_IB13+LN_IF14+LN_IG9</f>
        <v>287258616</v>
      </c>
      <c r="E267" s="448">
        <f t="shared" si="26"/>
        <v>-1029309</v>
      </c>
      <c r="F267" s="503">
        <f t="shared" si="27"/>
        <v>-3.5704200930371955E-3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1.7492752142204036</v>
      </c>
      <c r="D268" s="453">
        <f>IF(LN_IIA1=0,0,LN_IIA7/LN_IIA1)</f>
        <v>1.831422083083514</v>
      </c>
      <c r="E268" s="454">
        <f t="shared" si="26"/>
        <v>8.21468688631104E-2</v>
      </c>
      <c r="F268" s="458">
        <f t="shared" si="27"/>
        <v>4.6960517244692482E-2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77287060</v>
      </c>
      <c r="D269" s="448">
        <f>LN_IA12+LN_IB14+LN_IF15+LN_IG10</f>
        <v>79230400</v>
      </c>
      <c r="E269" s="448">
        <f t="shared" si="26"/>
        <v>1943340</v>
      </c>
      <c r="F269" s="503">
        <f t="shared" si="27"/>
        <v>2.5144442032081438E-2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0.2680898272100713</v>
      </c>
      <c r="D270" s="453">
        <f>IF(LN_IIA7=0,0,LN_IIA9/LN_IIA7)</f>
        <v>0.27581557379640093</v>
      </c>
      <c r="E270" s="454">
        <f t="shared" si="26"/>
        <v>7.7257465863296293E-3</v>
      </c>
      <c r="F270" s="458">
        <f t="shared" si="27"/>
        <v>2.8817753611649899E-2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453092138</v>
      </c>
      <c r="D271" s="441">
        <f>LN_IIA1+LN_IIA7</f>
        <v>444108650</v>
      </c>
      <c r="E271" s="441">
        <f t="shared" si="26"/>
        <v>-8983488</v>
      </c>
      <c r="F271" s="503">
        <f t="shared" si="27"/>
        <v>-1.9827066608690526E-2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135968910</v>
      </c>
      <c r="D272" s="441">
        <f>LN_IIA2+LN_IIA9</f>
        <v>133032103</v>
      </c>
      <c r="E272" s="441">
        <f t="shared" si="26"/>
        <v>-2936807</v>
      </c>
      <c r="F272" s="503">
        <f t="shared" si="27"/>
        <v>-2.1599106736973916E-2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0.30009108213658742</v>
      </c>
      <c r="D273" s="453">
        <f>IF(LN_IIA11=0,0,LN_IIA12/LN_IIA11)</f>
        <v>0.29954855191404178</v>
      </c>
      <c r="E273" s="454">
        <f t="shared" si="26"/>
        <v>-5.425302225456341E-4</v>
      </c>
      <c r="F273" s="458">
        <f t="shared" si="27"/>
        <v>-1.8078851883332533E-3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29830</v>
      </c>
      <c r="D274" s="508">
        <f>LN_IA8+LN_IB10+LN_IF11+LN_IG6</f>
        <v>28080</v>
      </c>
      <c r="E274" s="528">
        <f t="shared" si="26"/>
        <v>-1750</v>
      </c>
      <c r="F274" s="458">
        <f t="shared" si="27"/>
        <v>-5.8665772712034867E-2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122693164</v>
      </c>
      <c r="D277" s="448">
        <f>LN_IA1+LN_IF1+LN_IG1</f>
        <v>122163745</v>
      </c>
      <c r="E277" s="448">
        <f t="shared" ref="E277:E291" si="28">D277-C277</f>
        <v>-529419</v>
      </c>
      <c r="F277" s="503">
        <f t="shared" ref="F277:F291" si="29">IF(C277=0,0,E277/C277)</f>
        <v>-4.3149836774932305E-3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37811221</v>
      </c>
      <c r="D278" s="448">
        <f>LN_IA2+LN_IF2+LN_IG2</f>
        <v>35838650</v>
      </c>
      <c r="E278" s="448">
        <f t="shared" si="28"/>
        <v>-1972571</v>
      </c>
      <c r="F278" s="503">
        <f t="shared" si="29"/>
        <v>-5.216893154547958E-2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0.30817707985752163</v>
      </c>
      <c r="D279" s="453">
        <f>IF(D277=0,0,LN_IIB2/D277)</f>
        <v>0.29336567899093141</v>
      </c>
      <c r="E279" s="454">
        <f t="shared" si="28"/>
        <v>-1.4811400866590219E-2</v>
      </c>
      <c r="F279" s="458">
        <f t="shared" si="29"/>
        <v>-4.8061331729919429E-2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5233</v>
      </c>
      <c r="D280" s="456">
        <f>LN_IA4+LN_IF4+LN_IG3</f>
        <v>5238</v>
      </c>
      <c r="E280" s="456">
        <f t="shared" si="28"/>
        <v>5</v>
      </c>
      <c r="F280" s="503">
        <f t="shared" si="29"/>
        <v>9.5547487101089242E-4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1.1801889164914963</v>
      </c>
      <c r="D281" s="525">
        <f>IF(LN_IIB4=0,0,LN_IIB6/LN_IIB4)</f>
        <v>1.1531963344788088</v>
      </c>
      <c r="E281" s="525">
        <f t="shared" si="28"/>
        <v>-2.6992582012687505E-2</v>
      </c>
      <c r="F281" s="503">
        <f t="shared" si="29"/>
        <v>-2.2871407819124352E-2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6175.9286000000002</v>
      </c>
      <c r="D282" s="463">
        <f>LN_IA6+LN_IF6+LN_IG5</f>
        <v>6040.4423999999999</v>
      </c>
      <c r="E282" s="463">
        <f t="shared" si="28"/>
        <v>-135.48620000000028</v>
      </c>
      <c r="F282" s="503">
        <f t="shared" si="29"/>
        <v>-2.1937786003549373E-2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176182514</v>
      </c>
      <c r="D283" s="448">
        <f>LN_IA11+LN_IF14+LN_IG9</f>
        <v>182712941</v>
      </c>
      <c r="E283" s="448">
        <f t="shared" si="28"/>
        <v>6530427</v>
      </c>
      <c r="F283" s="503">
        <f t="shared" si="29"/>
        <v>3.7066260730051794E-2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1.4359603115296626</v>
      </c>
      <c r="D284" s="453">
        <f>IF(D277=0,0,LN_IIB7/D277)</f>
        <v>1.4956396515185417</v>
      </c>
      <c r="E284" s="454">
        <f t="shared" si="28"/>
        <v>5.9679339988879088E-2</v>
      </c>
      <c r="F284" s="458">
        <f t="shared" si="29"/>
        <v>4.1560577621609487E-2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34123464</v>
      </c>
      <c r="D285" s="448">
        <f>LN_IA12+LN_IF15+LN_IG10</f>
        <v>38038964</v>
      </c>
      <c r="E285" s="448">
        <f t="shared" si="28"/>
        <v>3915500</v>
      </c>
      <c r="F285" s="503">
        <f t="shared" si="29"/>
        <v>0.11474509152998066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0.19368246726233002</v>
      </c>
      <c r="D286" s="453">
        <f>IF(LN_IIB7=0,0,LN_IIB9/LN_IIB7)</f>
        <v>0.20818976363584449</v>
      </c>
      <c r="E286" s="454">
        <f t="shared" si="28"/>
        <v>1.4507296373514472E-2</v>
      </c>
      <c r="F286" s="458">
        <f t="shared" si="29"/>
        <v>7.4902476091784312E-2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298875678</v>
      </c>
      <c r="D287" s="441">
        <f>D277+LN_IIB7</f>
        <v>304876686</v>
      </c>
      <c r="E287" s="441">
        <f t="shared" si="28"/>
        <v>6001008</v>
      </c>
      <c r="F287" s="503">
        <f t="shared" si="29"/>
        <v>2.0078609407621319E-2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71934685</v>
      </c>
      <c r="D288" s="441">
        <f>LN_IIB2+LN_IIB9</f>
        <v>73877614</v>
      </c>
      <c r="E288" s="441">
        <f t="shared" si="28"/>
        <v>1942929</v>
      </c>
      <c r="F288" s="503">
        <f t="shared" si="29"/>
        <v>2.7009626858031006E-2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0.24068430553254988</v>
      </c>
      <c r="D289" s="453">
        <f>IF(LN_IIB11=0,0,LN_IIB12/LN_IIB11)</f>
        <v>0.24231965706948153</v>
      </c>
      <c r="E289" s="454">
        <f t="shared" si="28"/>
        <v>1.6353515369316451E-3</v>
      </c>
      <c r="F289" s="458">
        <f t="shared" si="29"/>
        <v>6.794591501565448E-3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22844</v>
      </c>
      <c r="D290" s="508">
        <f>LN_IA8+LN_IF11+LN_IG6</f>
        <v>22054</v>
      </c>
      <c r="E290" s="528">
        <f t="shared" si="28"/>
        <v>-790</v>
      </c>
      <c r="F290" s="458">
        <f t="shared" si="29"/>
        <v>-3.4582384871300997E-2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226940993</v>
      </c>
      <c r="D291" s="516">
        <f>LN_IIB11-LN_IIB12</f>
        <v>230999072</v>
      </c>
      <c r="E291" s="441">
        <f t="shared" si="28"/>
        <v>4058079</v>
      </c>
      <c r="F291" s="503">
        <f t="shared" si="29"/>
        <v>1.7881648204474014E-2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4.7639296187683282</v>
      </c>
      <c r="D294" s="466">
        <f>IF(LN_IA4=0,0,LN_IA8/LN_IA4)</f>
        <v>4.3991124260355026</v>
      </c>
      <c r="E294" s="466">
        <f t="shared" ref="E294:E300" si="30">D294-C294</f>
        <v>-0.36481719273282565</v>
      </c>
      <c r="F294" s="503">
        <f t="shared" ref="F294:F300" si="31">IF(C294=0,0,E294/C294)</f>
        <v>-7.6579047535791658E-2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3.3015122873345937</v>
      </c>
      <c r="D295" s="466">
        <f>IF(LN_IB4=0,0,(LN_IB10)/(LN_IB4))</f>
        <v>3.2875068194217132</v>
      </c>
      <c r="E295" s="466">
        <f t="shared" si="30"/>
        <v>-1.4005467912880487E-2</v>
      </c>
      <c r="F295" s="503">
        <f t="shared" si="31"/>
        <v>-4.2421371462432163E-3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3.3185840707964602</v>
      </c>
      <c r="D296" s="466">
        <f>IF(LN_IC4=0,0,LN_IC11/LN_IC4)</f>
        <v>3.5294117647058822</v>
      </c>
      <c r="E296" s="466">
        <f t="shared" si="30"/>
        <v>0.21082769390942202</v>
      </c>
      <c r="F296" s="503">
        <f t="shared" si="31"/>
        <v>6.3529411764705834E-2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3.6332776850306066</v>
      </c>
      <c r="D297" s="466">
        <f>IF(LN_ID4=0,0,LN_ID11/LN_ID4)</f>
        <v>3.8777173913043477</v>
      </c>
      <c r="E297" s="466">
        <f t="shared" si="30"/>
        <v>0.24443970627374112</v>
      </c>
      <c r="F297" s="503">
        <f t="shared" si="31"/>
        <v>6.7278013811290061E-2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2.6923076923076925</v>
      </c>
      <c r="D299" s="466">
        <f>IF(LN_IG3=0,0,LN_IG6/LN_IG3)</f>
        <v>2.7777777777777777</v>
      </c>
      <c r="E299" s="466">
        <f t="shared" si="30"/>
        <v>8.5470085470085166E-2</v>
      </c>
      <c r="F299" s="503">
        <f t="shared" si="31"/>
        <v>3.1746031746031633E-2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4.0590556538304527</v>
      </c>
      <c r="D300" s="466">
        <f>IF(LN_IIA4=0,0,LN_IIA14/LN_IIA4)</f>
        <v>3.9711497666525246</v>
      </c>
      <c r="E300" s="466">
        <f t="shared" si="30"/>
        <v>-8.7905887177928133E-2</v>
      </c>
      <c r="F300" s="503">
        <f t="shared" si="31"/>
        <v>-2.1656733653053768E-2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453092138</v>
      </c>
      <c r="D304" s="441">
        <f>LN_IIA11</f>
        <v>444108650</v>
      </c>
      <c r="E304" s="441">
        <f t="shared" ref="E304:E316" si="32">D304-C304</f>
        <v>-8983488</v>
      </c>
      <c r="F304" s="449">
        <f>IF(C304=0,0,E304/C304)</f>
        <v>-1.9827066608690526E-2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226940993</v>
      </c>
      <c r="D305" s="441">
        <f>LN_IIB14</f>
        <v>230999072</v>
      </c>
      <c r="E305" s="441">
        <f t="shared" si="32"/>
        <v>4058079</v>
      </c>
      <c r="F305" s="449">
        <f>IF(C305=0,0,E305/C305)</f>
        <v>1.7881648204474014E-2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8538422</v>
      </c>
      <c r="D306" s="441">
        <f>LN_IH6</f>
        <v>6304385</v>
      </c>
      <c r="E306" s="441">
        <f t="shared" si="32"/>
        <v>-2234037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73463986</v>
      </c>
      <c r="D307" s="441">
        <f>LN_IB32-LN_IB33</f>
        <v>63377870</v>
      </c>
      <c r="E307" s="441">
        <f t="shared" si="32"/>
        <v>-10086116</v>
      </c>
      <c r="F307" s="449">
        <f t="shared" ref="F307:F316" si="33">IF(C307=0,0,E307/C307)</f>
        <v>-0.13729333989582324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6062816</v>
      </c>
      <c r="D308" s="441">
        <v>8040766</v>
      </c>
      <c r="E308" s="441">
        <f t="shared" si="32"/>
        <v>1977950</v>
      </c>
      <c r="F308" s="449">
        <f t="shared" si="33"/>
        <v>0.32624278882948121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315006217</v>
      </c>
      <c r="D309" s="441">
        <f>LN_III2+LN_III3+LN_III4+LN_III5</f>
        <v>308722093</v>
      </c>
      <c r="E309" s="441">
        <f t="shared" si="32"/>
        <v>-6284124</v>
      </c>
      <c r="F309" s="449">
        <f t="shared" si="33"/>
        <v>-1.9949206272332078E-2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138085921</v>
      </c>
      <c r="D310" s="441">
        <f>LN_III1-LN_III6</f>
        <v>135386557</v>
      </c>
      <c r="E310" s="441">
        <f t="shared" si="32"/>
        <v>-2699364</v>
      </c>
      <c r="F310" s="449">
        <f t="shared" si="33"/>
        <v>-1.9548437526806225E-2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138085921</v>
      </c>
      <c r="D312" s="441">
        <f>LN_III7+LN_III8</f>
        <v>135386557</v>
      </c>
      <c r="E312" s="441">
        <f t="shared" si="32"/>
        <v>-2699364</v>
      </c>
      <c r="F312" s="449">
        <f t="shared" si="33"/>
        <v>-1.9548437526806225E-2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0.30476344526640187</v>
      </c>
      <c r="D313" s="532">
        <f>IF(LN_III1=0,0,LN_III9/LN_III1)</f>
        <v>0.3048500789164994</v>
      </c>
      <c r="E313" s="532">
        <f t="shared" si="32"/>
        <v>8.6633650097533987E-5</v>
      </c>
      <c r="F313" s="449">
        <f t="shared" si="33"/>
        <v>2.8426522748423849E-4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2602198.9058584417</v>
      </c>
      <c r="D314" s="441">
        <f>D313*LN_III5</f>
        <v>1921892.2647699951</v>
      </c>
      <c r="E314" s="441">
        <f t="shared" si="32"/>
        <v>-680306.6410884466</v>
      </c>
      <c r="F314" s="449">
        <f t="shared" si="33"/>
        <v>-0.26143529595560244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7706414.5452553108</v>
      </c>
      <c r="D315" s="441">
        <f>D313*LN_IH8-LN_IH9</f>
        <v>8392972.7052631229</v>
      </c>
      <c r="E315" s="441">
        <f t="shared" si="32"/>
        <v>686558.16000781208</v>
      </c>
      <c r="F315" s="449">
        <f t="shared" si="33"/>
        <v>8.9089180964254319E-2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10308613.451113753</v>
      </c>
      <c r="D318" s="441">
        <f>D314+D315+D316</f>
        <v>10314864.970033119</v>
      </c>
      <c r="E318" s="441">
        <f>D318-C318</f>
        <v>6251.5189193654805</v>
      </c>
      <c r="F318" s="449">
        <f>IF(C318=0,0,E318/C318)</f>
        <v>6.0643644744386648E-4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4497267.8873454286</v>
      </c>
      <c r="D322" s="441">
        <f>LN_ID22</f>
        <v>5905729.4513563858</v>
      </c>
      <c r="E322" s="441">
        <f>LN_IV2-C322</f>
        <v>1408461.5640109573</v>
      </c>
      <c r="F322" s="449">
        <f>IF(C322=0,0,E322/C322)</f>
        <v>0.31318160254009692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3081088.8279871251</v>
      </c>
      <c r="D324" s="441">
        <f>LN_IC10+LN_IC22</f>
        <v>2714646.9392229524</v>
      </c>
      <c r="E324" s="441">
        <f>LN_IV1-C324</f>
        <v>-366441.88876417279</v>
      </c>
      <c r="F324" s="449">
        <f>IF(C324=0,0,E324/C324)</f>
        <v>-0.11893259468392842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7578356.7153325537</v>
      </c>
      <c r="D325" s="516">
        <f>LN_IV1+LN_IV2+LN_IV3</f>
        <v>8620376.3905793391</v>
      </c>
      <c r="E325" s="441">
        <f>LN_IV4-C325</f>
        <v>1042019.6752467854</v>
      </c>
      <c r="F325" s="449">
        <f>IF(C325=0,0,E325/C325)</f>
        <v>0.13749942294726877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7512816</v>
      </c>
      <c r="D329" s="518">
        <v>9490766</v>
      </c>
      <c r="E329" s="518">
        <f t="shared" ref="E329:E335" si="34">D329-C329</f>
        <v>1977950</v>
      </c>
      <c r="F329" s="542">
        <f t="shared" ref="F329:F335" si="35">IF(C329=0,0,E329/C329)</f>
        <v>0.26327677930618826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2007461</v>
      </c>
      <c r="D330" s="516">
        <v>295799</v>
      </c>
      <c r="E330" s="518">
        <f t="shared" si="34"/>
        <v>-1711662</v>
      </c>
      <c r="F330" s="543">
        <f t="shared" si="35"/>
        <v>-0.85265018847190555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137976406</v>
      </c>
      <c r="D331" s="516">
        <v>133327930</v>
      </c>
      <c r="E331" s="518">
        <f t="shared" si="34"/>
        <v>-4648476</v>
      </c>
      <c r="F331" s="542">
        <f t="shared" si="35"/>
        <v>-3.3690368772179791E-2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453092171</v>
      </c>
      <c r="D333" s="516">
        <v>444108678</v>
      </c>
      <c r="E333" s="518">
        <f t="shared" si="34"/>
        <v>-8983493</v>
      </c>
      <c r="F333" s="542">
        <f t="shared" si="35"/>
        <v>-1.9827076199910768E-2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8538422</v>
      </c>
      <c r="D335" s="516">
        <v>6304385</v>
      </c>
      <c r="E335" s="516">
        <f t="shared" si="34"/>
        <v>-2234037</v>
      </c>
      <c r="F335" s="542">
        <f t="shared" si="35"/>
        <v>-0.26164518455517893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orientation="portrait" horizontalDpi="1200" verticalDpi="1200" r:id="rId1"/>
  <headerFooter>
    <oddHeader>&amp;LOFFICE OF HEALTH CARE ACCESS&amp;CTWELVE MONTHS ACTUAL FILING&amp;RBRISTOL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42111049</v>
      </c>
      <c r="D14" s="589">
        <v>34686289</v>
      </c>
      <c r="E14" s="590">
        <f t="shared" ref="E14:E22" si="0">D14-C14</f>
        <v>-7424760</v>
      </c>
    </row>
    <row r="15" spans="1:5" s="421" customFormat="1" x14ac:dyDescent="0.2">
      <c r="A15" s="588">
        <v>2</v>
      </c>
      <c r="B15" s="587" t="s">
        <v>635</v>
      </c>
      <c r="C15" s="589">
        <v>92227399</v>
      </c>
      <c r="D15" s="591">
        <v>89030643</v>
      </c>
      <c r="E15" s="590">
        <f t="shared" si="0"/>
        <v>-3196756</v>
      </c>
    </row>
    <row r="16" spans="1:5" s="421" customFormat="1" x14ac:dyDescent="0.2">
      <c r="A16" s="588">
        <v>3</v>
      </c>
      <c r="B16" s="587" t="s">
        <v>777</v>
      </c>
      <c r="C16" s="589">
        <v>30033754</v>
      </c>
      <c r="D16" s="591">
        <v>32931847</v>
      </c>
      <c r="E16" s="590">
        <f t="shared" si="0"/>
        <v>2898093</v>
      </c>
    </row>
    <row r="17" spans="1:5" s="421" customFormat="1" x14ac:dyDescent="0.2">
      <c r="A17" s="588">
        <v>4</v>
      </c>
      <c r="B17" s="587" t="s">
        <v>115</v>
      </c>
      <c r="C17" s="589">
        <v>30033754</v>
      </c>
      <c r="D17" s="591">
        <v>32931847</v>
      </c>
      <c r="E17" s="590">
        <f t="shared" si="0"/>
        <v>2898093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432011</v>
      </c>
      <c r="D19" s="591">
        <v>201255</v>
      </c>
      <c r="E19" s="590">
        <f t="shared" si="0"/>
        <v>-230756</v>
      </c>
    </row>
    <row r="20" spans="1:5" s="421" customFormat="1" x14ac:dyDescent="0.2">
      <c r="A20" s="588">
        <v>7</v>
      </c>
      <c r="B20" s="587" t="s">
        <v>758</v>
      </c>
      <c r="C20" s="589">
        <v>1460013</v>
      </c>
      <c r="D20" s="591">
        <v>1368087</v>
      </c>
      <c r="E20" s="590">
        <f t="shared" si="0"/>
        <v>-91926</v>
      </c>
    </row>
    <row r="21" spans="1:5" s="421" customFormat="1" x14ac:dyDescent="0.2">
      <c r="A21" s="588"/>
      <c r="B21" s="592" t="s">
        <v>778</v>
      </c>
      <c r="C21" s="593">
        <f>SUM(C15+C16+C19)</f>
        <v>122693164</v>
      </c>
      <c r="D21" s="593">
        <f>SUM(D15+D16+D19)</f>
        <v>122163745</v>
      </c>
      <c r="E21" s="593">
        <f t="shared" si="0"/>
        <v>-529419</v>
      </c>
    </row>
    <row r="22" spans="1:5" s="421" customFormat="1" x14ac:dyDescent="0.2">
      <c r="A22" s="588"/>
      <c r="B22" s="592" t="s">
        <v>465</v>
      </c>
      <c r="C22" s="593">
        <f>SUM(C14+C21)</f>
        <v>164804213</v>
      </c>
      <c r="D22" s="593">
        <f>SUM(D14+D21)</f>
        <v>156850034</v>
      </c>
      <c r="E22" s="593">
        <f t="shared" si="0"/>
        <v>-7954179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112105411</v>
      </c>
      <c r="D25" s="589">
        <v>104545675</v>
      </c>
      <c r="E25" s="590">
        <f t="shared" ref="E25:E33" si="1">D25-C25</f>
        <v>-7559736</v>
      </c>
    </row>
    <row r="26" spans="1:5" s="421" customFormat="1" x14ac:dyDescent="0.2">
      <c r="A26" s="588">
        <v>2</v>
      </c>
      <c r="B26" s="587" t="s">
        <v>635</v>
      </c>
      <c r="C26" s="589">
        <v>115155887</v>
      </c>
      <c r="D26" s="591">
        <v>116531165</v>
      </c>
      <c r="E26" s="590">
        <f t="shared" si="1"/>
        <v>1375278</v>
      </c>
    </row>
    <row r="27" spans="1:5" s="421" customFormat="1" x14ac:dyDescent="0.2">
      <c r="A27" s="588">
        <v>3</v>
      </c>
      <c r="B27" s="587" t="s">
        <v>777</v>
      </c>
      <c r="C27" s="589">
        <v>59919782</v>
      </c>
      <c r="D27" s="591">
        <v>65028189</v>
      </c>
      <c r="E27" s="590">
        <f t="shared" si="1"/>
        <v>5108407</v>
      </c>
    </row>
    <row r="28" spans="1:5" s="421" customFormat="1" x14ac:dyDescent="0.2">
      <c r="A28" s="588">
        <v>4</v>
      </c>
      <c r="B28" s="587" t="s">
        <v>115</v>
      </c>
      <c r="C28" s="589">
        <v>59919782</v>
      </c>
      <c r="D28" s="591">
        <v>65028189</v>
      </c>
      <c r="E28" s="590">
        <f t="shared" si="1"/>
        <v>5108407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1106845</v>
      </c>
      <c r="D30" s="591">
        <v>1153587</v>
      </c>
      <c r="E30" s="590">
        <f t="shared" si="1"/>
        <v>46742</v>
      </c>
    </row>
    <row r="31" spans="1:5" s="421" customFormat="1" x14ac:dyDescent="0.2">
      <c r="A31" s="588">
        <v>7</v>
      </c>
      <c r="B31" s="587" t="s">
        <v>758</v>
      </c>
      <c r="C31" s="590">
        <v>5851418</v>
      </c>
      <c r="D31" s="594">
        <v>5132339</v>
      </c>
      <c r="E31" s="590">
        <f t="shared" si="1"/>
        <v>-719079</v>
      </c>
    </row>
    <row r="32" spans="1:5" s="421" customFormat="1" x14ac:dyDescent="0.2">
      <c r="A32" s="588"/>
      <c r="B32" s="592" t="s">
        <v>780</v>
      </c>
      <c r="C32" s="593">
        <f>SUM(C26+C27+C30)</f>
        <v>176182514</v>
      </c>
      <c r="D32" s="593">
        <f>SUM(D26+D27+D30)</f>
        <v>182712941</v>
      </c>
      <c r="E32" s="593">
        <f t="shared" si="1"/>
        <v>6530427</v>
      </c>
    </row>
    <row r="33" spans="1:5" s="421" customFormat="1" x14ac:dyDescent="0.2">
      <c r="A33" s="588"/>
      <c r="B33" s="592" t="s">
        <v>467</v>
      </c>
      <c r="C33" s="593">
        <f>SUM(C25+C32)</f>
        <v>288287925</v>
      </c>
      <c r="D33" s="593">
        <f>SUM(D25+D32)</f>
        <v>287258616</v>
      </c>
      <c r="E33" s="593">
        <f t="shared" si="1"/>
        <v>-1029309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154216460</v>
      </c>
      <c r="D36" s="590">
        <f t="shared" si="2"/>
        <v>139231964</v>
      </c>
      <c r="E36" s="590">
        <f t="shared" ref="E36:E44" si="3">D36-C36</f>
        <v>-14984496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207383286</v>
      </c>
      <c r="D37" s="590">
        <f t="shared" si="2"/>
        <v>205561808</v>
      </c>
      <c r="E37" s="590">
        <f t="shared" si="3"/>
        <v>-1821478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89953536</v>
      </c>
      <c r="D38" s="590">
        <f t="shared" si="2"/>
        <v>97960036</v>
      </c>
      <c r="E38" s="590">
        <f t="shared" si="3"/>
        <v>8006500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89953536</v>
      </c>
      <c r="D39" s="590">
        <f t="shared" si="2"/>
        <v>97960036</v>
      </c>
      <c r="E39" s="590">
        <f t="shared" si="3"/>
        <v>8006500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1538856</v>
      </c>
      <c r="D41" s="590">
        <f t="shared" si="2"/>
        <v>1354842</v>
      </c>
      <c r="E41" s="590">
        <f t="shared" si="3"/>
        <v>-184014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7311431</v>
      </c>
      <c r="D42" s="590">
        <f t="shared" si="2"/>
        <v>6500426</v>
      </c>
      <c r="E42" s="590">
        <f t="shared" si="3"/>
        <v>-811005</v>
      </c>
    </row>
    <row r="43" spans="1:5" s="421" customFormat="1" x14ac:dyDescent="0.2">
      <c r="A43" s="588"/>
      <c r="B43" s="592" t="s">
        <v>788</v>
      </c>
      <c r="C43" s="593">
        <f>SUM(C37+C38+C41)</f>
        <v>298875678</v>
      </c>
      <c r="D43" s="593">
        <f>SUM(D37+D38+D41)</f>
        <v>304876686</v>
      </c>
      <c r="E43" s="593">
        <f t="shared" si="3"/>
        <v>6001008</v>
      </c>
    </row>
    <row r="44" spans="1:5" s="421" customFormat="1" x14ac:dyDescent="0.2">
      <c r="A44" s="588"/>
      <c r="B44" s="592" t="s">
        <v>725</v>
      </c>
      <c r="C44" s="593">
        <f>SUM(C36+C43)</f>
        <v>453092138</v>
      </c>
      <c r="D44" s="593">
        <f>SUM(D36+D43)</f>
        <v>444108650</v>
      </c>
      <c r="E44" s="593">
        <f t="shared" si="3"/>
        <v>-8983488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20870629</v>
      </c>
      <c r="D47" s="589">
        <v>17963053</v>
      </c>
      <c r="E47" s="590">
        <f t="shared" ref="E47:E55" si="4">D47-C47</f>
        <v>-2907576</v>
      </c>
    </row>
    <row r="48" spans="1:5" s="421" customFormat="1" x14ac:dyDescent="0.2">
      <c r="A48" s="588">
        <v>2</v>
      </c>
      <c r="B48" s="587" t="s">
        <v>635</v>
      </c>
      <c r="C48" s="589">
        <v>31043356</v>
      </c>
      <c r="D48" s="591">
        <v>28121510</v>
      </c>
      <c r="E48" s="590">
        <f t="shared" si="4"/>
        <v>-2921846</v>
      </c>
    </row>
    <row r="49" spans="1:5" s="421" customFormat="1" x14ac:dyDescent="0.2">
      <c r="A49" s="588">
        <v>3</v>
      </c>
      <c r="B49" s="587" t="s">
        <v>777</v>
      </c>
      <c r="C49" s="589">
        <v>6607478</v>
      </c>
      <c r="D49" s="591">
        <v>7687592</v>
      </c>
      <c r="E49" s="590">
        <f t="shared" si="4"/>
        <v>1080114</v>
      </c>
    </row>
    <row r="50" spans="1:5" s="421" customFormat="1" x14ac:dyDescent="0.2">
      <c r="A50" s="588">
        <v>4</v>
      </c>
      <c r="B50" s="587" t="s">
        <v>115</v>
      </c>
      <c r="C50" s="589">
        <v>6607478</v>
      </c>
      <c r="D50" s="591">
        <v>7687592</v>
      </c>
      <c r="E50" s="590">
        <f t="shared" si="4"/>
        <v>1080114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160387</v>
      </c>
      <c r="D52" s="591">
        <v>29548</v>
      </c>
      <c r="E52" s="590">
        <f t="shared" si="4"/>
        <v>-130839</v>
      </c>
    </row>
    <row r="53" spans="1:5" s="421" customFormat="1" x14ac:dyDescent="0.2">
      <c r="A53" s="588">
        <v>7</v>
      </c>
      <c r="B53" s="587" t="s">
        <v>758</v>
      </c>
      <c r="C53" s="589">
        <v>0</v>
      </c>
      <c r="D53" s="591">
        <v>0</v>
      </c>
      <c r="E53" s="590">
        <f t="shared" si="4"/>
        <v>0</v>
      </c>
    </row>
    <row r="54" spans="1:5" s="421" customFormat="1" x14ac:dyDescent="0.2">
      <c r="A54" s="588"/>
      <c r="B54" s="592" t="s">
        <v>790</v>
      </c>
      <c r="C54" s="593">
        <f>SUM(C48+C49+C52)</f>
        <v>37811221</v>
      </c>
      <c r="D54" s="593">
        <f>SUM(D48+D49+D52)</f>
        <v>35838650</v>
      </c>
      <c r="E54" s="593">
        <f t="shared" si="4"/>
        <v>-1972571</v>
      </c>
    </row>
    <row r="55" spans="1:5" s="421" customFormat="1" x14ac:dyDescent="0.2">
      <c r="A55" s="588"/>
      <c r="B55" s="592" t="s">
        <v>466</v>
      </c>
      <c r="C55" s="593">
        <f>SUM(C47+C54)</f>
        <v>58681850</v>
      </c>
      <c r="D55" s="593">
        <f>SUM(D47+D54)</f>
        <v>53801703</v>
      </c>
      <c r="E55" s="593">
        <f t="shared" si="4"/>
        <v>-4880147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43163596</v>
      </c>
      <c r="D58" s="589">
        <v>41191436</v>
      </c>
      <c r="E58" s="590">
        <f t="shared" ref="E58:E66" si="5">D58-C58</f>
        <v>-1972160</v>
      </c>
    </row>
    <row r="59" spans="1:5" s="421" customFormat="1" x14ac:dyDescent="0.2">
      <c r="A59" s="588">
        <v>2</v>
      </c>
      <c r="B59" s="587" t="s">
        <v>635</v>
      </c>
      <c r="C59" s="589">
        <v>20899377</v>
      </c>
      <c r="D59" s="591">
        <v>23973082</v>
      </c>
      <c r="E59" s="590">
        <f t="shared" si="5"/>
        <v>3073705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13100657</v>
      </c>
      <c r="D60" s="591">
        <f>D61+D62</f>
        <v>13782560</v>
      </c>
      <c r="E60" s="590">
        <f t="shared" si="5"/>
        <v>681903</v>
      </c>
    </row>
    <row r="61" spans="1:5" s="421" customFormat="1" x14ac:dyDescent="0.2">
      <c r="A61" s="588">
        <v>4</v>
      </c>
      <c r="B61" s="587" t="s">
        <v>115</v>
      </c>
      <c r="C61" s="589">
        <v>13100657</v>
      </c>
      <c r="D61" s="591">
        <v>13782560</v>
      </c>
      <c r="E61" s="590">
        <f t="shared" si="5"/>
        <v>681903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123430</v>
      </c>
      <c r="D63" s="591">
        <v>283322</v>
      </c>
      <c r="E63" s="590">
        <f t="shared" si="5"/>
        <v>159892</v>
      </c>
    </row>
    <row r="64" spans="1:5" s="421" customFormat="1" x14ac:dyDescent="0.2">
      <c r="A64" s="588">
        <v>7</v>
      </c>
      <c r="B64" s="587" t="s">
        <v>758</v>
      </c>
      <c r="C64" s="589">
        <v>67919</v>
      </c>
      <c r="D64" s="591">
        <v>108324</v>
      </c>
      <c r="E64" s="590">
        <f t="shared" si="5"/>
        <v>40405</v>
      </c>
    </row>
    <row r="65" spans="1:5" s="421" customFormat="1" x14ac:dyDescent="0.2">
      <c r="A65" s="588"/>
      <c r="B65" s="592" t="s">
        <v>792</v>
      </c>
      <c r="C65" s="593">
        <f>SUM(C59+C60+C63)</f>
        <v>34123464</v>
      </c>
      <c r="D65" s="593">
        <f>SUM(D59+D60+D63)</f>
        <v>38038964</v>
      </c>
      <c r="E65" s="593">
        <f t="shared" si="5"/>
        <v>3915500</v>
      </c>
    </row>
    <row r="66" spans="1:5" s="421" customFormat="1" x14ac:dyDescent="0.2">
      <c r="A66" s="588"/>
      <c r="B66" s="592" t="s">
        <v>468</v>
      </c>
      <c r="C66" s="593">
        <f>SUM(C58+C65)</f>
        <v>77287060</v>
      </c>
      <c r="D66" s="593">
        <f>SUM(D58+D65)</f>
        <v>79230400</v>
      </c>
      <c r="E66" s="593">
        <f t="shared" si="5"/>
        <v>1943340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64034225</v>
      </c>
      <c r="D69" s="590">
        <f t="shared" si="6"/>
        <v>59154489</v>
      </c>
      <c r="E69" s="590">
        <f t="shared" ref="E69:E77" si="7">D69-C69</f>
        <v>-4879736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51942733</v>
      </c>
      <c r="D70" s="590">
        <f t="shared" si="6"/>
        <v>52094592</v>
      </c>
      <c r="E70" s="590">
        <f t="shared" si="7"/>
        <v>151859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19708135</v>
      </c>
      <c r="D71" s="590">
        <f t="shared" si="6"/>
        <v>21470152</v>
      </c>
      <c r="E71" s="590">
        <f t="shared" si="7"/>
        <v>1762017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19708135</v>
      </c>
      <c r="D72" s="590">
        <f t="shared" si="6"/>
        <v>21470152</v>
      </c>
      <c r="E72" s="590">
        <f t="shared" si="7"/>
        <v>1762017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283817</v>
      </c>
      <c r="D74" s="590">
        <f t="shared" si="6"/>
        <v>312870</v>
      </c>
      <c r="E74" s="590">
        <f t="shared" si="7"/>
        <v>29053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67919</v>
      </c>
      <c r="D75" s="590">
        <f t="shared" si="6"/>
        <v>108324</v>
      </c>
      <c r="E75" s="590">
        <f t="shared" si="7"/>
        <v>40405</v>
      </c>
    </row>
    <row r="76" spans="1:5" s="421" customFormat="1" x14ac:dyDescent="0.2">
      <c r="A76" s="588"/>
      <c r="B76" s="592" t="s">
        <v>793</v>
      </c>
      <c r="C76" s="593">
        <f>SUM(C70+C71+C74)</f>
        <v>71934685</v>
      </c>
      <c r="D76" s="593">
        <f>SUM(D70+D71+D74)</f>
        <v>73877614</v>
      </c>
      <c r="E76" s="593">
        <f t="shared" si="7"/>
        <v>1942929</v>
      </c>
    </row>
    <row r="77" spans="1:5" s="421" customFormat="1" x14ac:dyDescent="0.2">
      <c r="A77" s="588"/>
      <c r="B77" s="592" t="s">
        <v>726</v>
      </c>
      <c r="C77" s="593">
        <f>SUM(C69+C76)</f>
        <v>135968910</v>
      </c>
      <c r="D77" s="593">
        <f>SUM(D69+D76)</f>
        <v>133032103</v>
      </c>
      <c r="E77" s="593">
        <f t="shared" si="7"/>
        <v>-2936807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9.2941469224963685E-2</v>
      </c>
      <c r="D83" s="599">
        <f t="shared" si="8"/>
        <v>7.810316011633639E-2</v>
      </c>
      <c r="E83" s="599">
        <f t="shared" ref="E83:E91" si="9">D83-C83</f>
        <v>-1.4838309108627296E-2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0.20355109097037566</v>
      </c>
      <c r="D84" s="599">
        <f t="shared" si="8"/>
        <v>0.20047040966214011</v>
      </c>
      <c r="E84" s="599">
        <f t="shared" si="9"/>
        <v>-3.08068130823555E-3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6.628619541396677E-2</v>
      </c>
      <c r="D85" s="599">
        <f t="shared" si="8"/>
        <v>7.4152680881131222E-2</v>
      </c>
      <c r="E85" s="599">
        <f t="shared" si="9"/>
        <v>7.8664854671644524E-3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6.628619541396677E-2</v>
      </c>
      <c r="D86" s="599">
        <f t="shared" si="8"/>
        <v>7.4152680881131222E-2</v>
      </c>
      <c r="E86" s="599">
        <f t="shared" si="9"/>
        <v>7.8664854671644524E-3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9.5347273494293119E-4</v>
      </c>
      <c r="D88" s="599">
        <f t="shared" si="8"/>
        <v>4.5316613400797303E-4</v>
      </c>
      <c r="E88" s="599">
        <f t="shared" si="9"/>
        <v>-5.003066009349581E-4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3.2223313484199103E-3</v>
      </c>
      <c r="D89" s="599">
        <f t="shared" si="8"/>
        <v>3.0805232007978228E-3</v>
      </c>
      <c r="E89" s="599">
        <f t="shared" si="9"/>
        <v>-1.4180814762208751E-4</v>
      </c>
    </row>
    <row r="90" spans="1:5" s="421" customFormat="1" x14ac:dyDescent="0.2">
      <c r="A90" s="588"/>
      <c r="B90" s="592" t="s">
        <v>796</v>
      </c>
      <c r="C90" s="600">
        <f>SUM(C84+C85+C88)</f>
        <v>0.27079075911928541</v>
      </c>
      <c r="D90" s="600">
        <f>SUM(D84+D85+D88)</f>
        <v>0.27507625667727931</v>
      </c>
      <c r="E90" s="601">
        <f t="shared" si="9"/>
        <v>4.2854975579939003E-3</v>
      </c>
    </row>
    <row r="91" spans="1:5" s="421" customFormat="1" x14ac:dyDescent="0.2">
      <c r="A91" s="588"/>
      <c r="B91" s="592" t="s">
        <v>797</v>
      </c>
      <c r="C91" s="600">
        <f>SUM(C83+C90)</f>
        <v>0.36373222834424912</v>
      </c>
      <c r="D91" s="600">
        <f>SUM(D83+D90)</f>
        <v>0.3531794167936157</v>
      </c>
      <c r="E91" s="601">
        <f t="shared" si="9"/>
        <v>-1.0552811550633423E-2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0.2474229888314681</v>
      </c>
      <c r="D95" s="599">
        <f t="shared" si="10"/>
        <v>0.23540562652855332</v>
      </c>
      <c r="E95" s="599">
        <f t="shared" ref="E95:E103" si="11">D95-C95</f>
        <v>-1.201736230291478E-2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0.25415556206362599</v>
      </c>
      <c r="D96" s="599">
        <f t="shared" si="10"/>
        <v>0.26239336928024259</v>
      </c>
      <c r="E96" s="599">
        <f t="shared" si="11"/>
        <v>8.2378072166165994E-3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0.1322463511825491</v>
      </c>
      <c r="D97" s="599">
        <f t="shared" si="10"/>
        <v>0.14642405411378501</v>
      </c>
      <c r="E97" s="599">
        <f t="shared" si="11"/>
        <v>1.4177702931235908E-2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0.1322463511825491</v>
      </c>
      <c r="D98" s="599">
        <f t="shared" si="10"/>
        <v>0.14642405411378501</v>
      </c>
      <c r="E98" s="599">
        <f t="shared" si="11"/>
        <v>1.4177702931235908E-2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2.4428695781077534E-3</v>
      </c>
      <c r="D100" s="599">
        <f t="shared" si="10"/>
        <v>2.5975332838034117E-3</v>
      </c>
      <c r="E100" s="599">
        <f t="shared" si="11"/>
        <v>1.5466370569565836E-4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1.2914410799156263E-2</v>
      </c>
      <c r="D101" s="599">
        <f t="shared" si="10"/>
        <v>1.1556494114672165E-2</v>
      </c>
      <c r="E101" s="599">
        <f t="shared" si="11"/>
        <v>-1.3579166844840986E-3</v>
      </c>
    </row>
    <row r="102" spans="1:5" s="421" customFormat="1" x14ac:dyDescent="0.2">
      <c r="A102" s="588"/>
      <c r="B102" s="592" t="s">
        <v>799</v>
      </c>
      <c r="C102" s="600">
        <f>SUM(C96+C97+C100)</f>
        <v>0.38884478282428286</v>
      </c>
      <c r="D102" s="600">
        <f>SUM(D96+D97+D100)</f>
        <v>0.41141495667783101</v>
      </c>
      <c r="E102" s="601">
        <f t="shared" si="11"/>
        <v>2.2570173853548148E-2</v>
      </c>
    </row>
    <row r="103" spans="1:5" s="421" customFormat="1" x14ac:dyDescent="0.2">
      <c r="A103" s="588"/>
      <c r="B103" s="592" t="s">
        <v>800</v>
      </c>
      <c r="C103" s="600">
        <f>SUM(C95+C102)</f>
        <v>0.63626777165575099</v>
      </c>
      <c r="D103" s="600">
        <f>SUM(D95+D102)</f>
        <v>0.64682058320638436</v>
      </c>
      <c r="E103" s="601">
        <f t="shared" si="11"/>
        <v>1.0552811550633368E-2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0.15349559689784967</v>
      </c>
      <c r="D109" s="599">
        <f t="shared" si="12"/>
        <v>0.13502795637230511</v>
      </c>
      <c r="E109" s="599">
        <f t="shared" ref="E109:E117" si="13">D109-C109</f>
        <v>-1.846764052554456E-2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0.22831216342029953</v>
      </c>
      <c r="D110" s="599">
        <f t="shared" si="12"/>
        <v>0.21138890061746976</v>
      </c>
      <c r="E110" s="599">
        <f t="shared" si="13"/>
        <v>-1.6923262802829769E-2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4.8595506134453827E-2</v>
      </c>
      <c r="D111" s="599">
        <f t="shared" si="12"/>
        <v>5.7787495098081704E-2</v>
      </c>
      <c r="E111" s="599">
        <f t="shared" si="13"/>
        <v>9.191988963627877E-3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4.8595506134453827E-2</v>
      </c>
      <c r="D112" s="599">
        <f t="shared" si="12"/>
        <v>5.7787495098081704E-2</v>
      </c>
      <c r="E112" s="599">
        <f t="shared" si="13"/>
        <v>9.191988963627877E-3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1.179585833261442E-3</v>
      </c>
      <c r="D114" s="599">
        <f t="shared" si="12"/>
        <v>2.22111801089095E-4</v>
      </c>
      <c r="E114" s="599">
        <f t="shared" si="13"/>
        <v>-9.5747403217234697E-4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0</v>
      </c>
      <c r="D115" s="599">
        <f t="shared" si="12"/>
        <v>0</v>
      </c>
      <c r="E115" s="599">
        <f t="shared" si="13"/>
        <v>0</v>
      </c>
    </row>
    <row r="116" spans="1:5" s="421" customFormat="1" x14ac:dyDescent="0.2">
      <c r="A116" s="588"/>
      <c r="B116" s="592" t="s">
        <v>796</v>
      </c>
      <c r="C116" s="600">
        <f>SUM(C110+C111+C114)</f>
        <v>0.27808725538801482</v>
      </c>
      <c r="D116" s="600">
        <f>SUM(D110+D111+D114)</f>
        <v>0.26939850751664057</v>
      </c>
      <c r="E116" s="601">
        <f t="shared" si="13"/>
        <v>-8.6887478713742472E-3</v>
      </c>
    </row>
    <row r="117" spans="1:5" s="421" customFormat="1" x14ac:dyDescent="0.2">
      <c r="A117" s="588"/>
      <c r="B117" s="592" t="s">
        <v>797</v>
      </c>
      <c r="C117" s="600">
        <f>SUM(C109+C116)</f>
        <v>0.43158285228586446</v>
      </c>
      <c r="D117" s="600">
        <f>SUM(D109+D116)</f>
        <v>0.40442646388894565</v>
      </c>
      <c r="E117" s="601">
        <f t="shared" si="13"/>
        <v>-2.7156388396918807E-2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0.31745195280303418</v>
      </c>
      <c r="D121" s="599">
        <f t="shared" si="14"/>
        <v>0.30963530659964084</v>
      </c>
      <c r="E121" s="599">
        <f t="shared" ref="E121:E129" si="15">D121-C121</f>
        <v>-7.8166462033933404E-3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0.15370702758446766</v>
      </c>
      <c r="D122" s="599">
        <f t="shared" si="14"/>
        <v>0.18020523963302301</v>
      </c>
      <c r="E122" s="599">
        <f t="shared" si="15"/>
        <v>2.6498212048555347E-2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9.6350386275803779E-2</v>
      </c>
      <c r="D123" s="599">
        <f t="shared" si="14"/>
        <v>0.10360326334163115</v>
      </c>
      <c r="E123" s="599">
        <f t="shared" si="15"/>
        <v>7.2528770658273761E-3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9.6350386275803779E-2</v>
      </c>
      <c r="D124" s="599">
        <f t="shared" si="14"/>
        <v>0.10360326334163115</v>
      </c>
      <c r="E124" s="599">
        <f t="shared" si="15"/>
        <v>7.2528770658273761E-3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9.0778105082992867E-4</v>
      </c>
      <c r="D126" s="599">
        <f t="shared" si="14"/>
        <v>2.1297265367593264E-3</v>
      </c>
      <c r="E126" s="599">
        <f t="shared" si="15"/>
        <v>1.2219454859293977E-3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4.9951860318656668E-4</v>
      </c>
      <c r="D127" s="599">
        <f t="shared" si="14"/>
        <v>8.1426962031863842E-4</v>
      </c>
      <c r="E127" s="599">
        <f t="shared" si="15"/>
        <v>3.1475101713207174E-4</v>
      </c>
    </row>
    <row r="128" spans="1:5" s="421" customFormat="1" x14ac:dyDescent="0.2">
      <c r="A128" s="588"/>
      <c r="B128" s="592" t="s">
        <v>799</v>
      </c>
      <c r="C128" s="600">
        <f>SUM(C122+C123+C126)</f>
        <v>0.25096519491110142</v>
      </c>
      <c r="D128" s="600">
        <f>SUM(D122+D123+D126)</f>
        <v>0.28593822951141346</v>
      </c>
      <c r="E128" s="601">
        <f t="shared" si="15"/>
        <v>3.4973034600312036E-2</v>
      </c>
    </row>
    <row r="129" spans="1:5" s="421" customFormat="1" x14ac:dyDescent="0.2">
      <c r="A129" s="588"/>
      <c r="B129" s="592" t="s">
        <v>800</v>
      </c>
      <c r="C129" s="600">
        <f>SUM(C121+C128)</f>
        <v>0.56841714771413554</v>
      </c>
      <c r="D129" s="600">
        <f>SUM(D121+D128)</f>
        <v>0.59557353611105435</v>
      </c>
      <c r="E129" s="601">
        <f t="shared" si="15"/>
        <v>2.7156388396918807E-2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2116</v>
      </c>
      <c r="D137" s="606">
        <v>1833</v>
      </c>
      <c r="E137" s="607">
        <f t="shared" ref="E137:E145" si="16">D137-C137</f>
        <v>-283</v>
      </c>
    </row>
    <row r="138" spans="1:5" s="421" customFormat="1" x14ac:dyDescent="0.2">
      <c r="A138" s="588">
        <v>2</v>
      </c>
      <c r="B138" s="587" t="s">
        <v>635</v>
      </c>
      <c r="C138" s="606">
        <v>3410</v>
      </c>
      <c r="D138" s="606">
        <v>3380</v>
      </c>
      <c r="E138" s="607">
        <f t="shared" si="16"/>
        <v>-30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1797</v>
      </c>
      <c r="D139" s="606">
        <f>D140+D141</f>
        <v>1840</v>
      </c>
      <c r="E139" s="607">
        <f t="shared" si="16"/>
        <v>43</v>
      </c>
    </row>
    <row r="140" spans="1:5" s="421" customFormat="1" x14ac:dyDescent="0.2">
      <c r="A140" s="588">
        <v>4</v>
      </c>
      <c r="B140" s="587" t="s">
        <v>115</v>
      </c>
      <c r="C140" s="606">
        <v>1797</v>
      </c>
      <c r="D140" s="606">
        <v>1840</v>
      </c>
      <c r="E140" s="607">
        <f t="shared" si="16"/>
        <v>43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26</v>
      </c>
      <c r="D142" s="606">
        <v>18</v>
      </c>
      <c r="E142" s="607">
        <f t="shared" si="16"/>
        <v>-8</v>
      </c>
    </row>
    <row r="143" spans="1:5" s="421" customFormat="1" x14ac:dyDescent="0.2">
      <c r="A143" s="588">
        <v>7</v>
      </c>
      <c r="B143" s="587" t="s">
        <v>758</v>
      </c>
      <c r="C143" s="606">
        <v>113</v>
      </c>
      <c r="D143" s="606">
        <v>102</v>
      </c>
      <c r="E143" s="607">
        <f t="shared" si="16"/>
        <v>-11</v>
      </c>
    </row>
    <row r="144" spans="1:5" s="421" customFormat="1" x14ac:dyDescent="0.2">
      <c r="A144" s="588"/>
      <c r="B144" s="592" t="s">
        <v>807</v>
      </c>
      <c r="C144" s="608">
        <f>SUM(C138+C139+C142)</f>
        <v>5233</v>
      </c>
      <c r="D144" s="608">
        <f>SUM(D138+D139+D142)</f>
        <v>5238</v>
      </c>
      <c r="E144" s="609">
        <f t="shared" si="16"/>
        <v>5</v>
      </c>
    </row>
    <row r="145" spans="1:5" s="421" customFormat="1" x14ac:dyDescent="0.2">
      <c r="A145" s="588"/>
      <c r="B145" s="592" t="s">
        <v>138</v>
      </c>
      <c r="C145" s="608">
        <f>SUM(C137+C144)</f>
        <v>7349</v>
      </c>
      <c r="D145" s="608">
        <f>SUM(D137+D144)</f>
        <v>7071</v>
      </c>
      <c r="E145" s="609">
        <f t="shared" si="16"/>
        <v>-278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6986</v>
      </c>
      <c r="D149" s="610">
        <v>6026</v>
      </c>
      <c r="E149" s="607">
        <f t="shared" ref="E149:E157" si="17">D149-C149</f>
        <v>-960</v>
      </c>
    </row>
    <row r="150" spans="1:5" s="421" customFormat="1" x14ac:dyDescent="0.2">
      <c r="A150" s="588">
        <v>2</v>
      </c>
      <c r="B150" s="587" t="s">
        <v>635</v>
      </c>
      <c r="C150" s="610">
        <v>16245</v>
      </c>
      <c r="D150" s="610">
        <v>14869</v>
      </c>
      <c r="E150" s="607">
        <f t="shared" si="17"/>
        <v>-1376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6529</v>
      </c>
      <c r="D151" s="610">
        <f>D152+D153</f>
        <v>7135</v>
      </c>
      <c r="E151" s="607">
        <f t="shared" si="17"/>
        <v>606</v>
      </c>
    </row>
    <row r="152" spans="1:5" s="421" customFormat="1" x14ac:dyDescent="0.2">
      <c r="A152" s="588">
        <v>4</v>
      </c>
      <c r="B152" s="587" t="s">
        <v>115</v>
      </c>
      <c r="C152" s="610">
        <v>6529</v>
      </c>
      <c r="D152" s="610">
        <v>7135</v>
      </c>
      <c r="E152" s="607">
        <f t="shared" si="17"/>
        <v>606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70</v>
      </c>
      <c r="D154" s="610">
        <v>50</v>
      </c>
      <c r="E154" s="607">
        <f t="shared" si="17"/>
        <v>-20</v>
      </c>
    </row>
    <row r="155" spans="1:5" s="421" customFormat="1" x14ac:dyDescent="0.2">
      <c r="A155" s="588">
        <v>7</v>
      </c>
      <c r="B155" s="587" t="s">
        <v>758</v>
      </c>
      <c r="C155" s="610">
        <v>375</v>
      </c>
      <c r="D155" s="610">
        <v>360</v>
      </c>
      <c r="E155" s="607">
        <f t="shared" si="17"/>
        <v>-15</v>
      </c>
    </row>
    <row r="156" spans="1:5" s="421" customFormat="1" x14ac:dyDescent="0.2">
      <c r="A156" s="588"/>
      <c r="B156" s="592" t="s">
        <v>808</v>
      </c>
      <c r="C156" s="608">
        <f>SUM(C150+C151+C154)</f>
        <v>22844</v>
      </c>
      <c r="D156" s="608">
        <f>SUM(D150+D151+D154)</f>
        <v>22054</v>
      </c>
      <c r="E156" s="609">
        <f t="shared" si="17"/>
        <v>-790</v>
      </c>
    </row>
    <row r="157" spans="1:5" s="421" customFormat="1" x14ac:dyDescent="0.2">
      <c r="A157" s="588"/>
      <c r="B157" s="592" t="s">
        <v>140</v>
      </c>
      <c r="C157" s="608">
        <f>SUM(C149+C156)</f>
        <v>29830</v>
      </c>
      <c r="D157" s="608">
        <f>SUM(D149+D156)</f>
        <v>28080</v>
      </c>
      <c r="E157" s="609">
        <f t="shared" si="17"/>
        <v>-1750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3.3015122873345937</v>
      </c>
      <c r="D161" s="612">
        <f t="shared" si="18"/>
        <v>3.2875068194217132</v>
      </c>
      <c r="E161" s="613">
        <f t="shared" ref="E161:E169" si="19">D161-C161</f>
        <v>-1.4005467912880487E-2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4.7639296187683282</v>
      </c>
      <c r="D162" s="612">
        <f t="shared" si="18"/>
        <v>4.3991124260355026</v>
      </c>
      <c r="E162" s="613">
        <f t="shared" si="19"/>
        <v>-0.36481719273282565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3.6332776850306066</v>
      </c>
      <c r="D163" s="612">
        <f t="shared" si="18"/>
        <v>3.8777173913043477</v>
      </c>
      <c r="E163" s="613">
        <f t="shared" si="19"/>
        <v>0.24443970627374112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3.6332776850306066</v>
      </c>
      <c r="D164" s="612">
        <f t="shared" si="18"/>
        <v>3.8777173913043477</v>
      </c>
      <c r="E164" s="613">
        <f t="shared" si="19"/>
        <v>0.24443970627374112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2.6923076923076925</v>
      </c>
      <c r="D166" s="612">
        <f t="shared" si="18"/>
        <v>2.7777777777777777</v>
      </c>
      <c r="E166" s="613">
        <f t="shared" si="19"/>
        <v>8.5470085470085166E-2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3.3185840707964602</v>
      </c>
      <c r="D167" s="612">
        <f t="shared" si="18"/>
        <v>3.5294117647058822</v>
      </c>
      <c r="E167" s="613">
        <f t="shared" si="19"/>
        <v>0.21082769390942202</v>
      </c>
    </row>
    <row r="168" spans="1:5" s="421" customFormat="1" x14ac:dyDescent="0.2">
      <c r="A168" s="588"/>
      <c r="B168" s="592" t="s">
        <v>810</v>
      </c>
      <c r="C168" s="614">
        <f t="shared" si="18"/>
        <v>4.3653735906745652</v>
      </c>
      <c r="D168" s="614">
        <f t="shared" si="18"/>
        <v>4.2103856433753339</v>
      </c>
      <c r="E168" s="615">
        <f t="shared" si="19"/>
        <v>-0.15498794729923127</v>
      </c>
    </row>
    <row r="169" spans="1:5" s="421" customFormat="1" x14ac:dyDescent="0.2">
      <c r="A169" s="588"/>
      <c r="B169" s="592" t="s">
        <v>744</v>
      </c>
      <c r="C169" s="614">
        <f t="shared" si="18"/>
        <v>4.0590556538304527</v>
      </c>
      <c r="D169" s="614">
        <f t="shared" si="18"/>
        <v>3.9711497666525246</v>
      </c>
      <c r="E169" s="615">
        <f t="shared" si="19"/>
        <v>-8.7905887177928133E-2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1.0463</v>
      </c>
      <c r="D173" s="617">
        <f t="shared" si="20"/>
        <v>0.9930000000000001</v>
      </c>
      <c r="E173" s="618">
        <f t="shared" ref="E173:E181" si="21">D173-C173</f>
        <v>-5.3299999999999903E-2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1.3063999999999998</v>
      </c>
      <c r="D174" s="617">
        <f t="shared" si="20"/>
        <v>1.2740999999999998</v>
      </c>
      <c r="E174" s="618">
        <f t="shared" si="21"/>
        <v>-3.2299999999999995E-2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0.94319999999999993</v>
      </c>
      <c r="D175" s="617">
        <f t="shared" si="20"/>
        <v>0.93630000000000013</v>
      </c>
      <c r="E175" s="618">
        <f t="shared" si="21"/>
        <v>-6.8999999999997952E-3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0.94319999999999993</v>
      </c>
      <c r="D176" s="617">
        <f t="shared" si="20"/>
        <v>0.93630000000000013</v>
      </c>
      <c r="E176" s="618">
        <f t="shared" si="21"/>
        <v>-6.8999999999997952E-3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1.0066999999999999</v>
      </c>
      <c r="D178" s="617">
        <f t="shared" si="20"/>
        <v>0.62180000000000002</v>
      </c>
      <c r="E178" s="618">
        <f t="shared" si="21"/>
        <v>-0.38489999999999991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1.1760000000000002</v>
      </c>
      <c r="D179" s="617">
        <f t="shared" si="20"/>
        <v>1.1252</v>
      </c>
      <c r="E179" s="618">
        <f t="shared" si="21"/>
        <v>-5.0800000000000178E-2</v>
      </c>
    </row>
    <row r="180" spans="1:5" s="421" customFormat="1" x14ac:dyDescent="0.2">
      <c r="A180" s="588"/>
      <c r="B180" s="592" t="s">
        <v>812</v>
      </c>
      <c r="C180" s="619">
        <f t="shared" si="20"/>
        <v>1.1801889164914963</v>
      </c>
      <c r="D180" s="619">
        <f t="shared" si="20"/>
        <v>1.1531963344788088</v>
      </c>
      <c r="E180" s="620">
        <f t="shared" si="21"/>
        <v>-2.6992582012687505E-2</v>
      </c>
    </row>
    <row r="181" spans="1:5" s="421" customFormat="1" x14ac:dyDescent="0.2">
      <c r="A181" s="588"/>
      <c r="B181" s="592" t="s">
        <v>723</v>
      </c>
      <c r="C181" s="619">
        <f t="shared" si="20"/>
        <v>1.1416382364947613</v>
      </c>
      <c r="D181" s="619">
        <f t="shared" si="20"/>
        <v>1.1116689859991515</v>
      </c>
      <c r="E181" s="620">
        <f t="shared" si="21"/>
        <v>-2.9969250495609723E-2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814</v>
      </c>
      <c r="C185" s="589">
        <v>142326436</v>
      </c>
      <c r="D185" s="589">
        <v>129119183</v>
      </c>
      <c r="E185" s="590">
        <f>D185-C185</f>
        <v>-13207253</v>
      </c>
    </row>
    <row r="186" spans="1:5" s="421" customFormat="1" ht="25.5" x14ac:dyDescent="0.2">
      <c r="A186" s="588">
        <v>2</v>
      </c>
      <c r="B186" s="587" t="s">
        <v>815</v>
      </c>
      <c r="C186" s="589">
        <v>68862450</v>
      </c>
      <c r="D186" s="589">
        <v>65741313</v>
      </c>
      <c r="E186" s="590">
        <f>D186-C186</f>
        <v>-3121137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73463986</v>
      </c>
      <c r="D188" s="622">
        <f>+D185-D186</f>
        <v>63377870</v>
      </c>
      <c r="E188" s="590">
        <f t="shared" ref="E188:E197" si="22">D188-C188</f>
        <v>-10086116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0.51616542973084778</v>
      </c>
      <c r="D189" s="623">
        <f>IF(D185=0,0,+D188/D185)</f>
        <v>0.49084782390545328</v>
      </c>
      <c r="E189" s="599">
        <f t="shared" si="22"/>
        <v>-2.5317605825394496E-2</v>
      </c>
    </row>
    <row r="190" spans="1:5" s="421" customFormat="1" x14ac:dyDescent="0.2">
      <c r="A190" s="588">
        <v>5</v>
      </c>
      <c r="B190" s="587" t="s">
        <v>762</v>
      </c>
      <c r="C190" s="589">
        <v>7512816</v>
      </c>
      <c r="D190" s="589">
        <v>9490766</v>
      </c>
      <c r="E190" s="622">
        <f t="shared" si="22"/>
        <v>1977950</v>
      </c>
    </row>
    <row r="191" spans="1:5" s="421" customFormat="1" x14ac:dyDescent="0.2">
      <c r="A191" s="588">
        <v>6</v>
      </c>
      <c r="B191" s="587" t="s">
        <v>748</v>
      </c>
      <c r="C191" s="589">
        <v>6062816</v>
      </c>
      <c r="D191" s="589">
        <v>8040766</v>
      </c>
      <c r="E191" s="622">
        <f t="shared" si="22"/>
        <v>1977950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4530623</v>
      </c>
      <c r="D193" s="589">
        <v>4092111</v>
      </c>
      <c r="E193" s="622">
        <f t="shared" si="22"/>
        <v>-438512</v>
      </c>
    </row>
    <row r="194" spans="1:5" s="421" customFormat="1" x14ac:dyDescent="0.2">
      <c r="A194" s="588">
        <v>9</v>
      </c>
      <c r="B194" s="587" t="s">
        <v>818</v>
      </c>
      <c r="C194" s="589">
        <v>4007799</v>
      </c>
      <c r="D194" s="589">
        <v>2212274</v>
      </c>
      <c r="E194" s="622">
        <f t="shared" si="22"/>
        <v>-1795525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8538422</v>
      </c>
      <c r="D195" s="589">
        <f>+D193+D194</f>
        <v>6304385</v>
      </c>
      <c r="E195" s="625">
        <f t="shared" si="22"/>
        <v>-2234037</v>
      </c>
    </row>
    <row r="196" spans="1:5" s="421" customFormat="1" x14ac:dyDescent="0.2">
      <c r="A196" s="588">
        <v>11</v>
      </c>
      <c r="B196" s="587" t="s">
        <v>820</v>
      </c>
      <c r="C196" s="589">
        <v>4301391</v>
      </c>
      <c r="D196" s="589">
        <v>3838007</v>
      </c>
      <c r="E196" s="622">
        <f t="shared" si="22"/>
        <v>-463384</v>
      </c>
    </row>
    <row r="197" spans="1:5" s="421" customFormat="1" x14ac:dyDescent="0.2">
      <c r="A197" s="588">
        <v>12</v>
      </c>
      <c r="B197" s="587" t="s">
        <v>710</v>
      </c>
      <c r="C197" s="589">
        <v>141228949</v>
      </c>
      <c r="D197" s="589">
        <v>136633273</v>
      </c>
      <c r="E197" s="622">
        <f t="shared" si="22"/>
        <v>-4595676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2213.9708000000001</v>
      </c>
      <c r="D203" s="629">
        <v>1820.1690000000001</v>
      </c>
      <c r="E203" s="630">
        <f t="shared" ref="E203:E211" si="23">D203-C203</f>
        <v>-393.80179999999996</v>
      </c>
    </row>
    <row r="204" spans="1:5" s="421" customFormat="1" x14ac:dyDescent="0.2">
      <c r="A204" s="588">
        <v>2</v>
      </c>
      <c r="B204" s="587" t="s">
        <v>635</v>
      </c>
      <c r="C204" s="629">
        <v>4454.8239999999996</v>
      </c>
      <c r="D204" s="629">
        <v>4306.4579999999996</v>
      </c>
      <c r="E204" s="630">
        <f t="shared" si="23"/>
        <v>-148.36599999999999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1694.9304</v>
      </c>
      <c r="D205" s="629">
        <f>D206+D207</f>
        <v>1722.7920000000001</v>
      </c>
      <c r="E205" s="630">
        <f t="shared" si="23"/>
        <v>27.86160000000018</v>
      </c>
    </row>
    <row r="206" spans="1:5" s="421" customFormat="1" x14ac:dyDescent="0.2">
      <c r="A206" s="588">
        <v>4</v>
      </c>
      <c r="B206" s="587" t="s">
        <v>115</v>
      </c>
      <c r="C206" s="629">
        <v>1694.9304</v>
      </c>
      <c r="D206" s="629">
        <v>1722.7920000000001</v>
      </c>
      <c r="E206" s="630">
        <f t="shared" si="23"/>
        <v>27.86160000000018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26.174199999999999</v>
      </c>
      <c r="D208" s="629">
        <v>11.192400000000001</v>
      </c>
      <c r="E208" s="630">
        <f t="shared" si="23"/>
        <v>-14.981799999999998</v>
      </c>
    </row>
    <row r="209" spans="1:5" s="421" customFormat="1" x14ac:dyDescent="0.2">
      <c r="A209" s="588">
        <v>7</v>
      </c>
      <c r="B209" s="587" t="s">
        <v>758</v>
      </c>
      <c r="C209" s="629">
        <v>132.88800000000001</v>
      </c>
      <c r="D209" s="629">
        <v>114.7704</v>
      </c>
      <c r="E209" s="630">
        <f t="shared" si="23"/>
        <v>-18.11760000000001</v>
      </c>
    </row>
    <row r="210" spans="1:5" s="421" customFormat="1" x14ac:dyDescent="0.2">
      <c r="A210" s="588"/>
      <c r="B210" s="592" t="s">
        <v>823</v>
      </c>
      <c r="C210" s="631">
        <f>C204+C205+C208</f>
        <v>6175.9286000000002</v>
      </c>
      <c r="D210" s="631">
        <f>D204+D205+D208</f>
        <v>6040.4423999999999</v>
      </c>
      <c r="E210" s="632">
        <f t="shared" si="23"/>
        <v>-135.48620000000028</v>
      </c>
    </row>
    <row r="211" spans="1:5" s="421" customFormat="1" x14ac:dyDescent="0.2">
      <c r="A211" s="588"/>
      <c r="B211" s="592" t="s">
        <v>724</v>
      </c>
      <c r="C211" s="631">
        <f>C210+C203</f>
        <v>8389.8994000000002</v>
      </c>
      <c r="D211" s="631">
        <f>D210+D203</f>
        <v>7860.6113999999998</v>
      </c>
      <c r="E211" s="632">
        <f t="shared" si="23"/>
        <v>-529.28800000000047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5633.0833666955195</v>
      </c>
      <c r="D215" s="633">
        <f>IF(D14*D137=0,0,D25/D14*D137)</f>
        <v>5524.7254116749127</v>
      </c>
      <c r="E215" s="633">
        <f t="shared" ref="E215:E223" si="24">D215-C215</f>
        <v>-108.35795502060682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4257.7539747163419</v>
      </c>
      <c r="D216" s="633">
        <f>IF(D15*D138=0,0,D26/D15*D138)</f>
        <v>4424.0423794310909</v>
      </c>
      <c r="E216" s="633">
        <f t="shared" si="24"/>
        <v>166.28840471474905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3585.1611574763515</v>
      </c>
      <c r="D217" s="633">
        <f>D218+D219</f>
        <v>3633.3178567239183</v>
      </c>
      <c r="E217" s="633">
        <f t="shared" si="24"/>
        <v>48.156699247566848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3585.1611574763515</v>
      </c>
      <c r="D218" s="633">
        <f t="shared" si="25"/>
        <v>3633.3178567239183</v>
      </c>
      <c r="E218" s="633">
        <f t="shared" si="24"/>
        <v>48.156699247566848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66.613975107115323</v>
      </c>
      <c r="D220" s="633">
        <f t="shared" si="25"/>
        <v>103.17540433778042</v>
      </c>
      <c r="E220" s="633">
        <f t="shared" si="24"/>
        <v>36.561429230665098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452.87968942742287</v>
      </c>
      <c r="D221" s="633">
        <f t="shared" si="25"/>
        <v>382.65006392137343</v>
      </c>
      <c r="E221" s="633">
        <f t="shared" si="24"/>
        <v>-70.229625506049445</v>
      </c>
    </row>
    <row r="222" spans="1:5" s="421" customFormat="1" x14ac:dyDescent="0.2">
      <c r="A222" s="588"/>
      <c r="B222" s="592" t="s">
        <v>825</v>
      </c>
      <c r="C222" s="634">
        <f>C216+C218+C219+C220</f>
        <v>7909.5291072998079</v>
      </c>
      <c r="D222" s="634">
        <f>D216+D218+D219+D220</f>
        <v>8160.5356404927898</v>
      </c>
      <c r="E222" s="634">
        <f t="shared" si="24"/>
        <v>251.00653319298181</v>
      </c>
    </row>
    <row r="223" spans="1:5" s="421" customFormat="1" x14ac:dyDescent="0.2">
      <c r="A223" s="588"/>
      <c r="B223" s="592" t="s">
        <v>826</v>
      </c>
      <c r="C223" s="634">
        <f>C215+C222</f>
        <v>13542.612473995327</v>
      </c>
      <c r="D223" s="634">
        <f>D215+D222</f>
        <v>13685.261052167702</v>
      </c>
      <c r="E223" s="634">
        <f t="shared" si="24"/>
        <v>142.64857817237498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9426.7860262655668</v>
      </c>
      <c r="D227" s="636">
        <f t="shared" si="26"/>
        <v>9868.8929434574475</v>
      </c>
      <c r="E227" s="636">
        <f t="shared" ref="E227:E235" si="27">D227-C227</f>
        <v>442.10691719188071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6968.4809096835261</v>
      </c>
      <c r="D228" s="636">
        <f t="shared" si="26"/>
        <v>6530.0787793588142</v>
      </c>
      <c r="E228" s="636">
        <f t="shared" si="27"/>
        <v>-438.40213032471183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3898.3771841014832</v>
      </c>
      <c r="D229" s="636">
        <f t="shared" si="26"/>
        <v>4462.2867995672141</v>
      </c>
      <c r="E229" s="636">
        <f t="shared" si="27"/>
        <v>563.90961546573089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3898.3771841014832</v>
      </c>
      <c r="D230" s="636">
        <f t="shared" si="26"/>
        <v>4462.2867995672141</v>
      </c>
      <c r="E230" s="636">
        <f t="shared" si="27"/>
        <v>563.90961546573089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6127.6753444231344</v>
      </c>
      <c r="D232" s="636">
        <f t="shared" si="26"/>
        <v>2640.0057181658981</v>
      </c>
      <c r="E232" s="636">
        <f t="shared" si="27"/>
        <v>-3487.6696262572364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0</v>
      </c>
      <c r="D233" s="636">
        <f t="shared" si="26"/>
        <v>0</v>
      </c>
      <c r="E233" s="636">
        <f t="shared" si="27"/>
        <v>0</v>
      </c>
    </row>
    <row r="234" spans="1:5" x14ac:dyDescent="0.2">
      <c r="A234" s="588"/>
      <c r="B234" s="592" t="s">
        <v>828</v>
      </c>
      <c r="C234" s="637">
        <f t="shared" si="26"/>
        <v>6122.353972809854</v>
      </c>
      <c r="D234" s="637">
        <f t="shared" si="26"/>
        <v>5933.1167531702649</v>
      </c>
      <c r="E234" s="637">
        <f t="shared" si="27"/>
        <v>-189.23721963958906</v>
      </c>
    </row>
    <row r="235" spans="1:5" s="421" customFormat="1" x14ac:dyDescent="0.2">
      <c r="A235" s="588"/>
      <c r="B235" s="592" t="s">
        <v>829</v>
      </c>
      <c r="C235" s="637">
        <f t="shared" si="26"/>
        <v>6994.344890476279</v>
      </c>
      <c r="D235" s="637">
        <f t="shared" si="26"/>
        <v>6844.4679761169727</v>
      </c>
      <c r="E235" s="637">
        <f t="shared" si="27"/>
        <v>-149.87691435930628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7662.5168118753827</v>
      </c>
      <c r="D239" s="636">
        <f t="shared" si="28"/>
        <v>7455.8340787315492</v>
      </c>
      <c r="E239" s="638">
        <f t="shared" ref="E239:E247" si="29">D239-C239</f>
        <v>-206.6827331438335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4908.5450037991795</v>
      </c>
      <c r="D240" s="636">
        <f t="shared" si="28"/>
        <v>5418.8183439334089</v>
      </c>
      <c r="E240" s="638">
        <f t="shared" si="29"/>
        <v>510.27334013422933</v>
      </c>
    </row>
    <row r="241" spans="1:5" x14ac:dyDescent="0.2">
      <c r="A241" s="588">
        <v>3</v>
      </c>
      <c r="B241" s="587" t="s">
        <v>777</v>
      </c>
      <c r="C241" s="636">
        <f t="shared" si="28"/>
        <v>3654.1333637625785</v>
      </c>
      <c r="D241" s="636">
        <f t="shared" si="28"/>
        <v>3793.3812959671595</v>
      </c>
      <c r="E241" s="638">
        <f t="shared" si="29"/>
        <v>139.24793220458105</v>
      </c>
    </row>
    <row r="242" spans="1:5" x14ac:dyDescent="0.2">
      <c r="A242" s="588">
        <v>4</v>
      </c>
      <c r="B242" s="587" t="s">
        <v>115</v>
      </c>
      <c r="C242" s="636">
        <f t="shared" si="28"/>
        <v>3654.1333637625785</v>
      </c>
      <c r="D242" s="636">
        <f t="shared" si="28"/>
        <v>3793.3812959671595</v>
      </c>
      <c r="E242" s="638">
        <f t="shared" si="29"/>
        <v>139.24793220458105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1852.9144943163124</v>
      </c>
      <c r="D244" s="636">
        <f t="shared" si="28"/>
        <v>2746.0226768043217</v>
      </c>
      <c r="E244" s="638">
        <f t="shared" si="29"/>
        <v>893.10818248800933</v>
      </c>
    </row>
    <row r="245" spans="1:5" x14ac:dyDescent="0.2">
      <c r="A245" s="588">
        <v>7</v>
      </c>
      <c r="B245" s="587" t="s">
        <v>758</v>
      </c>
      <c r="C245" s="636">
        <f t="shared" si="28"/>
        <v>149.97139767047224</v>
      </c>
      <c r="D245" s="636">
        <f t="shared" si="28"/>
        <v>283.08893742209938</v>
      </c>
      <c r="E245" s="638">
        <f t="shared" si="29"/>
        <v>133.11753975162713</v>
      </c>
    </row>
    <row r="246" spans="1:5" ht="25.5" x14ac:dyDescent="0.2">
      <c r="A246" s="588"/>
      <c r="B246" s="592" t="s">
        <v>831</v>
      </c>
      <c r="C246" s="637">
        <f t="shared" si="28"/>
        <v>4314.221938763334</v>
      </c>
      <c r="D246" s="637">
        <f t="shared" si="28"/>
        <v>4661.331764945633</v>
      </c>
      <c r="E246" s="639">
        <f t="shared" si="29"/>
        <v>347.109826182299</v>
      </c>
    </row>
    <row r="247" spans="1:5" x14ac:dyDescent="0.2">
      <c r="A247" s="588"/>
      <c r="B247" s="592" t="s">
        <v>832</v>
      </c>
      <c r="C247" s="637">
        <f t="shared" si="28"/>
        <v>5706.9535252823234</v>
      </c>
      <c r="D247" s="637">
        <f t="shared" si="28"/>
        <v>5789.4693932382206</v>
      </c>
      <c r="E247" s="639">
        <f t="shared" si="29"/>
        <v>82.515867955897193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4497267.8873454286</v>
      </c>
      <c r="D251" s="622">
        <f>((IF((IF(D15=0,0,D26/D15)*D138)=0,0,D59/(IF(D15=0,0,D26/D15)*D138)))-(IF((IF(D17=0,0,D28/D17)*D140)=0,0,D61/(IF(D17=0,0,D28/D17)*D140))))*(IF(D17=0,0,D28/D17)*D140)</f>
        <v>5905729.4513563858</v>
      </c>
      <c r="E251" s="622">
        <f>D251-C251</f>
        <v>1408461.5640109573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0</v>
      </c>
      <c r="D253" s="622">
        <f>IF(D233=0,0,(D228-D233)*D209+IF(D221=0,0,(D240-D245)*D221))</f>
        <v>0</v>
      </c>
      <c r="E253" s="622">
        <f>D253-C253</f>
        <v>0</v>
      </c>
    </row>
    <row r="254" spans="1:5" ht="15" customHeight="1" x14ac:dyDescent="0.2">
      <c r="A254" s="588"/>
      <c r="B254" s="592" t="s">
        <v>759</v>
      </c>
      <c r="C254" s="640">
        <f>+C251+C252+C253</f>
        <v>4497267.8873454286</v>
      </c>
      <c r="D254" s="640">
        <f>+D251+D252+D253</f>
        <v>5905729.4513563858</v>
      </c>
      <c r="E254" s="640">
        <f>D254-C254</f>
        <v>1408461.5640109573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453092138</v>
      </c>
      <c r="D258" s="625">
        <f>+D44</f>
        <v>444108650</v>
      </c>
      <c r="E258" s="622">
        <f t="shared" ref="E258:E271" si="30">D258-C258</f>
        <v>-8983488</v>
      </c>
    </row>
    <row r="259" spans="1:5" x14ac:dyDescent="0.2">
      <c r="A259" s="588">
        <v>2</v>
      </c>
      <c r="B259" s="587" t="s">
        <v>742</v>
      </c>
      <c r="C259" s="622">
        <f>+(C43-C76)</f>
        <v>226940993</v>
      </c>
      <c r="D259" s="625">
        <f>+(D43-D76)</f>
        <v>230999072</v>
      </c>
      <c r="E259" s="622">
        <f t="shared" si="30"/>
        <v>4058079</v>
      </c>
    </row>
    <row r="260" spans="1:5" x14ac:dyDescent="0.2">
      <c r="A260" s="588">
        <v>3</v>
      </c>
      <c r="B260" s="587" t="s">
        <v>746</v>
      </c>
      <c r="C260" s="622">
        <f>C195</f>
        <v>8538422</v>
      </c>
      <c r="D260" s="622">
        <f>D195</f>
        <v>6304385</v>
      </c>
      <c r="E260" s="622">
        <f t="shared" si="30"/>
        <v>-2234037</v>
      </c>
    </row>
    <row r="261" spans="1:5" x14ac:dyDescent="0.2">
      <c r="A261" s="588">
        <v>4</v>
      </c>
      <c r="B261" s="587" t="s">
        <v>747</v>
      </c>
      <c r="C261" s="622">
        <f>C188</f>
        <v>73463986</v>
      </c>
      <c r="D261" s="622">
        <f>D188</f>
        <v>63377870</v>
      </c>
      <c r="E261" s="622">
        <f t="shared" si="30"/>
        <v>-10086116</v>
      </c>
    </row>
    <row r="262" spans="1:5" x14ac:dyDescent="0.2">
      <c r="A262" s="588">
        <v>5</v>
      </c>
      <c r="B262" s="587" t="s">
        <v>748</v>
      </c>
      <c r="C262" s="622">
        <f>C191</f>
        <v>6062816</v>
      </c>
      <c r="D262" s="622">
        <f>D191</f>
        <v>8040766</v>
      </c>
      <c r="E262" s="622">
        <f t="shared" si="30"/>
        <v>1977950</v>
      </c>
    </row>
    <row r="263" spans="1:5" x14ac:dyDescent="0.2">
      <c r="A263" s="588">
        <v>6</v>
      </c>
      <c r="B263" s="587" t="s">
        <v>749</v>
      </c>
      <c r="C263" s="622">
        <f>+C259+C260+C261+C262</f>
        <v>315006217</v>
      </c>
      <c r="D263" s="622">
        <f>+D259+D260+D261+D262</f>
        <v>308722093</v>
      </c>
      <c r="E263" s="622">
        <f t="shared" si="30"/>
        <v>-6284124</v>
      </c>
    </row>
    <row r="264" spans="1:5" x14ac:dyDescent="0.2">
      <c r="A264" s="588">
        <v>7</v>
      </c>
      <c r="B264" s="587" t="s">
        <v>654</v>
      </c>
      <c r="C264" s="622">
        <f>+C258-C263</f>
        <v>138085921</v>
      </c>
      <c r="D264" s="622">
        <f>+D258-D263</f>
        <v>135386557</v>
      </c>
      <c r="E264" s="622">
        <f t="shared" si="30"/>
        <v>-2699364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138085921</v>
      </c>
      <c r="D266" s="622">
        <f>+D264+D265</f>
        <v>135386557</v>
      </c>
      <c r="E266" s="641">
        <f t="shared" si="30"/>
        <v>-2699364</v>
      </c>
    </row>
    <row r="267" spans="1:5" x14ac:dyDescent="0.2">
      <c r="A267" s="588">
        <v>10</v>
      </c>
      <c r="B267" s="587" t="s">
        <v>837</v>
      </c>
      <c r="C267" s="642">
        <f>IF(C258=0,0,C266/C258)</f>
        <v>0.30476344526640187</v>
      </c>
      <c r="D267" s="642">
        <f>IF(D258=0,0,D266/D258)</f>
        <v>0.3048500789164994</v>
      </c>
      <c r="E267" s="643">
        <f t="shared" si="30"/>
        <v>8.6633650097533987E-5</v>
      </c>
    </row>
    <row r="268" spans="1:5" x14ac:dyDescent="0.2">
      <c r="A268" s="588">
        <v>11</v>
      </c>
      <c r="B268" s="587" t="s">
        <v>716</v>
      </c>
      <c r="C268" s="622">
        <f>+C260*C267</f>
        <v>2602198.9058584417</v>
      </c>
      <c r="D268" s="644">
        <f>+D260*D267</f>
        <v>1921892.2647699951</v>
      </c>
      <c r="E268" s="622">
        <f t="shared" si="30"/>
        <v>-680306.6410884466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7706414.5452553108</v>
      </c>
      <c r="D269" s="644">
        <f>((D17+D18+D28+D29)*D267)-(D50+D51+D61+D62)</f>
        <v>8392972.7052631229</v>
      </c>
      <c r="E269" s="622">
        <f t="shared" si="30"/>
        <v>686558.16000781208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840</v>
      </c>
      <c r="C271" s="622">
        <f>+C268+C269+C270</f>
        <v>10308613.451113753</v>
      </c>
      <c r="D271" s="622">
        <f>+D268+D269+D270</f>
        <v>10314864.970033119</v>
      </c>
      <c r="E271" s="625">
        <f t="shared" si="30"/>
        <v>6251.5189193654805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0.49560933521271339</v>
      </c>
      <c r="D276" s="623">
        <f t="shared" si="31"/>
        <v>0.51787185997325913</v>
      </c>
      <c r="E276" s="650">
        <f t="shared" ref="E276:E284" si="32">D276-C276</f>
        <v>2.2262524760545743E-2</v>
      </c>
    </row>
    <row r="277" spans="1:5" x14ac:dyDescent="0.2">
      <c r="A277" s="588">
        <v>2</v>
      </c>
      <c r="B277" s="587" t="s">
        <v>635</v>
      </c>
      <c r="C277" s="623">
        <f t="shared" si="31"/>
        <v>0.33659580923452043</v>
      </c>
      <c r="D277" s="623">
        <f t="shared" si="31"/>
        <v>0.31586326968345046</v>
      </c>
      <c r="E277" s="650">
        <f t="shared" si="32"/>
        <v>-2.0732539551069962E-2</v>
      </c>
    </row>
    <row r="278" spans="1:5" x14ac:dyDescent="0.2">
      <c r="A278" s="588">
        <v>3</v>
      </c>
      <c r="B278" s="587" t="s">
        <v>777</v>
      </c>
      <c r="C278" s="623">
        <f t="shared" si="31"/>
        <v>0.22000173538079856</v>
      </c>
      <c r="D278" s="623">
        <f t="shared" si="31"/>
        <v>0.23343944237321398</v>
      </c>
      <c r="E278" s="650">
        <f t="shared" si="32"/>
        <v>1.3437706992415421E-2</v>
      </c>
    </row>
    <row r="279" spans="1:5" x14ac:dyDescent="0.2">
      <c r="A279" s="588">
        <v>4</v>
      </c>
      <c r="B279" s="587" t="s">
        <v>115</v>
      </c>
      <c r="C279" s="623">
        <f t="shared" si="31"/>
        <v>0.22000173538079856</v>
      </c>
      <c r="D279" s="623">
        <f t="shared" si="31"/>
        <v>0.23343944237321398</v>
      </c>
      <c r="E279" s="650">
        <f t="shared" si="32"/>
        <v>1.3437706992415421E-2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0.37125675040681833</v>
      </c>
      <c r="D281" s="623">
        <f t="shared" si="31"/>
        <v>0.14681871257856949</v>
      </c>
      <c r="E281" s="650">
        <f t="shared" si="32"/>
        <v>-0.22443803782824884</v>
      </c>
    </row>
    <row r="282" spans="1:5" x14ac:dyDescent="0.2">
      <c r="A282" s="588">
        <v>7</v>
      </c>
      <c r="B282" s="587" t="s">
        <v>758</v>
      </c>
      <c r="C282" s="623">
        <f t="shared" si="31"/>
        <v>0</v>
      </c>
      <c r="D282" s="623">
        <f t="shared" si="31"/>
        <v>0</v>
      </c>
      <c r="E282" s="650">
        <f t="shared" si="32"/>
        <v>0</v>
      </c>
    </row>
    <row r="283" spans="1:5" ht="29.25" customHeight="1" x14ac:dyDescent="0.2">
      <c r="A283" s="588"/>
      <c r="B283" s="592" t="s">
        <v>844</v>
      </c>
      <c r="C283" s="651">
        <f t="shared" si="31"/>
        <v>0.30817707985752163</v>
      </c>
      <c r="D283" s="651">
        <f t="shared" si="31"/>
        <v>0.29336567899093141</v>
      </c>
      <c r="E283" s="652">
        <f t="shared" si="32"/>
        <v>-1.4811400866590219E-2</v>
      </c>
    </row>
    <row r="284" spans="1:5" x14ac:dyDescent="0.2">
      <c r="A284" s="588"/>
      <c r="B284" s="592" t="s">
        <v>845</v>
      </c>
      <c r="C284" s="651">
        <f t="shared" si="31"/>
        <v>0.35607008420349062</v>
      </c>
      <c r="D284" s="651">
        <f t="shared" si="31"/>
        <v>0.34301365213602697</v>
      </c>
      <c r="E284" s="652">
        <f t="shared" si="32"/>
        <v>-1.3056432067463652E-2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0.38502687439413608</v>
      </c>
      <c r="D287" s="623">
        <f t="shared" si="33"/>
        <v>0.3940042091650372</v>
      </c>
      <c r="E287" s="650">
        <f t="shared" ref="E287:E295" si="34">D287-C287</f>
        <v>8.9773347709011242E-3</v>
      </c>
    </row>
    <row r="288" spans="1:5" x14ac:dyDescent="0.2">
      <c r="A288" s="588">
        <v>2</v>
      </c>
      <c r="B288" s="587" t="s">
        <v>635</v>
      </c>
      <c r="C288" s="623">
        <f t="shared" si="33"/>
        <v>0.18148769936529602</v>
      </c>
      <c r="D288" s="623">
        <f t="shared" si="33"/>
        <v>0.20572249492228109</v>
      </c>
      <c r="E288" s="650">
        <f t="shared" si="34"/>
        <v>2.4234795556985073E-2</v>
      </c>
    </row>
    <row r="289" spans="1:5" x14ac:dyDescent="0.2">
      <c r="A289" s="588">
        <v>3</v>
      </c>
      <c r="B289" s="587" t="s">
        <v>777</v>
      </c>
      <c r="C289" s="623">
        <f t="shared" si="33"/>
        <v>0.21863659317051587</v>
      </c>
      <c r="D289" s="623">
        <f t="shared" si="33"/>
        <v>0.21194746788965629</v>
      </c>
      <c r="E289" s="650">
        <f t="shared" si="34"/>
        <v>-6.6891252808595758E-3</v>
      </c>
    </row>
    <row r="290" spans="1:5" x14ac:dyDescent="0.2">
      <c r="A290" s="588">
        <v>4</v>
      </c>
      <c r="B290" s="587" t="s">
        <v>115</v>
      </c>
      <c r="C290" s="623">
        <f t="shared" si="33"/>
        <v>0.21863659317051587</v>
      </c>
      <c r="D290" s="623">
        <f t="shared" si="33"/>
        <v>0.21194746788965629</v>
      </c>
      <c r="E290" s="650">
        <f t="shared" si="34"/>
        <v>-6.6891252808595758E-3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0.11151516246628931</v>
      </c>
      <c r="D292" s="623">
        <f t="shared" si="33"/>
        <v>0.24560089529441645</v>
      </c>
      <c r="E292" s="650">
        <f t="shared" si="34"/>
        <v>0.13408573282812714</v>
      </c>
    </row>
    <row r="293" spans="1:5" x14ac:dyDescent="0.2">
      <c r="A293" s="588">
        <v>7</v>
      </c>
      <c r="B293" s="587" t="s">
        <v>758</v>
      </c>
      <c r="C293" s="623">
        <f t="shared" si="33"/>
        <v>1.1607271946731544E-2</v>
      </c>
      <c r="D293" s="623">
        <f t="shared" si="33"/>
        <v>2.1106166213884156E-2</v>
      </c>
      <c r="E293" s="650">
        <f t="shared" si="34"/>
        <v>9.4988942671526116E-3</v>
      </c>
    </row>
    <row r="294" spans="1:5" ht="29.25" customHeight="1" x14ac:dyDescent="0.2">
      <c r="A294" s="588"/>
      <c r="B294" s="592" t="s">
        <v>847</v>
      </c>
      <c r="C294" s="651">
        <f t="shared" si="33"/>
        <v>0.19368246726233002</v>
      </c>
      <c r="D294" s="651">
        <f t="shared" si="33"/>
        <v>0.20818976363584449</v>
      </c>
      <c r="E294" s="652">
        <f t="shared" si="34"/>
        <v>1.4507296373514472E-2</v>
      </c>
    </row>
    <row r="295" spans="1:5" x14ac:dyDescent="0.2">
      <c r="A295" s="588"/>
      <c r="B295" s="592" t="s">
        <v>848</v>
      </c>
      <c r="C295" s="651">
        <f t="shared" si="33"/>
        <v>0.2680898272100713</v>
      </c>
      <c r="D295" s="651">
        <f t="shared" si="33"/>
        <v>0.27581557379640093</v>
      </c>
      <c r="E295" s="652">
        <f t="shared" si="34"/>
        <v>7.7257465863296293E-3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135968910</v>
      </c>
      <c r="D301" s="590">
        <f>+D48+D47+D50+D51+D52+D59+D58+D61+D62+D63</f>
        <v>133032103</v>
      </c>
      <c r="E301" s="590">
        <f>D301-C301</f>
        <v>-2936807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135968910</v>
      </c>
      <c r="D303" s="593">
        <f>+D301+D302</f>
        <v>133032103</v>
      </c>
      <c r="E303" s="593">
        <f>D303-C303</f>
        <v>-2936807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2007461</v>
      </c>
      <c r="D305" s="654">
        <v>295799</v>
      </c>
      <c r="E305" s="655">
        <f>D305-C305</f>
        <v>-1711662</v>
      </c>
    </row>
    <row r="306" spans="1:5" x14ac:dyDescent="0.2">
      <c r="A306" s="588">
        <v>4</v>
      </c>
      <c r="B306" s="592" t="s">
        <v>855</v>
      </c>
      <c r="C306" s="593">
        <f>+C303+C305+C194+C190-C191</f>
        <v>143434170</v>
      </c>
      <c r="D306" s="593">
        <f>+D303+D305</f>
        <v>133327902</v>
      </c>
      <c r="E306" s="656">
        <f>D306-C306</f>
        <v>-10106268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137976406</v>
      </c>
      <c r="D308" s="589">
        <v>133327930</v>
      </c>
      <c r="E308" s="590">
        <f>D308-C308</f>
        <v>-4648476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5457764</v>
      </c>
      <c r="D310" s="658">
        <f>D306-D308</f>
        <v>-28</v>
      </c>
      <c r="E310" s="656">
        <f>D310-C310</f>
        <v>-5457792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453092138</v>
      </c>
      <c r="D314" s="590">
        <f>+D14+D15+D16+D19+D25+D26+D27+D30</f>
        <v>444108650</v>
      </c>
      <c r="E314" s="590">
        <f>D314-C314</f>
        <v>-8983488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453092138</v>
      </c>
      <c r="D316" s="657">
        <f>D314+D315</f>
        <v>444108650</v>
      </c>
      <c r="E316" s="593">
        <f>D316-C316</f>
        <v>-8983488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453092171</v>
      </c>
      <c r="D318" s="589">
        <v>444108678</v>
      </c>
      <c r="E318" s="590">
        <f>D318-C318</f>
        <v>-8983493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-33</v>
      </c>
      <c r="D320" s="657">
        <f>D316-D318</f>
        <v>-28</v>
      </c>
      <c r="E320" s="593">
        <f>D320-C320</f>
        <v>5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8538422</v>
      </c>
      <c r="D324" s="589">
        <f>+D193+D194</f>
        <v>6304385</v>
      </c>
      <c r="E324" s="590">
        <f>D324-C324</f>
        <v>-2234037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8538422</v>
      </c>
      <c r="D326" s="657">
        <f>D324+D325</f>
        <v>6304385</v>
      </c>
      <c r="E326" s="593">
        <f>D326-C326</f>
        <v>-2234037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8538422</v>
      </c>
      <c r="D328" s="589">
        <v>6304385</v>
      </c>
      <c r="E328" s="590">
        <f>D328-C328</f>
        <v>-2234037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FILING&amp;RBRISTOL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34686289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89030643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32931847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32931847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201255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1368087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122163745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156850034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104545675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116531165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65028189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65028189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1153587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5132339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182712941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287258616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139231964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304876686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444108650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17963053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28121510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7687592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7687592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29548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35838650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53801703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41191436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23973082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13782560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13782560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283322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108324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38038964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79230400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59154489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73877614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133032103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1833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3380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1840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1840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102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5238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7071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0.99299999999999999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1.2741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0.93630000000000013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0.93630000000000002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0.62180000000000002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1.1252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1.1531963344788088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1.1116689859991515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129119183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65741313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63377870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0.49084782390545328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9490766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8040766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4092111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2212274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6304385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3838007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136633273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133032103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133032103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295799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133327902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133327930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-28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444108650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444108650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444108678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-28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6304385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6304385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6304385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FILING&amp;RBRISTOL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4645</v>
      </c>
      <c r="D12" s="185">
        <v>3760</v>
      </c>
      <c r="E12" s="185">
        <f>+D12-C12</f>
        <v>-885</v>
      </c>
      <c r="F12" s="77">
        <f>IF(C12=0,0,+E12/C12)</f>
        <v>-0.19052744886975242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4645</v>
      </c>
      <c r="D13" s="185">
        <v>3760</v>
      </c>
      <c r="E13" s="185">
        <f>+D13-C13</f>
        <v>-885</v>
      </c>
      <c r="F13" s="77">
        <f>IF(C13=0,0,+E13/C13)</f>
        <v>-0.19052744886975242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4530623</v>
      </c>
      <c r="D15" s="76">
        <v>4092111</v>
      </c>
      <c r="E15" s="76">
        <f>+D15-C15</f>
        <v>-438512</v>
      </c>
      <c r="F15" s="77">
        <f>IF(C15=0,0,+E15/C15)</f>
        <v>-9.6788454921100261E-2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975.37631862217438</v>
      </c>
      <c r="D16" s="79">
        <f>IF(D13=0,0,+D15/+D13)</f>
        <v>1088.3273936170212</v>
      </c>
      <c r="E16" s="79">
        <f>+D16-C16</f>
        <v>112.95107499484686</v>
      </c>
      <c r="F16" s="80">
        <f>IF(C16=0,0,+E16/C16)</f>
        <v>0.11580256034348117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0.30027700000000002</v>
      </c>
      <c r="D18" s="704">
        <v>0.30876900000000002</v>
      </c>
      <c r="E18" s="704">
        <f>+D18-C18</f>
        <v>8.4919999999999995E-3</v>
      </c>
      <c r="F18" s="77">
        <f>IF(C18=0,0,+E18/C18)</f>
        <v>2.8280554288207218E-2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1360441.8825710001</v>
      </c>
      <c r="D19" s="79">
        <f>+D15*D18</f>
        <v>1263517.0213590001</v>
      </c>
      <c r="E19" s="79">
        <f>+D19-C19</f>
        <v>-96924.861212000018</v>
      </c>
      <c r="F19" s="80">
        <f>IF(C19=0,0,+E19/C19)</f>
        <v>-7.124513178676091E-2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292.88307482691067</v>
      </c>
      <c r="D20" s="79">
        <f>IF(D13=0,0,+D19/D13)</f>
        <v>336.04176099973409</v>
      </c>
      <c r="E20" s="79">
        <f>+D20-C20</f>
        <v>43.158686172823423</v>
      </c>
      <c r="F20" s="80">
        <f>IF(C20=0,0,+E20/C20)</f>
        <v>0.14735807522619576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639737</v>
      </c>
      <c r="D22" s="76">
        <v>1005876</v>
      </c>
      <c r="E22" s="76">
        <f>+D22-C22</f>
        <v>366139</v>
      </c>
      <c r="F22" s="77">
        <f>IF(C22=0,0,+E22/C22)</f>
        <v>0.57232737828201274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1033982</v>
      </c>
      <c r="D23" s="185">
        <v>915255</v>
      </c>
      <c r="E23" s="185">
        <f>+D23-C23</f>
        <v>-118727</v>
      </c>
      <c r="F23" s="77">
        <f>IF(C23=0,0,+E23/C23)</f>
        <v>-0.11482501629622179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2856904</v>
      </c>
      <c r="D24" s="185">
        <v>2170980</v>
      </c>
      <c r="E24" s="185">
        <f>+D24-C24</f>
        <v>-685924</v>
      </c>
      <c r="F24" s="77">
        <f>IF(C24=0,0,+E24/C24)</f>
        <v>-0.24009347181424368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4530623</v>
      </c>
      <c r="D25" s="79">
        <f>+D22+D23+D24</f>
        <v>4092111</v>
      </c>
      <c r="E25" s="79">
        <f>+E22+E23+E24</f>
        <v>-438512</v>
      </c>
      <c r="F25" s="80">
        <f>IF(C25=0,0,+E25/C25)</f>
        <v>-9.6788454921100261E-2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149</v>
      </c>
      <c r="D27" s="185">
        <v>185</v>
      </c>
      <c r="E27" s="185">
        <f>+D27-C27</f>
        <v>36</v>
      </c>
      <c r="F27" s="77">
        <f>IF(C27=0,0,+E27/C27)</f>
        <v>0.24161073825503357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48</v>
      </c>
      <c r="D28" s="185">
        <v>50</v>
      </c>
      <c r="E28" s="185">
        <f>+D28-C28</f>
        <v>2</v>
      </c>
      <c r="F28" s="77">
        <f>IF(C28=0,0,+E28/C28)</f>
        <v>4.1666666666666664E-2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2674</v>
      </c>
      <c r="D29" s="185">
        <v>2114</v>
      </c>
      <c r="E29" s="185">
        <f>+D29-C29</f>
        <v>-560</v>
      </c>
      <c r="F29" s="77">
        <f>IF(C29=0,0,+E29/C29)</f>
        <v>-0.20942408376963351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1774</v>
      </c>
      <c r="D30" s="185">
        <v>1495</v>
      </c>
      <c r="E30" s="185">
        <f>+D30-C30</f>
        <v>-279</v>
      </c>
      <c r="F30" s="77">
        <f>IF(C30=0,0,+E30/C30)</f>
        <v>-0.15727170236753099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1221777</v>
      </c>
      <c r="D33" s="76">
        <v>674412</v>
      </c>
      <c r="E33" s="76">
        <f>+D33-C33</f>
        <v>-547365</v>
      </c>
      <c r="F33" s="77">
        <f>IF(C33=0,0,+E33/C33)</f>
        <v>-0.44800728774563608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2644346</v>
      </c>
      <c r="D34" s="185">
        <v>1459658</v>
      </c>
      <c r="E34" s="185">
        <f>+D34-C34</f>
        <v>-1184688</v>
      </c>
      <c r="F34" s="77">
        <f>IF(C34=0,0,+E34/C34)</f>
        <v>-0.44800793844678422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141676</v>
      </c>
      <c r="D35" s="185">
        <v>78204</v>
      </c>
      <c r="E35" s="185">
        <f>+D35-C35</f>
        <v>-63472</v>
      </c>
      <c r="F35" s="77">
        <f>IF(C35=0,0,+E35/C35)</f>
        <v>-0.44800813122900141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4007799</v>
      </c>
      <c r="D36" s="79">
        <f>+D33+D34+D35</f>
        <v>2212274</v>
      </c>
      <c r="E36" s="79">
        <f>+E33+E34+E35</f>
        <v>-1795525</v>
      </c>
      <c r="F36" s="80">
        <f>IF(C36=0,0,+E36/C36)</f>
        <v>-0.4480077468954905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4530623</v>
      </c>
      <c r="D39" s="76">
        <f>+D25</f>
        <v>4092111</v>
      </c>
      <c r="E39" s="76">
        <f>+D39-C39</f>
        <v>-438512</v>
      </c>
      <c r="F39" s="77">
        <f>IF(C39=0,0,+E39/C39)</f>
        <v>-9.6788454921100261E-2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4007799</v>
      </c>
      <c r="D40" s="185">
        <f>+D36</f>
        <v>2212274</v>
      </c>
      <c r="E40" s="185">
        <f>+D40-C40</f>
        <v>-1795525</v>
      </c>
      <c r="F40" s="77">
        <f>IF(C40=0,0,+E40/C40)</f>
        <v>-0.4480077468954905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8538422</v>
      </c>
      <c r="D41" s="79">
        <f>+D39+D40</f>
        <v>6304385</v>
      </c>
      <c r="E41" s="79">
        <f>+E39+E40</f>
        <v>-2234037</v>
      </c>
      <c r="F41" s="80">
        <f>IF(C41=0,0,+E41/C41)</f>
        <v>-0.26164518455517893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1861514</v>
      </c>
      <c r="D43" s="76">
        <f t="shared" si="0"/>
        <v>1680288</v>
      </c>
      <c r="E43" s="76">
        <f>+D43-C43</f>
        <v>-181226</v>
      </c>
      <c r="F43" s="77">
        <f>IF(C43=0,0,+E43/C43)</f>
        <v>-9.7354089198362193E-2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3678328</v>
      </c>
      <c r="D44" s="185">
        <f t="shared" si="0"/>
        <v>2374913</v>
      </c>
      <c r="E44" s="185">
        <f>+D44-C44</f>
        <v>-1303415</v>
      </c>
      <c r="F44" s="77">
        <f>IF(C44=0,0,+E44/C44)</f>
        <v>-0.35434985678275566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2998580</v>
      </c>
      <c r="D45" s="185">
        <f t="shared" si="0"/>
        <v>2249184</v>
      </c>
      <c r="E45" s="185">
        <f>+D45-C45</f>
        <v>-749396</v>
      </c>
      <c r="F45" s="77">
        <f>IF(C45=0,0,+E45/C45)</f>
        <v>-0.24991696069472885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8538422</v>
      </c>
      <c r="D46" s="79">
        <f>+D43+D44+D45</f>
        <v>6304385</v>
      </c>
      <c r="E46" s="79">
        <f>+E43+E44+E45</f>
        <v>-2234037</v>
      </c>
      <c r="F46" s="80">
        <f>IF(C46=0,0,+E46/C46)</f>
        <v>-0.26164518455517893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FILING&amp;RBRISTOL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142326436</v>
      </c>
      <c r="D15" s="76">
        <v>129119183</v>
      </c>
      <c r="E15" s="76">
        <f>+D15-C15</f>
        <v>-13207253</v>
      </c>
      <c r="F15" s="77">
        <f>IF(C15=0,0,E15/C15)</f>
        <v>-9.2795501462567362E-2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73463986</v>
      </c>
      <c r="D17" s="76">
        <v>63377870</v>
      </c>
      <c r="E17" s="76">
        <f>+D17-C17</f>
        <v>-10086116</v>
      </c>
      <c r="F17" s="77">
        <f>IF(C17=0,0,E17/C17)</f>
        <v>-0.13729333989582324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68862450</v>
      </c>
      <c r="D19" s="79">
        <f>+D15-D17</f>
        <v>65741313</v>
      </c>
      <c r="E19" s="79">
        <f>+D19-C19</f>
        <v>-3121137</v>
      </c>
      <c r="F19" s="80">
        <f>IF(C19=0,0,E19/C19)</f>
        <v>-4.532422241729709E-2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0.51616542973084778</v>
      </c>
      <c r="D21" s="720">
        <f>IF(D15=0,0,D17/D15)</f>
        <v>0.49084782390545328</v>
      </c>
      <c r="E21" s="720">
        <f>+D21-C21</f>
        <v>-2.5317605825394496E-2</v>
      </c>
      <c r="F21" s="80">
        <f>IF(C21=0,0,E21/C21)</f>
        <v>-4.9049402317772911E-2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FILING&amp;R&amp;12BRISTOL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75" zoomScaleNormal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161442217</v>
      </c>
      <c r="D10" s="744">
        <v>164804213</v>
      </c>
      <c r="E10" s="744">
        <v>156850034</v>
      </c>
    </row>
    <row r="11" spans="1:6" ht="26.1" customHeight="1" x14ac:dyDescent="0.25">
      <c r="A11" s="742">
        <v>2</v>
      </c>
      <c r="B11" s="743" t="s">
        <v>932</v>
      </c>
      <c r="C11" s="744">
        <v>266262398</v>
      </c>
      <c r="D11" s="744">
        <v>288287925</v>
      </c>
      <c r="E11" s="744">
        <v>287258616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427704615</v>
      </c>
      <c r="D12" s="744">
        <f>+D11+D10</f>
        <v>453092138</v>
      </c>
      <c r="E12" s="744">
        <f>+E11+E10</f>
        <v>444108650</v>
      </c>
    </row>
    <row r="13" spans="1:6" ht="26.1" customHeight="1" x14ac:dyDescent="0.25">
      <c r="A13" s="742">
        <v>4</v>
      </c>
      <c r="B13" s="743" t="s">
        <v>507</v>
      </c>
      <c r="C13" s="744">
        <v>126808091</v>
      </c>
      <c r="D13" s="744">
        <v>137976406</v>
      </c>
      <c r="E13" s="744">
        <v>133327930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129703674</v>
      </c>
      <c r="D16" s="744">
        <v>141228949</v>
      </c>
      <c r="E16" s="744">
        <v>136633273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29710</v>
      </c>
      <c r="D19" s="747">
        <v>29830</v>
      </c>
      <c r="E19" s="747">
        <v>28080</v>
      </c>
    </row>
    <row r="20" spans="1:5" ht="26.1" customHeight="1" x14ac:dyDescent="0.25">
      <c r="A20" s="742">
        <v>2</v>
      </c>
      <c r="B20" s="743" t="s">
        <v>381</v>
      </c>
      <c r="C20" s="748">
        <v>7448</v>
      </c>
      <c r="D20" s="748">
        <v>7349</v>
      </c>
      <c r="E20" s="748">
        <v>7071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3.9889903329752956</v>
      </c>
      <c r="D21" s="749">
        <f>IF(D20=0,0,+D19/D20)</f>
        <v>4.0590556538304527</v>
      </c>
      <c r="E21" s="749">
        <f>IF(E20=0,0,+E19/E20)</f>
        <v>3.9711497666525246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78709.920786395058</v>
      </c>
      <c r="D22" s="748">
        <f>IF(D10=0,0,D19*(D12/D10))</f>
        <v>82010.879640194631</v>
      </c>
      <c r="E22" s="748">
        <f>IF(E10=0,0,E19*(E12/E10))</f>
        <v>79506.332092985074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19731.790306868745</v>
      </c>
      <c r="D23" s="748">
        <f>IF(D10=0,0,D20*(D12/D10))</f>
        <v>20204.423549305746</v>
      </c>
      <c r="E23" s="748">
        <f>IF(E10=0,0,E20*(E12/E10))</f>
        <v>20020.985549483528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1.1161301020408163</v>
      </c>
      <c r="D26" s="750">
        <v>1.141638236494761</v>
      </c>
      <c r="E26" s="750">
        <v>1.1116689859991515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33160.225331632653</v>
      </c>
      <c r="D27" s="748">
        <f>D19*D26</f>
        <v>34055.068594638724</v>
      </c>
      <c r="E27" s="748">
        <f>E19*E26</f>
        <v>31215.665126856176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8312.9369999999999</v>
      </c>
      <c r="D28" s="748">
        <f>D20*D26</f>
        <v>8389.8993999999984</v>
      </c>
      <c r="E28" s="748">
        <f>E20*E26</f>
        <v>7860.6114000000007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87850.511918943681</v>
      </c>
      <c r="D29" s="748">
        <f>D22*D26</f>
        <v>93626.7560058159</v>
      </c>
      <c r="E29" s="748">
        <f>E22*E26</f>
        <v>88384.723578320511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22023.245128653401</v>
      </c>
      <c r="D30" s="748">
        <f>D23*D26</f>
        <v>23066.142470222632</v>
      </c>
      <c r="E30" s="748">
        <f>E23*E26</f>
        <v>22256.708704498018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14395.981656008078</v>
      </c>
      <c r="D33" s="744">
        <f>IF(D19=0,0,D12/D19)</f>
        <v>15189.143077438819</v>
      </c>
      <c r="E33" s="744">
        <f>IF(E19=0,0,E12/E19)</f>
        <v>15815.835113960115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57425.431659505906</v>
      </c>
      <c r="D34" s="744">
        <f>IF(D20=0,0,D12/D20)</f>
        <v>61653.577085317731</v>
      </c>
      <c r="E34" s="744">
        <f>IF(E20=0,0,E12/E20)</f>
        <v>62807.049922217506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5433.9352743184108</v>
      </c>
      <c r="D35" s="744">
        <f>IF(D22=0,0,D12/D22)</f>
        <v>5524.7808581964464</v>
      </c>
      <c r="E35" s="744">
        <f>IF(E22=0,0,E12/E22)</f>
        <v>5585.8274216524214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21675.9152792696</v>
      </c>
      <c r="D36" s="744">
        <f>IF(D23=0,0,D12/D23)</f>
        <v>22425.392978636548</v>
      </c>
      <c r="E36" s="744">
        <f>IF(E23=0,0,E12/E23)</f>
        <v>22182.157262056284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4868.5500591576147</v>
      </c>
      <c r="D37" s="744">
        <f>IF(D29=0,0,D12/D29)</f>
        <v>4839.3446203759841</v>
      </c>
      <c r="E37" s="744">
        <f>IF(E29=0,0,E12/E29)</f>
        <v>5024.7218299716833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19420.599121586027</v>
      </c>
      <c r="D38" s="744">
        <f>IF(D30=0,0,D12/D30)</f>
        <v>19643.169142171122</v>
      </c>
      <c r="E38" s="744">
        <f>IF(E30=0,0,E12/E30)</f>
        <v>19953.922922585894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2051.1037920890035</v>
      </c>
      <c r="D39" s="744">
        <f>IF(D22=0,0,D10/D22)</f>
        <v>2009.5408526654462</v>
      </c>
      <c r="E39" s="744">
        <f>IF(E22=0,0,E10/E22)</f>
        <v>1972.7992710889885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8181.833198572006</v>
      </c>
      <c r="D40" s="744">
        <f>IF(D23=0,0,D10/D23)</f>
        <v>8156.8381596149484</v>
      </c>
      <c r="E40" s="744">
        <f>IF(E23=0,0,E10/E23)</f>
        <v>7834.2813650373064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4268.1955907101983</v>
      </c>
      <c r="D43" s="744">
        <f>IF(D19=0,0,D13/D19)</f>
        <v>4625.4242708682532</v>
      </c>
      <c r="E43" s="744">
        <f>IF(E19=0,0,E13/E19)</f>
        <v>4748.145655270655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17025.790950590763</v>
      </c>
      <c r="D44" s="744">
        <f>IF(D20=0,0,D13/D20)</f>
        <v>18774.854538032385</v>
      </c>
      <c r="E44" s="744">
        <f>IF(E20=0,0,E13/E20)</f>
        <v>18855.597510960259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1611.0814206526131</v>
      </c>
      <c r="D45" s="744">
        <f>IF(D22=0,0,D13/D22)</f>
        <v>1682.4158770804834</v>
      </c>
      <c r="E45" s="744">
        <f>IF(E22=0,0,E13/E22)</f>
        <v>1676.9473133796303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6426.5882126193792</v>
      </c>
      <c r="D46" s="744">
        <f>IF(D23=0,0,D13/D23)</f>
        <v>6829.0196779576554</v>
      </c>
      <c r="E46" s="744">
        <f>IF(E23=0,0,E13/E23)</f>
        <v>6659.4089322160962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1443.4530685148538</v>
      </c>
      <c r="D47" s="744">
        <f>IF(D29=0,0,D13/D29)</f>
        <v>1473.6856416495857</v>
      </c>
      <c r="E47" s="744">
        <f>IF(E29=0,0,E13/E29)</f>
        <v>1508.4951856171604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5757.9203364092782</v>
      </c>
      <c r="D48" s="744">
        <f>IF(D30=0,0,D13/D30)</f>
        <v>5981.7720357065091</v>
      </c>
      <c r="E48" s="744">
        <f>IF(E30=0,0,E13/E30)</f>
        <v>5990.4603043600428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4365.6571524739147</v>
      </c>
      <c r="D51" s="744">
        <f>IF(D19=0,0,D16/D19)</f>
        <v>4734.4602413677503</v>
      </c>
      <c r="E51" s="744">
        <f>IF(E19=0,0,E16/E19)</f>
        <v>4865.8573005698008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17414.564178302899</v>
      </c>
      <c r="D52" s="744">
        <f>IF(D20=0,0,D16/D20)</f>
        <v>19217.43761055926</v>
      </c>
      <c r="E52" s="744">
        <f>IF(E20=0,0,E16/E20)</f>
        <v>19323.048083722246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1647.869451577687</v>
      </c>
      <c r="D53" s="744">
        <f>IF(D22=0,0,D16/D22)</f>
        <v>1722.0757735999432</v>
      </c>
      <c r="E53" s="744">
        <f>IF(E22=0,0,E16/E22)</f>
        <v>1718.5206436161993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6573.3353123486941</v>
      </c>
      <c r="D54" s="744">
        <f>IF(D23=0,0,D16/D23)</f>
        <v>6990.0014051552998</v>
      </c>
      <c r="E54" s="744">
        <f>IF(E23=0,0,E16/E23)</f>
        <v>6824.5028528840157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1476.4134114514054</v>
      </c>
      <c r="D55" s="744">
        <f>IF(D29=0,0,D16/D29)</f>
        <v>1508.4251022349547</v>
      </c>
      <c r="E55" s="744">
        <f>IF(E29=0,0,E16/E29)</f>
        <v>1545.892406156873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5889.3988257547335</v>
      </c>
      <c r="D56" s="744">
        <f>IF(D30=0,0,D16/D30)</f>
        <v>6122.7814396065714</v>
      </c>
      <c r="E56" s="744">
        <f>IF(E30=0,0,E16/E30)</f>
        <v>6138.9702679797756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21078367</v>
      </c>
      <c r="D59" s="752">
        <v>22096741</v>
      </c>
      <c r="E59" s="752">
        <v>22908235</v>
      </c>
    </row>
    <row r="60" spans="1:6" ht="26.1" customHeight="1" x14ac:dyDescent="0.25">
      <c r="A60" s="742">
        <v>2</v>
      </c>
      <c r="B60" s="743" t="s">
        <v>968</v>
      </c>
      <c r="C60" s="752">
        <v>5707940</v>
      </c>
      <c r="D60" s="752">
        <v>6023785</v>
      </c>
      <c r="E60" s="752">
        <v>5723680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26786307</v>
      </c>
      <c r="D61" s="755">
        <f>D59+D60</f>
        <v>28120526</v>
      </c>
      <c r="E61" s="755">
        <f>E59+E60</f>
        <v>28631915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348650</v>
      </c>
      <c r="D64" s="744">
        <v>380804</v>
      </c>
      <c r="E64" s="752">
        <v>499496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94413</v>
      </c>
      <c r="D65" s="752">
        <v>103811</v>
      </c>
      <c r="E65" s="752">
        <v>124800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443063</v>
      </c>
      <c r="D66" s="757">
        <f>D64+D65</f>
        <v>484615</v>
      </c>
      <c r="E66" s="757">
        <f>E64+E65</f>
        <v>624296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33298451</v>
      </c>
      <c r="D69" s="752">
        <v>35401998</v>
      </c>
      <c r="E69" s="752">
        <v>33579398</v>
      </c>
    </row>
    <row r="70" spans="1:6" ht="26.1" customHeight="1" x14ac:dyDescent="0.25">
      <c r="A70" s="742">
        <v>2</v>
      </c>
      <c r="B70" s="743" t="s">
        <v>976</v>
      </c>
      <c r="C70" s="752">
        <v>9017091</v>
      </c>
      <c r="D70" s="752">
        <v>9650926</v>
      </c>
      <c r="E70" s="752">
        <v>8389897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42315542</v>
      </c>
      <c r="D71" s="755">
        <f>D69+D70</f>
        <v>45052924</v>
      </c>
      <c r="E71" s="755">
        <f>E69+E70</f>
        <v>41969295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54725468</v>
      </c>
      <c r="D75" s="744">
        <f t="shared" si="0"/>
        <v>57879543</v>
      </c>
      <c r="E75" s="744">
        <f t="shared" si="0"/>
        <v>56987129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14819444</v>
      </c>
      <c r="D76" s="744">
        <f t="shared" si="0"/>
        <v>15778522</v>
      </c>
      <c r="E76" s="744">
        <f t="shared" si="0"/>
        <v>14238377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69544912</v>
      </c>
      <c r="D77" s="757">
        <f>D75+D76</f>
        <v>73658065</v>
      </c>
      <c r="E77" s="757">
        <f>E75+E76</f>
        <v>71225506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226</v>
      </c>
      <c r="D80" s="749">
        <v>235.5</v>
      </c>
      <c r="E80" s="749">
        <v>205.4</v>
      </c>
    </row>
    <row r="81" spans="1:5" ht="26.1" customHeight="1" x14ac:dyDescent="0.25">
      <c r="A81" s="742">
        <v>2</v>
      </c>
      <c r="B81" s="743" t="s">
        <v>617</v>
      </c>
      <c r="C81" s="749">
        <v>1.6</v>
      </c>
      <c r="D81" s="749">
        <v>1.2</v>
      </c>
      <c r="E81" s="749">
        <v>1.7</v>
      </c>
    </row>
    <row r="82" spans="1:5" ht="26.1" customHeight="1" x14ac:dyDescent="0.25">
      <c r="A82" s="742">
        <v>3</v>
      </c>
      <c r="B82" s="743" t="s">
        <v>982</v>
      </c>
      <c r="C82" s="749">
        <v>627.4</v>
      </c>
      <c r="D82" s="749">
        <v>659.2</v>
      </c>
      <c r="E82" s="749">
        <v>636.79999999999995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855</v>
      </c>
      <c r="D83" s="759">
        <f>D80+D81+D82</f>
        <v>895.90000000000009</v>
      </c>
      <c r="E83" s="759">
        <f>E80+E81+E82</f>
        <v>843.9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93267.110619469022</v>
      </c>
      <c r="D86" s="752">
        <f>IF(D80=0,0,D59/D80)</f>
        <v>93829.048832271757</v>
      </c>
      <c r="E86" s="752">
        <f>IF(E80=0,0,E59/E80)</f>
        <v>111529.86854917234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25256.371681415931</v>
      </c>
      <c r="D87" s="752">
        <f>IF(D80=0,0,D60/D80)</f>
        <v>25578.704883227176</v>
      </c>
      <c r="E87" s="752">
        <f>IF(E80=0,0,E60/E80)</f>
        <v>27866.017526777021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118523.48230088495</v>
      </c>
      <c r="D88" s="755">
        <f>+D86+D87</f>
        <v>119407.75371549893</v>
      </c>
      <c r="E88" s="755">
        <f>+E86+E87</f>
        <v>139395.88607594935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217906.25</v>
      </c>
      <c r="D91" s="744">
        <f>IF(D81=0,0,D64/D81)</f>
        <v>317336.66666666669</v>
      </c>
      <c r="E91" s="744">
        <f>IF(E81=0,0,E64/E81)</f>
        <v>293821.17647058825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59008.125</v>
      </c>
      <c r="D92" s="744">
        <f>IF(D81=0,0,D65/D81)</f>
        <v>86509.166666666672</v>
      </c>
      <c r="E92" s="744">
        <f>IF(E81=0,0,E65/E81)</f>
        <v>73411.76470588235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276914.375</v>
      </c>
      <c r="D93" s="757">
        <f>+D91+D92</f>
        <v>403845.83333333337</v>
      </c>
      <c r="E93" s="757">
        <f>+E91+E92</f>
        <v>367232.9411764706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53073.718520879826</v>
      </c>
      <c r="D96" s="752">
        <f>IF(D82=0,0,D69/D82)</f>
        <v>53704.487257281551</v>
      </c>
      <c r="E96" s="752">
        <f>IF(E82=0,0,E69/E82)</f>
        <v>52731.466708542721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14372.156518967167</v>
      </c>
      <c r="D97" s="752">
        <f>IF(D82=0,0,D70/D82)</f>
        <v>14640.36104368932</v>
      </c>
      <c r="E97" s="752">
        <f>IF(E82=0,0,E70/E82)</f>
        <v>13175.089510050253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67445.875039846986</v>
      </c>
      <c r="D98" s="757">
        <f>+D96+D97</f>
        <v>68344.848300970873</v>
      </c>
      <c r="E98" s="757">
        <f>+E96+E97</f>
        <v>65906.556218592974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64006.395321637428</v>
      </c>
      <c r="D101" s="744">
        <f>IF(D83=0,0,D75/D83)</f>
        <v>64604.914611005683</v>
      </c>
      <c r="E101" s="744">
        <f>IF(E83=0,0,E75/E83)</f>
        <v>67528.296006635865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17332.683040935673</v>
      </c>
      <c r="D102" s="761">
        <f>IF(D83=0,0,D76/D83)</f>
        <v>17611.92320571492</v>
      </c>
      <c r="E102" s="761">
        <f>IF(E83=0,0,E76/E83)</f>
        <v>16872.113994549116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81339.078362573098</v>
      </c>
      <c r="D103" s="757">
        <f>+D101+D102</f>
        <v>82216.837816720596</v>
      </c>
      <c r="E103" s="757">
        <f>+E101+E102</f>
        <v>84400.410001184981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2340.791383372602</v>
      </c>
      <c r="D108" s="744">
        <f>IF(D19=0,0,D77/D19)</f>
        <v>2469.2613141133088</v>
      </c>
      <c r="E108" s="744">
        <f>IF(E19=0,0,E77/E19)</f>
        <v>2536.5208689458691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9337.394199785178</v>
      </c>
      <c r="D109" s="744">
        <f>IF(D20=0,0,D77/D20)</f>
        <v>10022.869097836441</v>
      </c>
      <c r="E109" s="744">
        <f>IF(E20=0,0,E77/E20)</f>
        <v>10072.904256823645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883.55967462770946</v>
      </c>
      <c r="D110" s="744">
        <f>IF(D22=0,0,D77/D22)</f>
        <v>898.14992014668258</v>
      </c>
      <c r="E110" s="744">
        <f>IF(E22=0,0,E77/E22)</f>
        <v>895.84696117913734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3524.5110006967302</v>
      </c>
      <c r="D111" s="744">
        <f>IF(D23=0,0,D77/D23)</f>
        <v>3645.6405113587616</v>
      </c>
      <c r="E111" s="744">
        <f>IF(E23=0,0,E77/E23)</f>
        <v>3557.5424508429041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791.62785145937949</v>
      </c>
      <c r="D112" s="744">
        <f>IF(D29=0,0,D77/D29)</f>
        <v>786.72025115795441</v>
      </c>
      <c r="E112" s="744">
        <f>IF(E29=0,0,E77/E29)</f>
        <v>805.85765408752809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3157.7958467854678</v>
      </c>
      <c r="D113" s="744">
        <f>IF(D30=0,0,D77/D30)</f>
        <v>3193.3412834456085</v>
      </c>
      <c r="E113" s="744">
        <f>IF(E30=0,0,E77/E30)</f>
        <v>3200.1814349848378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FILING&amp;R&amp;"Arial,Bold"&amp;12BRISTOL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4"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453092171</v>
      </c>
      <c r="D12" s="76">
        <v>444108678</v>
      </c>
      <c r="E12" s="76">
        <f t="shared" ref="E12:E21" si="0">D12-C12</f>
        <v>-8983493</v>
      </c>
      <c r="F12" s="77">
        <f t="shared" ref="F12:F21" si="1">IF(C12=0,0,E12/C12)</f>
        <v>-1.9827076199910768E-2</v>
      </c>
    </row>
    <row r="13" spans="1:8" ht="23.1" customHeight="1" x14ac:dyDescent="0.2">
      <c r="A13" s="74">
        <v>2</v>
      </c>
      <c r="B13" s="75" t="s">
        <v>72</v>
      </c>
      <c r="C13" s="76">
        <v>306577343</v>
      </c>
      <c r="D13" s="76">
        <v>304476363</v>
      </c>
      <c r="E13" s="76">
        <f t="shared" si="0"/>
        <v>-2100980</v>
      </c>
      <c r="F13" s="77">
        <f t="shared" si="1"/>
        <v>-6.8530178370030427E-3</v>
      </c>
    </row>
    <row r="14" spans="1:8" ht="23.1" customHeight="1" x14ac:dyDescent="0.2">
      <c r="A14" s="74">
        <v>3</v>
      </c>
      <c r="B14" s="75" t="s">
        <v>73</v>
      </c>
      <c r="C14" s="76">
        <v>4530623</v>
      </c>
      <c r="D14" s="76">
        <v>4092111</v>
      </c>
      <c r="E14" s="76">
        <f t="shared" si="0"/>
        <v>-438512</v>
      </c>
      <c r="F14" s="77">
        <f t="shared" si="1"/>
        <v>-9.6788454921100261E-2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141984205</v>
      </c>
      <c r="D16" s="79">
        <f>D12-D13-D14-D15</f>
        <v>135540204</v>
      </c>
      <c r="E16" s="79">
        <f t="shared" si="0"/>
        <v>-6444001</v>
      </c>
      <c r="F16" s="80">
        <f t="shared" si="1"/>
        <v>-4.5385337052103791E-2</v>
      </c>
    </row>
    <row r="17" spans="1:7" ht="23.1" customHeight="1" x14ac:dyDescent="0.2">
      <c r="A17" s="74">
        <v>5</v>
      </c>
      <c r="B17" s="75" t="s">
        <v>76</v>
      </c>
      <c r="C17" s="76">
        <v>4007799</v>
      </c>
      <c r="D17" s="76">
        <v>2212274</v>
      </c>
      <c r="E17" s="76">
        <f t="shared" si="0"/>
        <v>-1795525</v>
      </c>
      <c r="F17" s="77">
        <f t="shared" si="1"/>
        <v>-0.4480077468954905</v>
      </c>
      <c r="G17" s="65"/>
    </row>
    <row r="18" spans="1:7" ht="31.5" customHeight="1" x14ac:dyDescent="0.25">
      <c r="A18" s="71"/>
      <c r="B18" s="81" t="s">
        <v>77</v>
      </c>
      <c r="C18" s="79">
        <f>C16-C17</f>
        <v>137976406</v>
      </c>
      <c r="D18" s="79">
        <f>D16-D17</f>
        <v>133327930</v>
      </c>
      <c r="E18" s="79">
        <f t="shared" si="0"/>
        <v>-4648476</v>
      </c>
      <c r="F18" s="80">
        <f t="shared" si="1"/>
        <v>-3.3690368772179791E-2</v>
      </c>
    </row>
    <row r="19" spans="1:7" ht="23.1" customHeight="1" x14ac:dyDescent="0.2">
      <c r="A19" s="74">
        <v>6</v>
      </c>
      <c r="B19" s="75" t="s">
        <v>78</v>
      </c>
      <c r="C19" s="76">
        <v>4301391</v>
      </c>
      <c r="D19" s="76">
        <v>3838007</v>
      </c>
      <c r="E19" s="76">
        <f t="shared" si="0"/>
        <v>-463384</v>
      </c>
      <c r="F19" s="77">
        <f t="shared" si="1"/>
        <v>-0.10772887189283653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142277797</v>
      </c>
      <c r="D21" s="79">
        <f>SUM(D18:D20)</f>
        <v>137165937</v>
      </c>
      <c r="E21" s="79">
        <f t="shared" si="0"/>
        <v>-5111860</v>
      </c>
      <c r="F21" s="80">
        <f t="shared" si="1"/>
        <v>-3.5928726110371248E-2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57879543</v>
      </c>
      <c r="D24" s="76">
        <v>56987129</v>
      </c>
      <c r="E24" s="76">
        <f t="shared" ref="E24:E33" si="2">D24-C24</f>
        <v>-892414</v>
      </c>
      <c r="F24" s="77">
        <f t="shared" ref="F24:F33" si="3">IF(C24=0,0,E24/C24)</f>
        <v>-1.541847004562562E-2</v>
      </c>
    </row>
    <row r="25" spans="1:7" ht="23.1" customHeight="1" x14ac:dyDescent="0.2">
      <c r="A25" s="74">
        <v>2</v>
      </c>
      <c r="B25" s="75" t="s">
        <v>83</v>
      </c>
      <c r="C25" s="76">
        <v>15778522</v>
      </c>
      <c r="D25" s="76">
        <v>14238377</v>
      </c>
      <c r="E25" s="76">
        <f t="shared" si="2"/>
        <v>-1540145</v>
      </c>
      <c r="F25" s="77">
        <f t="shared" si="3"/>
        <v>-9.7610219765831049E-2</v>
      </c>
    </row>
    <row r="26" spans="1:7" ht="23.1" customHeight="1" x14ac:dyDescent="0.2">
      <c r="A26" s="74">
        <v>3</v>
      </c>
      <c r="B26" s="75" t="s">
        <v>84</v>
      </c>
      <c r="C26" s="76">
        <v>11947454</v>
      </c>
      <c r="D26" s="76">
        <v>12846687</v>
      </c>
      <c r="E26" s="76">
        <f t="shared" si="2"/>
        <v>899233</v>
      </c>
      <c r="F26" s="77">
        <f t="shared" si="3"/>
        <v>7.5265659110300823E-2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20600063</v>
      </c>
      <c r="D27" s="76">
        <v>19823610</v>
      </c>
      <c r="E27" s="76">
        <f t="shared" si="2"/>
        <v>-776453</v>
      </c>
      <c r="F27" s="77">
        <f t="shared" si="3"/>
        <v>-3.7691777932912146E-2</v>
      </c>
    </row>
    <row r="28" spans="1:7" ht="23.1" customHeight="1" x14ac:dyDescent="0.2">
      <c r="A28" s="74">
        <v>5</v>
      </c>
      <c r="B28" s="75" t="s">
        <v>86</v>
      </c>
      <c r="C28" s="76">
        <v>6614415</v>
      </c>
      <c r="D28" s="76">
        <v>7176664</v>
      </c>
      <c r="E28" s="76">
        <f t="shared" si="2"/>
        <v>562249</v>
      </c>
      <c r="F28" s="77">
        <f t="shared" si="3"/>
        <v>8.5003586862934966E-2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1412468</v>
      </c>
      <c r="D30" s="76">
        <v>1267462</v>
      </c>
      <c r="E30" s="76">
        <f t="shared" si="2"/>
        <v>-145006</v>
      </c>
      <c r="F30" s="77">
        <f t="shared" si="3"/>
        <v>-0.10266144082556207</v>
      </c>
    </row>
    <row r="31" spans="1:7" ht="23.1" customHeight="1" x14ac:dyDescent="0.2">
      <c r="A31" s="74">
        <v>8</v>
      </c>
      <c r="B31" s="75" t="s">
        <v>89</v>
      </c>
      <c r="C31" s="76">
        <v>498257</v>
      </c>
      <c r="D31" s="76">
        <v>317020</v>
      </c>
      <c r="E31" s="76">
        <f t="shared" si="2"/>
        <v>-181237</v>
      </c>
      <c r="F31" s="77">
        <f t="shared" si="3"/>
        <v>-0.36374200462813366</v>
      </c>
    </row>
    <row r="32" spans="1:7" ht="23.1" customHeight="1" x14ac:dyDescent="0.2">
      <c r="A32" s="74">
        <v>9</v>
      </c>
      <c r="B32" s="75" t="s">
        <v>90</v>
      </c>
      <c r="C32" s="76">
        <v>26498227</v>
      </c>
      <c r="D32" s="76">
        <v>23976324</v>
      </c>
      <c r="E32" s="76">
        <f t="shared" si="2"/>
        <v>-2521903</v>
      </c>
      <c r="F32" s="77">
        <f t="shared" si="3"/>
        <v>-9.5172518523597829E-2</v>
      </c>
    </row>
    <row r="33" spans="1:6" ht="23.1" customHeight="1" x14ac:dyDescent="0.25">
      <c r="A33" s="71"/>
      <c r="B33" s="78" t="s">
        <v>91</v>
      </c>
      <c r="C33" s="79">
        <f>SUM(C24:C32)</f>
        <v>141228949</v>
      </c>
      <c r="D33" s="79">
        <f>SUM(D24:D32)</f>
        <v>136633273</v>
      </c>
      <c r="E33" s="79">
        <f t="shared" si="2"/>
        <v>-4595676</v>
      </c>
      <c r="F33" s="80">
        <f t="shared" si="3"/>
        <v>-3.2540608937052982E-2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1048848</v>
      </c>
      <c r="D35" s="79">
        <f>+D21-D33</f>
        <v>532664</v>
      </c>
      <c r="E35" s="79">
        <f>D35-C35</f>
        <v>-516184</v>
      </c>
      <c r="F35" s="80">
        <f>IF(C35=0,0,E35/C35)</f>
        <v>-0.49214376153646666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364945</v>
      </c>
      <c r="D38" s="76">
        <v>826403</v>
      </c>
      <c r="E38" s="76">
        <f>D38-C38</f>
        <v>461458</v>
      </c>
      <c r="F38" s="77">
        <f>IF(C38=0,0,E38/C38)</f>
        <v>1.2644590280727233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898917</v>
      </c>
      <c r="D40" s="76">
        <v>-31237</v>
      </c>
      <c r="E40" s="76">
        <f>D40-C40</f>
        <v>-930154</v>
      </c>
      <c r="F40" s="77">
        <f>IF(C40=0,0,E40/C40)</f>
        <v>-1.0347495931215007</v>
      </c>
    </row>
    <row r="41" spans="1:6" ht="23.1" customHeight="1" x14ac:dyDescent="0.25">
      <c r="A41" s="83"/>
      <c r="B41" s="78" t="s">
        <v>97</v>
      </c>
      <c r="C41" s="79">
        <f>SUM(C38:C40)</f>
        <v>1263862</v>
      </c>
      <c r="D41" s="79">
        <f>SUM(D38:D40)</f>
        <v>795166</v>
      </c>
      <c r="E41" s="79">
        <f>D41-C41</f>
        <v>-468696</v>
      </c>
      <c r="F41" s="80">
        <f>IF(C41=0,0,E41/C41)</f>
        <v>-0.37084428521468327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2312710</v>
      </c>
      <c r="D43" s="79">
        <f>D35+D41</f>
        <v>1327830</v>
      </c>
      <c r="E43" s="79">
        <f>D43-C43</f>
        <v>-984880</v>
      </c>
      <c r="F43" s="80">
        <f>IF(C43=0,0,E43/C43)</f>
        <v>-0.4258553817815463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2312710</v>
      </c>
      <c r="D50" s="79">
        <f>D43+D48</f>
        <v>1327830</v>
      </c>
      <c r="E50" s="79">
        <f>D50-C50</f>
        <v>-984880</v>
      </c>
      <c r="F50" s="80">
        <f>IF(C50=0,0,E50/C50)</f>
        <v>-0.4258553817815463</v>
      </c>
    </row>
    <row r="51" spans="1:6" ht="23.1" customHeight="1" x14ac:dyDescent="0.2">
      <c r="A51" s="85"/>
      <c r="B51" s="75" t="s">
        <v>104</v>
      </c>
      <c r="C51" s="76">
        <v>1269852</v>
      </c>
      <c r="D51" s="76">
        <v>1295843</v>
      </c>
      <c r="E51" s="76">
        <f>D51-C51</f>
        <v>25991</v>
      </c>
      <c r="F51" s="77">
        <f>IF(C51=0,0,E51/C51)</f>
        <v>2.0467739547600824E-2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FILING&amp;RBRISTOL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69639216</v>
      </c>
      <c r="D14" s="113">
        <v>64894057</v>
      </c>
      <c r="E14" s="113">
        <f t="shared" ref="E14:E25" si="0">D14-C14</f>
        <v>-4745159</v>
      </c>
      <c r="F14" s="114">
        <f t="shared" ref="F14:F25" si="1">IF(C14=0,0,E14/C14)</f>
        <v>-6.8139178936190203E-2</v>
      </c>
    </row>
    <row r="15" spans="1:6" x14ac:dyDescent="0.2">
      <c r="A15" s="115">
        <v>2</v>
      </c>
      <c r="B15" s="116" t="s">
        <v>114</v>
      </c>
      <c r="C15" s="113">
        <v>22588183</v>
      </c>
      <c r="D15" s="113">
        <v>24136586</v>
      </c>
      <c r="E15" s="113">
        <f t="shared" si="0"/>
        <v>1548403</v>
      </c>
      <c r="F15" s="114">
        <f t="shared" si="1"/>
        <v>6.8549249844487264E-2</v>
      </c>
    </row>
    <row r="16" spans="1:6" x14ac:dyDescent="0.2">
      <c r="A16" s="115">
        <v>3</v>
      </c>
      <c r="B16" s="116" t="s">
        <v>115</v>
      </c>
      <c r="C16" s="113">
        <v>30033754</v>
      </c>
      <c r="D16" s="113">
        <v>32931847</v>
      </c>
      <c r="E16" s="113">
        <f t="shared" si="0"/>
        <v>2898093</v>
      </c>
      <c r="F16" s="114">
        <f t="shared" si="1"/>
        <v>9.6494530786927268E-2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432011</v>
      </c>
      <c r="D18" s="113">
        <v>201255</v>
      </c>
      <c r="E18" s="113">
        <f t="shared" si="0"/>
        <v>-230756</v>
      </c>
      <c r="F18" s="114">
        <f t="shared" si="1"/>
        <v>-0.53414380652344495</v>
      </c>
    </row>
    <row r="19" spans="1:6" x14ac:dyDescent="0.2">
      <c r="A19" s="115">
        <v>6</v>
      </c>
      <c r="B19" s="116" t="s">
        <v>118</v>
      </c>
      <c r="C19" s="113">
        <v>23861805</v>
      </c>
      <c r="D19" s="113">
        <v>21108501</v>
      </c>
      <c r="E19" s="113">
        <f t="shared" si="0"/>
        <v>-2753304</v>
      </c>
      <c r="F19" s="114">
        <f t="shared" si="1"/>
        <v>-0.11538540357697165</v>
      </c>
    </row>
    <row r="20" spans="1:6" x14ac:dyDescent="0.2">
      <c r="A20" s="115">
        <v>7</v>
      </c>
      <c r="B20" s="116" t="s">
        <v>119</v>
      </c>
      <c r="C20" s="113">
        <v>15696334</v>
      </c>
      <c r="D20" s="113">
        <v>12090305</v>
      </c>
      <c r="E20" s="113">
        <f t="shared" si="0"/>
        <v>-3606029</v>
      </c>
      <c r="F20" s="114">
        <f t="shared" si="1"/>
        <v>-0.22973702012202341</v>
      </c>
    </row>
    <row r="21" spans="1:6" x14ac:dyDescent="0.2">
      <c r="A21" s="115">
        <v>8</v>
      </c>
      <c r="B21" s="116" t="s">
        <v>120</v>
      </c>
      <c r="C21" s="113">
        <v>1092897</v>
      </c>
      <c r="D21" s="113">
        <v>119396</v>
      </c>
      <c r="E21" s="113">
        <f t="shared" si="0"/>
        <v>-973501</v>
      </c>
      <c r="F21" s="114">
        <f t="shared" si="1"/>
        <v>-0.89075274248167946</v>
      </c>
    </row>
    <row r="22" spans="1:6" x14ac:dyDescent="0.2">
      <c r="A22" s="115">
        <v>9</v>
      </c>
      <c r="B22" s="116" t="s">
        <v>121</v>
      </c>
      <c r="C22" s="113">
        <v>1460013</v>
      </c>
      <c r="D22" s="113">
        <v>1368087</v>
      </c>
      <c r="E22" s="113">
        <f t="shared" si="0"/>
        <v>-91926</v>
      </c>
      <c r="F22" s="114">
        <f t="shared" si="1"/>
        <v>-6.2962453074047978E-2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164804213</v>
      </c>
      <c r="D25" s="119">
        <f>SUM(D14:D24)</f>
        <v>156850034</v>
      </c>
      <c r="E25" s="119">
        <f t="shared" si="0"/>
        <v>-7954179</v>
      </c>
      <c r="F25" s="120">
        <f t="shared" si="1"/>
        <v>-4.8264415424865384E-2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84244305</v>
      </c>
      <c r="D27" s="113">
        <v>80749976</v>
      </c>
      <c r="E27" s="113">
        <f t="shared" ref="E27:E38" si="2">D27-C27</f>
        <v>-3494329</v>
      </c>
      <c r="F27" s="114">
        <f t="shared" ref="F27:F38" si="3">IF(C27=0,0,E27/C27)</f>
        <v>-4.1478518933713085E-2</v>
      </c>
    </row>
    <row r="28" spans="1:6" x14ac:dyDescent="0.2">
      <c r="A28" s="115">
        <v>2</v>
      </c>
      <c r="B28" s="116" t="s">
        <v>114</v>
      </c>
      <c r="C28" s="113">
        <v>30911582</v>
      </c>
      <c r="D28" s="113">
        <v>35781189</v>
      </c>
      <c r="E28" s="113">
        <f t="shared" si="2"/>
        <v>4869607</v>
      </c>
      <c r="F28" s="114">
        <f t="shared" si="3"/>
        <v>0.15753341255714443</v>
      </c>
    </row>
    <row r="29" spans="1:6" x14ac:dyDescent="0.2">
      <c r="A29" s="115">
        <v>3</v>
      </c>
      <c r="B29" s="116" t="s">
        <v>115</v>
      </c>
      <c r="C29" s="113">
        <v>59919782</v>
      </c>
      <c r="D29" s="113">
        <v>65028189</v>
      </c>
      <c r="E29" s="113">
        <f t="shared" si="2"/>
        <v>5108407</v>
      </c>
      <c r="F29" s="114">
        <f t="shared" si="3"/>
        <v>8.5254098554630925E-2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1106845</v>
      </c>
      <c r="D31" s="113">
        <v>1153587</v>
      </c>
      <c r="E31" s="113">
        <f t="shared" si="2"/>
        <v>46742</v>
      </c>
      <c r="F31" s="114">
        <f t="shared" si="3"/>
        <v>4.2229941861778295E-2</v>
      </c>
    </row>
    <row r="32" spans="1:6" x14ac:dyDescent="0.2">
      <c r="A32" s="115">
        <v>6</v>
      </c>
      <c r="B32" s="116" t="s">
        <v>118</v>
      </c>
      <c r="C32" s="113">
        <v>66500876</v>
      </c>
      <c r="D32" s="113">
        <v>65924034</v>
      </c>
      <c r="E32" s="113">
        <f t="shared" si="2"/>
        <v>-576842</v>
      </c>
      <c r="F32" s="114">
        <f t="shared" si="3"/>
        <v>-8.674201524803974E-3</v>
      </c>
    </row>
    <row r="33" spans="1:6" x14ac:dyDescent="0.2">
      <c r="A33" s="115">
        <v>7</v>
      </c>
      <c r="B33" s="116" t="s">
        <v>119</v>
      </c>
      <c r="C33" s="113">
        <v>36241066</v>
      </c>
      <c r="D33" s="113">
        <v>30081385</v>
      </c>
      <c r="E33" s="113">
        <f t="shared" si="2"/>
        <v>-6159681</v>
      </c>
      <c r="F33" s="114">
        <f t="shared" si="3"/>
        <v>-0.16996412302000166</v>
      </c>
    </row>
    <row r="34" spans="1:6" x14ac:dyDescent="0.2">
      <c r="A34" s="115">
        <v>8</v>
      </c>
      <c r="B34" s="116" t="s">
        <v>120</v>
      </c>
      <c r="C34" s="113">
        <v>3512051</v>
      </c>
      <c r="D34" s="113">
        <v>3407917</v>
      </c>
      <c r="E34" s="113">
        <f t="shared" si="2"/>
        <v>-104134</v>
      </c>
      <c r="F34" s="114">
        <f t="shared" si="3"/>
        <v>-2.9650480588123578E-2</v>
      </c>
    </row>
    <row r="35" spans="1:6" x14ac:dyDescent="0.2">
      <c r="A35" s="115">
        <v>9</v>
      </c>
      <c r="B35" s="116" t="s">
        <v>121</v>
      </c>
      <c r="C35" s="113">
        <v>5851418</v>
      </c>
      <c r="D35" s="113">
        <v>5132339</v>
      </c>
      <c r="E35" s="113">
        <f t="shared" si="2"/>
        <v>-719079</v>
      </c>
      <c r="F35" s="114">
        <f t="shared" si="3"/>
        <v>-0.12288969955658612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288287925</v>
      </c>
      <c r="D38" s="119">
        <f>SUM(D27:D37)</f>
        <v>287258616</v>
      </c>
      <c r="E38" s="119">
        <f t="shared" si="2"/>
        <v>-1029309</v>
      </c>
      <c r="F38" s="120">
        <f t="shared" si="3"/>
        <v>-3.5704200930371955E-3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153883521</v>
      </c>
      <c r="D41" s="119">
        <f t="shared" si="4"/>
        <v>145644033</v>
      </c>
      <c r="E41" s="123">
        <f t="shared" ref="E41:E52" si="5">D41-C41</f>
        <v>-8239488</v>
      </c>
      <c r="F41" s="124">
        <f t="shared" ref="F41:F52" si="6">IF(C41=0,0,E41/C41)</f>
        <v>-5.3543666966133427E-2</v>
      </c>
    </row>
    <row r="42" spans="1:6" ht="15.75" x14ac:dyDescent="0.25">
      <c r="A42" s="121">
        <v>2</v>
      </c>
      <c r="B42" s="122" t="s">
        <v>114</v>
      </c>
      <c r="C42" s="119">
        <f t="shared" si="4"/>
        <v>53499765</v>
      </c>
      <c r="D42" s="119">
        <f t="shared" si="4"/>
        <v>59917775</v>
      </c>
      <c r="E42" s="123">
        <f t="shared" si="5"/>
        <v>6418010</v>
      </c>
      <c r="F42" s="124">
        <f t="shared" si="6"/>
        <v>0.11996333068005065</v>
      </c>
    </row>
    <row r="43" spans="1:6" ht="15.75" x14ac:dyDescent="0.25">
      <c r="A43" s="121">
        <v>3</v>
      </c>
      <c r="B43" s="122" t="s">
        <v>115</v>
      </c>
      <c r="C43" s="119">
        <f t="shared" si="4"/>
        <v>89953536</v>
      </c>
      <c r="D43" s="119">
        <f t="shared" si="4"/>
        <v>97960036</v>
      </c>
      <c r="E43" s="123">
        <f t="shared" si="5"/>
        <v>8006500</v>
      </c>
      <c r="F43" s="124">
        <f t="shared" si="6"/>
        <v>8.9007062490572914E-2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1538856</v>
      </c>
      <c r="D45" s="119">
        <f t="shared" si="4"/>
        <v>1354842</v>
      </c>
      <c r="E45" s="123">
        <f t="shared" si="5"/>
        <v>-184014</v>
      </c>
      <c r="F45" s="124">
        <f t="shared" si="6"/>
        <v>-0.11957844008796145</v>
      </c>
    </row>
    <row r="46" spans="1:6" ht="15.75" x14ac:dyDescent="0.25">
      <c r="A46" s="121">
        <v>6</v>
      </c>
      <c r="B46" s="122" t="s">
        <v>118</v>
      </c>
      <c r="C46" s="119">
        <f t="shared" si="4"/>
        <v>90362681</v>
      </c>
      <c r="D46" s="119">
        <f t="shared" si="4"/>
        <v>87032535</v>
      </c>
      <c r="E46" s="123">
        <f t="shared" si="5"/>
        <v>-3330146</v>
      </c>
      <c r="F46" s="124">
        <f t="shared" si="6"/>
        <v>-3.6853111961120323E-2</v>
      </c>
    </row>
    <row r="47" spans="1:6" ht="15.75" x14ac:dyDescent="0.25">
      <c r="A47" s="121">
        <v>7</v>
      </c>
      <c r="B47" s="122" t="s">
        <v>119</v>
      </c>
      <c r="C47" s="119">
        <f t="shared" si="4"/>
        <v>51937400</v>
      </c>
      <c r="D47" s="119">
        <f t="shared" si="4"/>
        <v>42171690</v>
      </c>
      <c r="E47" s="123">
        <f t="shared" si="5"/>
        <v>-9765710</v>
      </c>
      <c r="F47" s="124">
        <f t="shared" si="6"/>
        <v>-0.18802847273833501</v>
      </c>
    </row>
    <row r="48" spans="1:6" ht="15.75" x14ac:dyDescent="0.25">
      <c r="A48" s="121">
        <v>8</v>
      </c>
      <c r="B48" s="122" t="s">
        <v>120</v>
      </c>
      <c r="C48" s="119">
        <f t="shared" si="4"/>
        <v>4604948</v>
      </c>
      <c r="D48" s="119">
        <f t="shared" si="4"/>
        <v>3527313</v>
      </c>
      <c r="E48" s="123">
        <f t="shared" si="5"/>
        <v>-1077635</v>
      </c>
      <c r="F48" s="124">
        <f t="shared" si="6"/>
        <v>-0.23401675762679622</v>
      </c>
    </row>
    <row r="49" spans="1:6" ht="15.75" x14ac:dyDescent="0.25">
      <c r="A49" s="121">
        <v>9</v>
      </c>
      <c r="B49" s="122" t="s">
        <v>121</v>
      </c>
      <c r="C49" s="119">
        <f t="shared" si="4"/>
        <v>7311431</v>
      </c>
      <c r="D49" s="119">
        <f t="shared" si="4"/>
        <v>6500426</v>
      </c>
      <c r="E49" s="123">
        <f t="shared" si="5"/>
        <v>-811005</v>
      </c>
      <c r="F49" s="124">
        <f t="shared" si="6"/>
        <v>-0.11092288226477143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453092138</v>
      </c>
      <c r="D52" s="128">
        <f>SUM(D41:D51)</f>
        <v>444108650</v>
      </c>
      <c r="E52" s="127">
        <f t="shared" si="5"/>
        <v>-8983488</v>
      </c>
      <c r="F52" s="129">
        <f t="shared" si="6"/>
        <v>-1.9827066608690526E-2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23462705</v>
      </c>
      <c r="D57" s="113">
        <v>20327221</v>
      </c>
      <c r="E57" s="113">
        <f t="shared" ref="E57:E68" si="7">D57-C57</f>
        <v>-3135484</v>
      </c>
      <c r="F57" s="114">
        <f t="shared" ref="F57:F68" si="8">IF(C57=0,0,E57/C57)</f>
        <v>-0.1336369357241631</v>
      </c>
    </row>
    <row r="58" spans="1:6" x14ac:dyDescent="0.2">
      <c r="A58" s="115">
        <v>2</v>
      </c>
      <c r="B58" s="116" t="s">
        <v>114</v>
      </c>
      <c r="C58" s="113">
        <v>7580651</v>
      </c>
      <c r="D58" s="113">
        <v>7794289</v>
      </c>
      <c r="E58" s="113">
        <f t="shared" si="7"/>
        <v>213638</v>
      </c>
      <c r="F58" s="114">
        <f t="shared" si="8"/>
        <v>2.8182012336407519E-2</v>
      </c>
    </row>
    <row r="59" spans="1:6" x14ac:dyDescent="0.2">
      <c r="A59" s="115">
        <v>3</v>
      </c>
      <c r="B59" s="116" t="s">
        <v>115</v>
      </c>
      <c r="C59" s="113">
        <v>6607478</v>
      </c>
      <c r="D59" s="113">
        <v>7687592</v>
      </c>
      <c r="E59" s="113">
        <f t="shared" si="7"/>
        <v>1080114</v>
      </c>
      <c r="F59" s="114">
        <f t="shared" si="8"/>
        <v>0.16346842168827502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160387</v>
      </c>
      <c r="D61" s="113">
        <v>29548</v>
      </c>
      <c r="E61" s="113">
        <f t="shared" si="7"/>
        <v>-130839</v>
      </c>
      <c r="F61" s="114">
        <f t="shared" si="8"/>
        <v>-0.81577060484952024</v>
      </c>
    </row>
    <row r="62" spans="1:6" x14ac:dyDescent="0.2">
      <c r="A62" s="115">
        <v>6</v>
      </c>
      <c r="B62" s="116" t="s">
        <v>118</v>
      </c>
      <c r="C62" s="113">
        <v>10589616</v>
      </c>
      <c r="D62" s="113">
        <v>11352585</v>
      </c>
      <c r="E62" s="113">
        <f t="shared" si="7"/>
        <v>762969</v>
      </c>
      <c r="F62" s="114">
        <f t="shared" si="8"/>
        <v>7.2048788171355793E-2</v>
      </c>
    </row>
    <row r="63" spans="1:6" x14ac:dyDescent="0.2">
      <c r="A63" s="115">
        <v>7</v>
      </c>
      <c r="B63" s="116" t="s">
        <v>119</v>
      </c>
      <c r="C63" s="113">
        <v>9188117</v>
      </c>
      <c r="D63" s="113">
        <v>6491072</v>
      </c>
      <c r="E63" s="113">
        <f t="shared" si="7"/>
        <v>-2697045</v>
      </c>
      <c r="F63" s="114">
        <f t="shared" si="8"/>
        <v>-0.293536205514144</v>
      </c>
    </row>
    <row r="64" spans="1:6" x14ac:dyDescent="0.2">
      <c r="A64" s="115">
        <v>8</v>
      </c>
      <c r="B64" s="116" t="s">
        <v>120</v>
      </c>
      <c r="C64" s="113">
        <v>1092896</v>
      </c>
      <c r="D64" s="113">
        <v>119396</v>
      </c>
      <c r="E64" s="113">
        <f t="shared" si="7"/>
        <v>-973500</v>
      </c>
      <c r="F64" s="114">
        <f t="shared" si="8"/>
        <v>-0.89075264252042285</v>
      </c>
    </row>
    <row r="65" spans="1:6" x14ac:dyDescent="0.2">
      <c r="A65" s="115">
        <v>9</v>
      </c>
      <c r="B65" s="116" t="s">
        <v>121</v>
      </c>
      <c r="C65" s="113">
        <v>0</v>
      </c>
      <c r="D65" s="113">
        <v>0</v>
      </c>
      <c r="E65" s="113">
        <f t="shared" si="7"/>
        <v>0</v>
      </c>
      <c r="F65" s="114">
        <f t="shared" si="8"/>
        <v>0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58681850</v>
      </c>
      <c r="D68" s="119">
        <f>SUM(D57:D67)</f>
        <v>53801703</v>
      </c>
      <c r="E68" s="119">
        <f t="shared" si="7"/>
        <v>-4880147</v>
      </c>
      <c r="F68" s="120">
        <f t="shared" si="8"/>
        <v>-8.3162800763779604E-2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15509760</v>
      </c>
      <c r="D70" s="113">
        <v>17836476</v>
      </c>
      <c r="E70" s="113">
        <f t="shared" ref="E70:E81" si="9">D70-C70</f>
        <v>2326716</v>
      </c>
      <c r="F70" s="114">
        <f t="shared" ref="F70:F81" si="10">IF(C70=0,0,E70/C70)</f>
        <v>0.15001624783362219</v>
      </c>
    </row>
    <row r="71" spans="1:6" x14ac:dyDescent="0.2">
      <c r="A71" s="115">
        <v>2</v>
      </c>
      <c r="B71" s="116" t="s">
        <v>114</v>
      </c>
      <c r="C71" s="113">
        <v>5389617</v>
      </c>
      <c r="D71" s="113">
        <v>6136606</v>
      </c>
      <c r="E71" s="113">
        <f t="shared" si="9"/>
        <v>746989</v>
      </c>
      <c r="F71" s="114">
        <f t="shared" si="10"/>
        <v>0.13859778904512138</v>
      </c>
    </row>
    <row r="72" spans="1:6" x14ac:dyDescent="0.2">
      <c r="A72" s="115">
        <v>3</v>
      </c>
      <c r="B72" s="116" t="s">
        <v>115</v>
      </c>
      <c r="C72" s="113">
        <v>13100657</v>
      </c>
      <c r="D72" s="113">
        <v>13782560</v>
      </c>
      <c r="E72" s="113">
        <f t="shared" si="9"/>
        <v>681903</v>
      </c>
      <c r="F72" s="114">
        <f t="shared" si="10"/>
        <v>5.2051053622730527E-2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123430</v>
      </c>
      <c r="D74" s="113">
        <v>283322</v>
      </c>
      <c r="E74" s="113">
        <f t="shared" si="9"/>
        <v>159892</v>
      </c>
      <c r="F74" s="114">
        <f t="shared" si="10"/>
        <v>1.2954063031677874</v>
      </c>
    </row>
    <row r="75" spans="1:6" x14ac:dyDescent="0.2">
      <c r="A75" s="115">
        <v>6</v>
      </c>
      <c r="B75" s="116" t="s">
        <v>118</v>
      </c>
      <c r="C75" s="113">
        <v>24292496</v>
      </c>
      <c r="D75" s="113">
        <v>24728195</v>
      </c>
      <c r="E75" s="113">
        <f t="shared" si="9"/>
        <v>435699</v>
      </c>
      <c r="F75" s="114">
        <f t="shared" si="10"/>
        <v>1.7935538612417597E-2</v>
      </c>
    </row>
    <row r="76" spans="1:6" x14ac:dyDescent="0.2">
      <c r="A76" s="115">
        <v>7</v>
      </c>
      <c r="B76" s="116" t="s">
        <v>119</v>
      </c>
      <c r="C76" s="113">
        <v>15291130</v>
      </c>
      <c r="D76" s="113">
        <v>12947000</v>
      </c>
      <c r="E76" s="113">
        <f t="shared" si="9"/>
        <v>-2344130</v>
      </c>
      <c r="F76" s="114">
        <f t="shared" si="10"/>
        <v>-0.15329998502399758</v>
      </c>
    </row>
    <row r="77" spans="1:6" x14ac:dyDescent="0.2">
      <c r="A77" s="115">
        <v>8</v>
      </c>
      <c r="B77" s="116" t="s">
        <v>120</v>
      </c>
      <c r="C77" s="113">
        <v>3512051</v>
      </c>
      <c r="D77" s="113">
        <v>3407917</v>
      </c>
      <c r="E77" s="113">
        <f t="shared" si="9"/>
        <v>-104134</v>
      </c>
      <c r="F77" s="114">
        <f t="shared" si="10"/>
        <v>-2.9650480588123578E-2</v>
      </c>
    </row>
    <row r="78" spans="1:6" x14ac:dyDescent="0.2">
      <c r="A78" s="115">
        <v>9</v>
      </c>
      <c r="B78" s="116" t="s">
        <v>121</v>
      </c>
      <c r="C78" s="113">
        <v>67919</v>
      </c>
      <c r="D78" s="113">
        <v>108324</v>
      </c>
      <c r="E78" s="113">
        <f t="shared" si="9"/>
        <v>40405</v>
      </c>
      <c r="F78" s="114">
        <f t="shared" si="10"/>
        <v>0.5948998071231909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77287060</v>
      </c>
      <c r="D81" s="119">
        <f>SUM(D70:D80)</f>
        <v>79230400</v>
      </c>
      <c r="E81" s="119">
        <f t="shared" si="9"/>
        <v>1943340</v>
      </c>
      <c r="F81" s="120">
        <f t="shared" si="10"/>
        <v>2.5144442032081438E-2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38972465</v>
      </c>
      <c r="D84" s="119">
        <f t="shared" si="11"/>
        <v>38163697</v>
      </c>
      <c r="E84" s="119">
        <f t="shared" ref="E84:E95" si="12">D84-C84</f>
        <v>-808768</v>
      </c>
      <c r="F84" s="120">
        <f t="shared" ref="F84:F95" si="13">IF(C84=0,0,E84/C84)</f>
        <v>-2.075229267638062E-2</v>
      </c>
    </row>
    <row r="85" spans="1:6" ht="15.75" x14ac:dyDescent="0.25">
      <c r="A85" s="130">
        <v>2</v>
      </c>
      <c r="B85" s="122" t="s">
        <v>114</v>
      </c>
      <c r="C85" s="119">
        <f t="shared" si="11"/>
        <v>12970268</v>
      </c>
      <c r="D85" s="119">
        <f t="shared" si="11"/>
        <v>13930895</v>
      </c>
      <c r="E85" s="119">
        <f t="shared" si="12"/>
        <v>960627</v>
      </c>
      <c r="F85" s="120">
        <f t="shared" si="13"/>
        <v>7.4063774164111335E-2</v>
      </c>
    </row>
    <row r="86" spans="1:6" ht="15.75" x14ac:dyDescent="0.25">
      <c r="A86" s="130">
        <v>3</v>
      </c>
      <c r="B86" s="122" t="s">
        <v>115</v>
      </c>
      <c r="C86" s="119">
        <f t="shared" si="11"/>
        <v>19708135</v>
      </c>
      <c r="D86" s="119">
        <f t="shared" si="11"/>
        <v>21470152</v>
      </c>
      <c r="E86" s="119">
        <f t="shared" si="12"/>
        <v>1762017</v>
      </c>
      <c r="F86" s="120">
        <f t="shared" si="13"/>
        <v>8.9405567802331373E-2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283817</v>
      </c>
      <c r="D88" s="119">
        <f t="shared" si="11"/>
        <v>312870</v>
      </c>
      <c r="E88" s="119">
        <f t="shared" si="12"/>
        <v>29053</v>
      </c>
      <c r="F88" s="120">
        <f t="shared" si="13"/>
        <v>0.10236525648569325</v>
      </c>
    </row>
    <row r="89" spans="1:6" ht="15.75" x14ac:dyDescent="0.25">
      <c r="A89" s="130">
        <v>6</v>
      </c>
      <c r="B89" s="122" t="s">
        <v>118</v>
      </c>
      <c r="C89" s="119">
        <f t="shared" si="11"/>
        <v>34882112</v>
      </c>
      <c r="D89" s="119">
        <f t="shared" si="11"/>
        <v>36080780</v>
      </c>
      <c r="E89" s="119">
        <f t="shared" si="12"/>
        <v>1198668</v>
      </c>
      <c r="F89" s="120">
        <f t="shared" si="13"/>
        <v>3.4363400931686702E-2</v>
      </c>
    </row>
    <row r="90" spans="1:6" ht="15.75" x14ac:dyDescent="0.25">
      <c r="A90" s="130">
        <v>7</v>
      </c>
      <c r="B90" s="122" t="s">
        <v>119</v>
      </c>
      <c r="C90" s="119">
        <f t="shared" si="11"/>
        <v>24479247</v>
      </c>
      <c r="D90" s="119">
        <f t="shared" si="11"/>
        <v>19438072</v>
      </c>
      <c r="E90" s="119">
        <f t="shared" si="12"/>
        <v>-5041175</v>
      </c>
      <c r="F90" s="120">
        <f t="shared" si="13"/>
        <v>-0.20593668587926744</v>
      </c>
    </row>
    <row r="91" spans="1:6" ht="15.75" x14ac:dyDescent="0.25">
      <c r="A91" s="130">
        <v>8</v>
      </c>
      <c r="B91" s="122" t="s">
        <v>120</v>
      </c>
      <c r="C91" s="119">
        <f t="shared" si="11"/>
        <v>4604947</v>
      </c>
      <c r="D91" s="119">
        <f t="shared" si="11"/>
        <v>3527313</v>
      </c>
      <c r="E91" s="119">
        <f t="shared" si="12"/>
        <v>-1077634</v>
      </c>
      <c r="F91" s="120">
        <f t="shared" si="13"/>
        <v>-0.23401659128758703</v>
      </c>
    </row>
    <row r="92" spans="1:6" ht="15.75" x14ac:dyDescent="0.25">
      <c r="A92" s="130">
        <v>9</v>
      </c>
      <c r="B92" s="122" t="s">
        <v>121</v>
      </c>
      <c r="C92" s="119">
        <f t="shared" si="11"/>
        <v>67919</v>
      </c>
      <c r="D92" s="119">
        <f t="shared" si="11"/>
        <v>108324</v>
      </c>
      <c r="E92" s="119">
        <f t="shared" si="12"/>
        <v>40405</v>
      </c>
      <c r="F92" s="120">
        <f t="shared" si="13"/>
        <v>0.5948998071231909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135968910</v>
      </c>
      <c r="D95" s="128">
        <f>SUM(D84:D94)</f>
        <v>133032103</v>
      </c>
      <c r="E95" s="128">
        <f t="shared" si="12"/>
        <v>-2936807</v>
      </c>
      <c r="F95" s="129">
        <f t="shared" si="13"/>
        <v>-2.1599106736973916E-2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2588</v>
      </c>
      <c r="D100" s="133">
        <v>2497</v>
      </c>
      <c r="E100" s="133">
        <f t="shared" ref="E100:E111" si="14">D100-C100</f>
        <v>-91</v>
      </c>
      <c r="F100" s="114">
        <f t="shared" ref="F100:F111" si="15">IF(C100=0,0,E100/C100)</f>
        <v>-3.5162287480680059E-2</v>
      </c>
    </row>
    <row r="101" spans="1:6" x14ac:dyDescent="0.2">
      <c r="A101" s="115">
        <v>2</v>
      </c>
      <c r="B101" s="116" t="s">
        <v>114</v>
      </c>
      <c r="C101" s="133">
        <v>822</v>
      </c>
      <c r="D101" s="133">
        <v>883</v>
      </c>
      <c r="E101" s="133">
        <f t="shared" si="14"/>
        <v>61</v>
      </c>
      <c r="F101" s="114">
        <f t="shared" si="15"/>
        <v>7.4209245742092464E-2</v>
      </c>
    </row>
    <row r="102" spans="1:6" x14ac:dyDescent="0.2">
      <c r="A102" s="115">
        <v>3</v>
      </c>
      <c r="B102" s="116" t="s">
        <v>115</v>
      </c>
      <c r="C102" s="133">
        <v>1797</v>
      </c>
      <c r="D102" s="133">
        <v>1840</v>
      </c>
      <c r="E102" s="133">
        <f t="shared" si="14"/>
        <v>43</v>
      </c>
      <c r="F102" s="114">
        <f t="shared" si="15"/>
        <v>2.3928770172509738E-2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26</v>
      </c>
      <c r="D104" s="133">
        <v>18</v>
      </c>
      <c r="E104" s="133">
        <f t="shared" si="14"/>
        <v>-8</v>
      </c>
      <c r="F104" s="114">
        <f t="shared" si="15"/>
        <v>-0.30769230769230771</v>
      </c>
    </row>
    <row r="105" spans="1:6" x14ac:dyDescent="0.2">
      <c r="A105" s="115">
        <v>6</v>
      </c>
      <c r="B105" s="116" t="s">
        <v>118</v>
      </c>
      <c r="C105" s="133">
        <v>1204</v>
      </c>
      <c r="D105" s="133">
        <v>1107</v>
      </c>
      <c r="E105" s="133">
        <f t="shared" si="14"/>
        <v>-97</v>
      </c>
      <c r="F105" s="114">
        <f t="shared" si="15"/>
        <v>-8.0564784053156147E-2</v>
      </c>
    </row>
    <row r="106" spans="1:6" x14ac:dyDescent="0.2">
      <c r="A106" s="115">
        <v>7</v>
      </c>
      <c r="B106" s="116" t="s">
        <v>119</v>
      </c>
      <c r="C106" s="133">
        <v>788</v>
      </c>
      <c r="D106" s="133">
        <v>617</v>
      </c>
      <c r="E106" s="133">
        <f t="shared" si="14"/>
        <v>-171</v>
      </c>
      <c r="F106" s="114">
        <f t="shared" si="15"/>
        <v>-0.21700507614213199</v>
      </c>
    </row>
    <row r="107" spans="1:6" x14ac:dyDescent="0.2">
      <c r="A107" s="115">
        <v>8</v>
      </c>
      <c r="B107" s="116" t="s">
        <v>120</v>
      </c>
      <c r="C107" s="133">
        <v>11</v>
      </c>
      <c r="D107" s="133">
        <v>7</v>
      </c>
      <c r="E107" s="133">
        <f t="shared" si="14"/>
        <v>-4</v>
      </c>
      <c r="F107" s="114">
        <f t="shared" si="15"/>
        <v>-0.36363636363636365</v>
      </c>
    </row>
    <row r="108" spans="1:6" x14ac:dyDescent="0.2">
      <c r="A108" s="115">
        <v>9</v>
      </c>
      <c r="B108" s="116" t="s">
        <v>121</v>
      </c>
      <c r="C108" s="133">
        <v>113</v>
      </c>
      <c r="D108" s="133">
        <v>102</v>
      </c>
      <c r="E108" s="133">
        <f t="shared" si="14"/>
        <v>-11</v>
      </c>
      <c r="F108" s="114">
        <f t="shared" si="15"/>
        <v>-9.7345132743362831E-2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7349</v>
      </c>
      <c r="D111" s="134">
        <f>SUM(D100:D110)</f>
        <v>7071</v>
      </c>
      <c r="E111" s="134">
        <f t="shared" si="14"/>
        <v>-278</v>
      </c>
      <c r="F111" s="120">
        <f t="shared" si="15"/>
        <v>-3.7828275955912372E-2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12291</v>
      </c>
      <c r="D113" s="133">
        <v>11052</v>
      </c>
      <c r="E113" s="133">
        <f t="shared" ref="E113:E124" si="16">D113-C113</f>
        <v>-1239</v>
      </c>
      <c r="F113" s="114">
        <f t="shared" ref="F113:F124" si="17">IF(C113=0,0,E113/C113)</f>
        <v>-0.10080546741518184</v>
      </c>
    </row>
    <row r="114" spans="1:6" x14ac:dyDescent="0.2">
      <c r="A114" s="115">
        <v>2</v>
      </c>
      <c r="B114" s="116" t="s">
        <v>114</v>
      </c>
      <c r="C114" s="133">
        <v>3954</v>
      </c>
      <c r="D114" s="133">
        <v>3817</v>
      </c>
      <c r="E114" s="133">
        <f t="shared" si="16"/>
        <v>-137</v>
      </c>
      <c r="F114" s="114">
        <f t="shared" si="17"/>
        <v>-3.4648457258472432E-2</v>
      </c>
    </row>
    <row r="115" spans="1:6" x14ac:dyDescent="0.2">
      <c r="A115" s="115">
        <v>3</v>
      </c>
      <c r="B115" s="116" t="s">
        <v>115</v>
      </c>
      <c r="C115" s="133">
        <v>6529</v>
      </c>
      <c r="D115" s="133">
        <v>7135</v>
      </c>
      <c r="E115" s="133">
        <f t="shared" si="16"/>
        <v>606</v>
      </c>
      <c r="F115" s="114">
        <f t="shared" si="17"/>
        <v>9.2816664113953132E-2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70</v>
      </c>
      <c r="D117" s="133">
        <v>50</v>
      </c>
      <c r="E117" s="133">
        <f t="shared" si="16"/>
        <v>-20</v>
      </c>
      <c r="F117" s="114">
        <f t="shared" si="17"/>
        <v>-0.2857142857142857</v>
      </c>
    </row>
    <row r="118" spans="1:6" x14ac:dyDescent="0.2">
      <c r="A118" s="115">
        <v>6</v>
      </c>
      <c r="B118" s="116" t="s">
        <v>118</v>
      </c>
      <c r="C118" s="133">
        <v>3956</v>
      </c>
      <c r="D118" s="133">
        <v>3588</v>
      </c>
      <c r="E118" s="133">
        <f t="shared" si="16"/>
        <v>-368</v>
      </c>
      <c r="F118" s="114">
        <f t="shared" si="17"/>
        <v>-9.3023255813953487E-2</v>
      </c>
    </row>
    <row r="119" spans="1:6" x14ac:dyDescent="0.2">
      <c r="A119" s="115">
        <v>7</v>
      </c>
      <c r="B119" s="116" t="s">
        <v>119</v>
      </c>
      <c r="C119" s="133">
        <v>2595</v>
      </c>
      <c r="D119" s="133">
        <v>2059</v>
      </c>
      <c r="E119" s="133">
        <f t="shared" si="16"/>
        <v>-536</v>
      </c>
      <c r="F119" s="114">
        <f t="shared" si="17"/>
        <v>-0.20655105973025048</v>
      </c>
    </row>
    <row r="120" spans="1:6" x14ac:dyDescent="0.2">
      <c r="A120" s="115">
        <v>8</v>
      </c>
      <c r="B120" s="116" t="s">
        <v>120</v>
      </c>
      <c r="C120" s="133">
        <v>60</v>
      </c>
      <c r="D120" s="133">
        <v>19</v>
      </c>
      <c r="E120" s="133">
        <f t="shared" si="16"/>
        <v>-41</v>
      </c>
      <c r="F120" s="114">
        <f t="shared" si="17"/>
        <v>-0.68333333333333335</v>
      </c>
    </row>
    <row r="121" spans="1:6" x14ac:dyDescent="0.2">
      <c r="A121" s="115">
        <v>9</v>
      </c>
      <c r="B121" s="116" t="s">
        <v>121</v>
      </c>
      <c r="C121" s="133">
        <v>375</v>
      </c>
      <c r="D121" s="133">
        <v>360</v>
      </c>
      <c r="E121" s="133">
        <f t="shared" si="16"/>
        <v>-15</v>
      </c>
      <c r="F121" s="114">
        <f t="shared" si="17"/>
        <v>-0.04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29830</v>
      </c>
      <c r="D124" s="134">
        <f>SUM(D113:D123)</f>
        <v>28080</v>
      </c>
      <c r="E124" s="134">
        <f t="shared" si="16"/>
        <v>-1750</v>
      </c>
      <c r="F124" s="120">
        <f t="shared" si="17"/>
        <v>-5.8665772712034867E-2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61401</v>
      </c>
      <c r="D126" s="133">
        <v>60871</v>
      </c>
      <c r="E126" s="133">
        <f t="shared" ref="E126:E137" si="18">D126-C126</f>
        <v>-530</v>
      </c>
      <c r="F126" s="114">
        <f t="shared" ref="F126:F137" si="19">IF(C126=0,0,E126/C126)</f>
        <v>-8.6317812413478599E-3</v>
      </c>
    </row>
    <row r="127" spans="1:6" x14ac:dyDescent="0.2">
      <c r="A127" s="115">
        <v>2</v>
      </c>
      <c r="B127" s="116" t="s">
        <v>114</v>
      </c>
      <c r="C127" s="133">
        <v>17528</v>
      </c>
      <c r="D127" s="133">
        <v>18742</v>
      </c>
      <c r="E127" s="133">
        <f t="shared" si="18"/>
        <v>1214</v>
      </c>
      <c r="F127" s="114">
        <f t="shared" si="19"/>
        <v>6.9260611592879967E-2</v>
      </c>
    </row>
    <row r="128" spans="1:6" x14ac:dyDescent="0.2">
      <c r="A128" s="115">
        <v>3</v>
      </c>
      <c r="B128" s="116" t="s">
        <v>115</v>
      </c>
      <c r="C128" s="133">
        <v>43672</v>
      </c>
      <c r="D128" s="133">
        <v>49020</v>
      </c>
      <c r="E128" s="133">
        <f t="shared" si="18"/>
        <v>5348</v>
      </c>
      <c r="F128" s="114">
        <f t="shared" si="19"/>
        <v>0.12245832570067779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807</v>
      </c>
      <c r="D130" s="133">
        <v>870</v>
      </c>
      <c r="E130" s="133">
        <f t="shared" si="18"/>
        <v>63</v>
      </c>
      <c r="F130" s="114">
        <f t="shared" si="19"/>
        <v>7.8066914498141265E-2</v>
      </c>
    </row>
    <row r="131" spans="1:6" x14ac:dyDescent="0.2">
      <c r="A131" s="115">
        <v>6</v>
      </c>
      <c r="B131" s="116" t="s">
        <v>118</v>
      </c>
      <c r="C131" s="133">
        <v>48469</v>
      </c>
      <c r="D131" s="133">
        <v>49695</v>
      </c>
      <c r="E131" s="133">
        <f t="shared" si="18"/>
        <v>1226</v>
      </c>
      <c r="F131" s="114">
        <f t="shared" si="19"/>
        <v>2.5294518145618849E-2</v>
      </c>
    </row>
    <row r="132" spans="1:6" x14ac:dyDescent="0.2">
      <c r="A132" s="115">
        <v>7</v>
      </c>
      <c r="B132" s="116" t="s">
        <v>119</v>
      </c>
      <c r="C132" s="133">
        <v>26414</v>
      </c>
      <c r="D132" s="133">
        <v>22676</v>
      </c>
      <c r="E132" s="133">
        <f t="shared" si="18"/>
        <v>-3738</v>
      </c>
      <c r="F132" s="114">
        <f t="shared" si="19"/>
        <v>-0.14151586280003028</v>
      </c>
    </row>
    <row r="133" spans="1:6" x14ac:dyDescent="0.2">
      <c r="A133" s="115">
        <v>8</v>
      </c>
      <c r="B133" s="116" t="s">
        <v>120</v>
      </c>
      <c r="C133" s="133">
        <v>2560</v>
      </c>
      <c r="D133" s="133">
        <v>2569</v>
      </c>
      <c r="E133" s="133">
        <f t="shared" si="18"/>
        <v>9</v>
      </c>
      <c r="F133" s="114">
        <f t="shared" si="19"/>
        <v>3.5156250000000001E-3</v>
      </c>
    </row>
    <row r="134" spans="1:6" x14ac:dyDescent="0.2">
      <c r="A134" s="115">
        <v>9</v>
      </c>
      <c r="B134" s="116" t="s">
        <v>121</v>
      </c>
      <c r="C134" s="133">
        <v>4265</v>
      </c>
      <c r="D134" s="133">
        <v>3869</v>
      </c>
      <c r="E134" s="133">
        <f t="shared" si="18"/>
        <v>-396</v>
      </c>
      <c r="F134" s="114">
        <f t="shared" si="19"/>
        <v>-9.2848769050410312E-2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205116</v>
      </c>
      <c r="D137" s="134">
        <f>SUM(D126:D136)</f>
        <v>208312</v>
      </c>
      <c r="E137" s="134">
        <f t="shared" si="18"/>
        <v>3196</v>
      </c>
      <c r="F137" s="120">
        <f t="shared" si="19"/>
        <v>1.5581427094912148E-2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6924942</v>
      </c>
      <c r="D142" s="113">
        <v>7211710</v>
      </c>
      <c r="E142" s="113">
        <f t="shared" ref="E142:E153" si="20">D142-C142</f>
        <v>286768</v>
      </c>
      <c r="F142" s="114">
        <f t="shared" ref="F142:F153" si="21">IF(C142=0,0,E142/C142)</f>
        <v>4.1410888351122652E-2</v>
      </c>
    </row>
    <row r="143" spans="1:6" x14ac:dyDescent="0.2">
      <c r="A143" s="115">
        <v>2</v>
      </c>
      <c r="B143" s="116" t="s">
        <v>114</v>
      </c>
      <c r="C143" s="113">
        <v>2668542</v>
      </c>
      <c r="D143" s="113">
        <v>2915456</v>
      </c>
      <c r="E143" s="113">
        <f t="shared" si="20"/>
        <v>246914</v>
      </c>
      <c r="F143" s="114">
        <f t="shared" si="21"/>
        <v>9.2527679909103919E-2</v>
      </c>
    </row>
    <row r="144" spans="1:6" x14ac:dyDescent="0.2">
      <c r="A144" s="115">
        <v>3</v>
      </c>
      <c r="B144" s="116" t="s">
        <v>115</v>
      </c>
      <c r="C144" s="113">
        <v>17150586</v>
      </c>
      <c r="D144" s="113">
        <v>17798416</v>
      </c>
      <c r="E144" s="113">
        <f t="shared" si="20"/>
        <v>647830</v>
      </c>
      <c r="F144" s="114">
        <f t="shared" si="21"/>
        <v>3.7773053352229483E-2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113290</v>
      </c>
      <c r="D146" s="113">
        <v>155740</v>
      </c>
      <c r="E146" s="113">
        <f t="shared" si="20"/>
        <v>42450</v>
      </c>
      <c r="F146" s="114">
        <f t="shared" si="21"/>
        <v>0.37470209197634391</v>
      </c>
    </row>
    <row r="147" spans="1:6" x14ac:dyDescent="0.2">
      <c r="A147" s="115">
        <v>6</v>
      </c>
      <c r="B147" s="116" t="s">
        <v>118</v>
      </c>
      <c r="C147" s="113">
        <v>7272443</v>
      </c>
      <c r="D147" s="113">
        <v>7580686</v>
      </c>
      <c r="E147" s="113">
        <f t="shared" si="20"/>
        <v>308243</v>
      </c>
      <c r="F147" s="114">
        <f t="shared" si="21"/>
        <v>4.2385069226393388E-2</v>
      </c>
    </row>
    <row r="148" spans="1:6" x14ac:dyDescent="0.2">
      <c r="A148" s="115">
        <v>7</v>
      </c>
      <c r="B148" s="116" t="s">
        <v>119</v>
      </c>
      <c r="C148" s="113">
        <v>4511032</v>
      </c>
      <c r="D148" s="113">
        <v>3963213</v>
      </c>
      <c r="E148" s="113">
        <f t="shared" si="20"/>
        <v>-547819</v>
      </c>
      <c r="F148" s="114">
        <f t="shared" si="21"/>
        <v>-0.12143983904348274</v>
      </c>
    </row>
    <row r="149" spans="1:6" x14ac:dyDescent="0.2">
      <c r="A149" s="115">
        <v>8</v>
      </c>
      <c r="B149" s="116" t="s">
        <v>120</v>
      </c>
      <c r="C149" s="113">
        <v>542096</v>
      </c>
      <c r="D149" s="113">
        <v>578158</v>
      </c>
      <c r="E149" s="113">
        <f t="shared" si="20"/>
        <v>36062</v>
      </c>
      <c r="F149" s="114">
        <f t="shared" si="21"/>
        <v>6.6523272630677963E-2</v>
      </c>
    </row>
    <row r="150" spans="1:6" x14ac:dyDescent="0.2">
      <c r="A150" s="115">
        <v>9</v>
      </c>
      <c r="B150" s="116" t="s">
        <v>121</v>
      </c>
      <c r="C150" s="113">
        <v>2761735</v>
      </c>
      <c r="D150" s="113">
        <v>2078499</v>
      </c>
      <c r="E150" s="113">
        <f t="shared" si="20"/>
        <v>-683236</v>
      </c>
      <c r="F150" s="114">
        <f t="shared" si="21"/>
        <v>-0.24739375790943013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41944666</v>
      </c>
      <c r="D153" s="119">
        <f>SUM(D142:D152)</f>
        <v>42281878</v>
      </c>
      <c r="E153" s="119">
        <f t="shared" si="20"/>
        <v>337212</v>
      </c>
      <c r="F153" s="120">
        <f t="shared" si="21"/>
        <v>8.0394489254009081E-3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1394104</v>
      </c>
      <c r="D155" s="113">
        <v>1592960</v>
      </c>
      <c r="E155" s="113">
        <f t="shared" ref="E155:E166" si="22">D155-C155</f>
        <v>198856</v>
      </c>
      <c r="F155" s="114">
        <f t="shared" ref="F155:F166" si="23">IF(C155=0,0,E155/C155)</f>
        <v>0.14264072120874768</v>
      </c>
    </row>
    <row r="156" spans="1:6" x14ac:dyDescent="0.2">
      <c r="A156" s="115">
        <v>2</v>
      </c>
      <c r="B156" s="116" t="s">
        <v>114</v>
      </c>
      <c r="C156" s="113">
        <v>465276</v>
      </c>
      <c r="D156" s="113">
        <v>500011</v>
      </c>
      <c r="E156" s="113">
        <f t="shared" si="22"/>
        <v>34735</v>
      </c>
      <c r="F156" s="114">
        <f t="shared" si="23"/>
        <v>7.46546136056878E-2</v>
      </c>
    </row>
    <row r="157" spans="1:6" x14ac:dyDescent="0.2">
      <c r="A157" s="115">
        <v>3</v>
      </c>
      <c r="B157" s="116" t="s">
        <v>115</v>
      </c>
      <c r="C157" s="113">
        <v>3749746</v>
      </c>
      <c r="D157" s="113">
        <v>3772329</v>
      </c>
      <c r="E157" s="113">
        <f t="shared" si="22"/>
        <v>22583</v>
      </c>
      <c r="F157" s="114">
        <f t="shared" si="23"/>
        <v>6.0225412601280191E-3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12634</v>
      </c>
      <c r="D159" s="113">
        <v>38250</v>
      </c>
      <c r="E159" s="113">
        <f t="shared" si="22"/>
        <v>25616</v>
      </c>
      <c r="F159" s="114">
        <f t="shared" si="23"/>
        <v>2.0275447205952193</v>
      </c>
    </row>
    <row r="160" spans="1:6" x14ac:dyDescent="0.2">
      <c r="A160" s="115">
        <v>6</v>
      </c>
      <c r="B160" s="116" t="s">
        <v>118</v>
      </c>
      <c r="C160" s="113">
        <v>2656593</v>
      </c>
      <c r="D160" s="113">
        <v>2843526</v>
      </c>
      <c r="E160" s="113">
        <f t="shared" si="22"/>
        <v>186933</v>
      </c>
      <c r="F160" s="114">
        <f t="shared" si="23"/>
        <v>7.0365690190405533E-2</v>
      </c>
    </row>
    <row r="161" spans="1:6" x14ac:dyDescent="0.2">
      <c r="A161" s="115">
        <v>7</v>
      </c>
      <c r="B161" s="116" t="s">
        <v>119</v>
      </c>
      <c r="C161" s="113">
        <v>1903332</v>
      </c>
      <c r="D161" s="113">
        <v>1705763</v>
      </c>
      <c r="E161" s="113">
        <f t="shared" si="22"/>
        <v>-197569</v>
      </c>
      <c r="F161" s="114">
        <f t="shared" si="23"/>
        <v>-0.1038016488978276</v>
      </c>
    </row>
    <row r="162" spans="1:6" x14ac:dyDescent="0.2">
      <c r="A162" s="115">
        <v>8</v>
      </c>
      <c r="B162" s="116" t="s">
        <v>120</v>
      </c>
      <c r="C162" s="113">
        <v>542096</v>
      </c>
      <c r="D162" s="113">
        <v>578158</v>
      </c>
      <c r="E162" s="113">
        <f t="shared" si="22"/>
        <v>36062</v>
      </c>
      <c r="F162" s="114">
        <f t="shared" si="23"/>
        <v>6.6523272630677963E-2</v>
      </c>
    </row>
    <row r="163" spans="1:6" x14ac:dyDescent="0.2">
      <c r="A163" s="115">
        <v>9</v>
      </c>
      <c r="B163" s="116" t="s">
        <v>121</v>
      </c>
      <c r="C163" s="113">
        <v>32056</v>
      </c>
      <c r="D163" s="113">
        <v>43869</v>
      </c>
      <c r="E163" s="113">
        <f t="shared" si="22"/>
        <v>11813</v>
      </c>
      <c r="F163" s="114">
        <f t="shared" si="23"/>
        <v>0.36851135512852506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10755837</v>
      </c>
      <c r="D166" s="119">
        <f>SUM(D155:D165)</f>
        <v>11074866</v>
      </c>
      <c r="E166" s="119">
        <f t="shared" si="22"/>
        <v>319029</v>
      </c>
      <c r="F166" s="120">
        <f t="shared" si="23"/>
        <v>2.9661011039866073E-2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4724</v>
      </c>
      <c r="D168" s="133">
        <v>4892</v>
      </c>
      <c r="E168" s="133">
        <f t="shared" ref="E168:E179" si="24">D168-C168</f>
        <v>168</v>
      </c>
      <c r="F168" s="114">
        <f t="shared" ref="F168:F179" si="25">IF(C168=0,0,E168/C168)</f>
        <v>3.556308213378493E-2</v>
      </c>
    </row>
    <row r="169" spans="1:6" x14ac:dyDescent="0.2">
      <c r="A169" s="115">
        <v>2</v>
      </c>
      <c r="B169" s="116" t="s">
        <v>114</v>
      </c>
      <c r="C169" s="133">
        <v>1780</v>
      </c>
      <c r="D169" s="133">
        <v>2017</v>
      </c>
      <c r="E169" s="133">
        <f t="shared" si="24"/>
        <v>237</v>
      </c>
      <c r="F169" s="114">
        <f t="shared" si="25"/>
        <v>0.13314606741573035</v>
      </c>
    </row>
    <row r="170" spans="1:6" x14ac:dyDescent="0.2">
      <c r="A170" s="115">
        <v>3</v>
      </c>
      <c r="B170" s="116" t="s">
        <v>115</v>
      </c>
      <c r="C170" s="133">
        <v>14935</v>
      </c>
      <c r="D170" s="133">
        <v>16023</v>
      </c>
      <c r="E170" s="133">
        <f t="shared" si="24"/>
        <v>1088</v>
      </c>
      <c r="F170" s="114">
        <f t="shared" si="25"/>
        <v>7.2849012387010373E-2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105</v>
      </c>
      <c r="D172" s="133">
        <v>129</v>
      </c>
      <c r="E172" s="133">
        <f t="shared" si="24"/>
        <v>24</v>
      </c>
      <c r="F172" s="114">
        <f t="shared" si="25"/>
        <v>0.22857142857142856</v>
      </c>
    </row>
    <row r="173" spans="1:6" x14ac:dyDescent="0.2">
      <c r="A173" s="115">
        <v>6</v>
      </c>
      <c r="B173" s="116" t="s">
        <v>118</v>
      </c>
      <c r="C173" s="133">
        <v>5642</v>
      </c>
      <c r="D173" s="133">
        <v>5797</v>
      </c>
      <c r="E173" s="133">
        <f t="shared" si="24"/>
        <v>155</v>
      </c>
      <c r="F173" s="114">
        <f t="shared" si="25"/>
        <v>2.7472527472527472E-2</v>
      </c>
    </row>
    <row r="174" spans="1:6" x14ac:dyDescent="0.2">
      <c r="A174" s="115">
        <v>7</v>
      </c>
      <c r="B174" s="116" t="s">
        <v>119</v>
      </c>
      <c r="C174" s="133">
        <v>3544</v>
      </c>
      <c r="D174" s="133">
        <v>3191</v>
      </c>
      <c r="E174" s="133">
        <f t="shared" si="24"/>
        <v>-353</v>
      </c>
      <c r="F174" s="114">
        <f t="shared" si="25"/>
        <v>-9.9604966139954856E-2</v>
      </c>
    </row>
    <row r="175" spans="1:6" x14ac:dyDescent="0.2">
      <c r="A175" s="115">
        <v>8</v>
      </c>
      <c r="B175" s="116" t="s">
        <v>120</v>
      </c>
      <c r="C175" s="133">
        <v>460</v>
      </c>
      <c r="D175" s="133">
        <v>533</v>
      </c>
      <c r="E175" s="133">
        <f t="shared" si="24"/>
        <v>73</v>
      </c>
      <c r="F175" s="114">
        <f t="shared" si="25"/>
        <v>0.15869565217391304</v>
      </c>
    </row>
    <row r="176" spans="1:6" x14ac:dyDescent="0.2">
      <c r="A176" s="115">
        <v>9</v>
      </c>
      <c r="B176" s="116" t="s">
        <v>121</v>
      </c>
      <c r="C176" s="133">
        <v>2299</v>
      </c>
      <c r="D176" s="133">
        <v>1728</v>
      </c>
      <c r="E176" s="133">
        <f t="shared" si="24"/>
        <v>-571</v>
      </c>
      <c r="F176" s="114">
        <f t="shared" si="25"/>
        <v>-0.2483688560243584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33489</v>
      </c>
      <c r="D179" s="134">
        <f>SUM(D168:D178)</f>
        <v>34310</v>
      </c>
      <c r="E179" s="134">
        <f t="shared" si="24"/>
        <v>821</v>
      </c>
      <c r="F179" s="120">
        <f t="shared" si="25"/>
        <v>2.451551255636179E-2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FILING&amp;RBRISTOL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zoomScale="75" zoomScaleNormal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22096741</v>
      </c>
      <c r="D15" s="157">
        <v>22908235</v>
      </c>
      <c r="E15" s="157">
        <f>+D15-C15</f>
        <v>811494</v>
      </c>
      <c r="F15" s="161">
        <f>IF(C15=0,0,E15/C15)</f>
        <v>3.6724601152722025E-2</v>
      </c>
    </row>
    <row r="16" spans="1:6" ht="15" customHeight="1" x14ac:dyDescent="0.2">
      <c r="A16" s="147">
        <v>2</v>
      </c>
      <c r="B16" s="160" t="s">
        <v>157</v>
      </c>
      <c r="C16" s="157">
        <v>380804</v>
      </c>
      <c r="D16" s="157">
        <v>499496</v>
      </c>
      <c r="E16" s="157">
        <f>+D16-C16</f>
        <v>118692</v>
      </c>
      <c r="F16" s="161">
        <f>IF(C16=0,0,E16/C16)</f>
        <v>0.3116879024379996</v>
      </c>
    </row>
    <row r="17" spans="1:6" ht="15" customHeight="1" x14ac:dyDescent="0.2">
      <c r="A17" s="147">
        <v>3</v>
      </c>
      <c r="B17" s="160" t="s">
        <v>158</v>
      </c>
      <c r="C17" s="157">
        <v>35401998</v>
      </c>
      <c r="D17" s="157">
        <v>33579398</v>
      </c>
      <c r="E17" s="157">
        <f>+D17-C17</f>
        <v>-1822600</v>
      </c>
      <c r="F17" s="161">
        <f>IF(C17=0,0,E17/C17)</f>
        <v>-5.1482969972485734E-2</v>
      </c>
    </row>
    <row r="18" spans="1:6" ht="15.75" customHeight="1" x14ac:dyDescent="0.25">
      <c r="A18" s="147"/>
      <c r="B18" s="162" t="s">
        <v>159</v>
      </c>
      <c r="C18" s="158">
        <f>SUM(C15:C17)</f>
        <v>57879543</v>
      </c>
      <c r="D18" s="158">
        <f>SUM(D15:D17)</f>
        <v>56987129</v>
      </c>
      <c r="E18" s="158">
        <f>+D18-C18</f>
        <v>-892414</v>
      </c>
      <c r="F18" s="159">
        <f>IF(C18=0,0,E18/C18)</f>
        <v>-1.541847004562562E-2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6023785</v>
      </c>
      <c r="D21" s="157">
        <v>5723680</v>
      </c>
      <c r="E21" s="157">
        <f>+D21-C21</f>
        <v>-300105</v>
      </c>
      <c r="F21" s="161">
        <f>IF(C21=0,0,E21/C21)</f>
        <v>-4.9820005196068586E-2</v>
      </c>
    </row>
    <row r="22" spans="1:6" ht="15" customHeight="1" x14ac:dyDescent="0.2">
      <c r="A22" s="147">
        <v>2</v>
      </c>
      <c r="B22" s="160" t="s">
        <v>162</v>
      </c>
      <c r="C22" s="157">
        <v>103811</v>
      </c>
      <c r="D22" s="157">
        <v>124800</v>
      </c>
      <c r="E22" s="157">
        <f>+D22-C22</f>
        <v>20989</v>
      </c>
      <c r="F22" s="161">
        <f>IF(C22=0,0,E22/C22)</f>
        <v>0.20218473957480421</v>
      </c>
    </row>
    <row r="23" spans="1:6" ht="15" customHeight="1" x14ac:dyDescent="0.2">
      <c r="A23" s="147">
        <v>3</v>
      </c>
      <c r="B23" s="160" t="s">
        <v>163</v>
      </c>
      <c r="C23" s="157">
        <v>9650926</v>
      </c>
      <c r="D23" s="157">
        <v>8389897</v>
      </c>
      <c r="E23" s="157">
        <f>+D23-C23</f>
        <v>-1261029</v>
      </c>
      <c r="F23" s="161">
        <f>IF(C23=0,0,E23/C23)</f>
        <v>-0.13066404197897694</v>
      </c>
    </row>
    <row r="24" spans="1:6" ht="15.75" customHeight="1" x14ac:dyDescent="0.25">
      <c r="A24" s="147"/>
      <c r="B24" s="162" t="s">
        <v>164</v>
      </c>
      <c r="C24" s="158">
        <f>SUM(C21:C23)</f>
        <v>15778522</v>
      </c>
      <c r="D24" s="158">
        <f>SUM(D21:D23)</f>
        <v>14238377</v>
      </c>
      <c r="E24" s="158">
        <f>+D24-C24</f>
        <v>-1540145</v>
      </c>
      <c r="F24" s="159">
        <f>IF(C24=0,0,E24/C24)</f>
        <v>-9.7610219765831049E-2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385431</v>
      </c>
      <c r="D27" s="157">
        <v>115372</v>
      </c>
      <c r="E27" s="157">
        <f>+D27-C27</f>
        <v>-270059</v>
      </c>
      <c r="F27" s="161">
        <f>IF(C27=0,0,E27/C27)</f>
        <v>-0.70066756436301181</v>
      </c>
    </row>
    <row r="28" spans="1:6" ht="15" customHeight="1" x14ac:dyDescent="0.2">
      <c r="A28" s="147">
        <v>2</v>
      </c>
      <c r="B28" s="160" t="s">
        <v>167</v>
      </c>
      <c r="C28" s="157">
        <v>11947454</v>
      </c>
      <c r="D28" s="157">
        <v>12846687</v>
      </c>
      <c r="E28" s="157">
        <f>+D28-C28</f>
        <v>899233</v>
      </c>
      <c r="F28" s="161">
        <f>IF(C28=0,0,E28/C28)</f>
        <v>7.5265659110300823E-2</v>
      </c>
    </row>
    <row r="29" spans="1:6" ht="15" customHeight="1" x14ac:dyDescent="0.2">
      <c r="A29" s="147">
        <v>3</v>
      </c>
      <c r="B29" s="160" t="s">
        <v>168</v>
      </c>
      <c r="C29" s="157">
        <v>1221983</v>
      </c>
      <c r="D29" s="157">
        <v>1102480</v>
      </c>
      <c r="E29" s="157">
        <f>+D29-C29</f>
        <v>-119503</v>
      </c>
      <c r="F29" s="161">
        <f>IF(C29=0,0,E29/C29)</f>
        <v>-9.7794322834278385E-2</v>
      </c>
    </row>
    <row r="30" spans="1:6" ht="15.75" customHeight="1" x14ac:dyDescent="0.25">
      <c r="A30" s="147"/>
      <c r="B30" s="162" t="s">
        <v>169</v>
      </c>
      <c r="C30" s="158">
        <f>SUM(C27:C29)</f>
        <v>13554868</v>
      </c>
      <c r="D30" s="158">
        <f>SUM(D27:D29)</f>
        <v>14064539</v>
      </c>
      <c r="E30" s="158">
        <f>+D30-C30</f>
        <v>509671</v>
      </c>
      <c r="F30" s="159">
        <f>IF(C30=0,0,E30/C30)</f>
        <v>3.7600587478978029E-2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11721788</v>
      </c>
      <c r="D33" s="157">
        <v>10706507</v>
      </c>
      <c r="E33" s="157">
        <f>+D33-C33</f>
        <v>-1015281</v>
      </c>
      <c r="F33" s="161">
        <f>IF(C33=0,0,E33/C33)</f>
        <v>-8.6614857733308265E-2</v>
      </c>
    </row>
    <row r="34" spans="1:6" ht="15" customHeight="1" x14ac:dyDescent="0.2">
      <c r="A34" s="147">
        <v>2</v>
      </c>
      <c r="B34" s="160" t="s">
        <v>173</v>
      </c>
      <c r="C34" s="157">
        <v>8878275</v>
      </c>
      <c r="D34" s="157">
        <v>9117103</v>
      </c>
      <c r="E34" s="157">
        <f>+D34-C34</f>
        <v>238828</v>
      </c>
      <c r="F34" s="161">
        <f>IF(C34=0,0,E34/C34)</f>
        <v>2.6900270604368528E-2</v>
      </c>
    </row>
    <row r="35" spans="1:6" ht="15.75" customHeight="1" x14ac:dyDescent="0.25">
      <c r="A35" s="147"/>
      <c r="B35" s="162" t="s">
        <v>174</v>
      </c>
      <c r="C35" s="158">
        <f>SUM(C33:C34)</f>
        <v>20600063</v>
      </c>
      <c r="D35" s="158">
        <f>SUM(D33:D34)</f>
        <v>19823610</v>
      </c>
      <c r="E35" s="158">
        <f>+D35-C35</f>
        <v>-776453</v>
      </c>
      <c r="F35" s="159">
        <f>IF(C35=0,0,E35/C35)</f>
        <v>-3.7691777932912146E-2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2290218</v>
      </c>
      <c r="D38" s="157">
        <v>2523109</v>
      </c>
      <c r="E38" s="157">
        <f>+D38-C38</f>
        <v>232891</v>
      </c>
      <c r="F38" s="161">
        <f>IF(C38=0,0,E38/C38)</f>
        <v>0.10168944615752737</v>
      </c>
    </row>
    <row r="39" spans="1:6" ht="15" customHeight="1" x14ac:dyDescent="0.2">
      <c r="A39" s="147">
        <v>2</v>
      </c>
      <c r="B39" s="160" t="s">
        <v>178</v>
      </c>
      <c r="C39" s="157">
        <v>4269603</v>
      </c>
      <c r="D39" s="157">
        <v>4598961</v>
      </c>
      <c r="E39" s="157">
        <f>+D39-C39</f>
        <v>329358</v>
      </c>
      <c r="F39" s="161">
        <f>IF(C39=0,0,E39/C39)</f>
        <v>7.7140193128026183E-2</v>
      </c>
    </row>
    <row r="40" spans="1:6" ht="15" customHeight="1" x14ac:dyDescent="0.2">
      <c r="A40" s="147">
        <v>3</v>
      </c>
      <c r="B40" s="160" t="s">
        <v>179</v>
      </c>
      <c r="C40" s="157">
        <v>54594</v>
      </c>
      <c r="D40" s="157">
        <v>54594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6614415</v>
      </c>
      <c r="D41" s="158">
        <f>SUM(D38:D40)</f>
        <v>7176664</v>
      </c>
      <c r="E41" s="158">
        <f>+D41-C41</f>
        <v>562249</v>
      </c>
      <c r="F41" s="159">
        <f>IF(C41=0,0,E41/C41)</f>
        <v>8.5003586862934966E-2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1412468</v>
      </c>
      <c r="D47" s="157">
        <v>1267462</v>
      </c>
      <c r="E47" s="157">
        <f>+D47-C47</f>
        <v>-145006</v>
      </c>
      <c r="F47" s="161">
        <f>IF(C47=0,0,E47/C47)</f>
        <v>-0.10266144082556207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498257</v>
      </c>
      <c r="D50" s="157">
        <v>317020</v>
      </c>
      <c r="E50" s="157">
        <f>+D50-C50</f>
        <v>-181237</v>
      </c>
      <c r="F50" s="161">
        <f>IF(C50=0,0,E50/C50)</f>
        <v>-0.36374200462813366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71068</v>
      </c>
      <c r="D53" s="157">
        <v>64227</v>
      </c>
      <c r="E53" s="157">
        <f t="shared" ref="E53:E59" si="0">+D53-C53</f>
        <v>-6841</v>
      </c>
      <c r="F53" s="161">
        <f t="shared" ref="F53:F59" si="1">IF(C53=0,0,E53/C53)</f>
        <v>-9.6259920076546407E-2</v>
      </c>
    </row>
    <row r="54" spans="1:6" ht="15" customHeight="1" x14ac:dyDescent="0.2">
      <c r="A54" s="147">
        <v>2</v>
      </c>
      <c r="B54" s="160" t="s">
        <v>189</v>
      </c>
      <c r="C54" s="157">
        <v>647617</v>
      </c>
      <c r="D54" s="157">
        <v>593563</v>
      </c>
      <c r="E54" s="157">
        <f t="shared" si="0"/>
        <v>-54054</v>
      </c>
      <c r="F54" s="161">
        <f t="shared" si="1"/>
        <v>-8.3465999193968035E-2</v>
      </c>
    </row>
    <row r="55" spans="1:6" ht="15" customHeight="1" x14ac:dyDescent="0.2">
      <c r="A55" s="147">
        <v>3</v>
      </c>
      <c r="B55" s="160" t="s">
        <v>190</v>
      </c>
      <c r="C55" s="157">
        <v>136287</v>
      </c>
      <c r="D55" s="157">
        <v>59000</v>
      </c>
      <c r="E55" s="157">
        <f t="shared" si="0"/>
        <v>-77287</v>
      </c>
      <c r="F55" s="161">
        <f t="shared" si="1"/>
        <v>-0.56709003793465262</v>
      </c>
    </row>
    <row r="56" spans="1:6" ht="15" customHeight="1" x14ac:dyDescent="0.2">
      <c r="A56" s="147">
        <v>4</v>
      </c>
      <c r="B56" s="160" t="s">
        <v>191</v>
      </c>
      <c r="C56" s="157">
        <v>1273785</v>
      </c>
      <c r="D56" s="157">
        <v>1160507</v>
      </c>
      <c r="E56" s="157">
        <f t="shared" si="0"/>
        <v>-113278</v>
      </c>
      <c r="F56" s="161">
        <f t="shared" si="1"/>
        <v>-8.8930235479299888E-2</v>
      </c>
    </row>
    <row r="57" spans="1:6" ht="15" customHeight="1" x14ac:dyDescent="0.2">
      <c r="A57" s="147">
        <v>5</v>
      </c>
      <c r="B57" s="160" t="s">
        <v>192</v>
      </c>
      <c r="C57" s="157">
        <v>425197</v>
      </c>
      <c r="D57" s="157">
        <v>318159</v>
      </c>
      <c r="E57" s="157">
        <f t="shared" si="0"/>
        <v>-107038</v>
      </c>
      <c r="F57" s="161">
        <f t="shared" si="1"/>
        <v>-0.25173742994423759</v>
      </c>
    </row>
    <row r="58" spans="1:6" ht="15" customHeight="1" x14ac:dyDescent="0.2">
      <c r="A58" s="147">
        <v>6</v>
      </c>
      <c r="B58" s="160" t="s">
        <v>193</v>
      </c>
      <c r="C58" s="157">
        <v>40471</v>
      </c>
      <c r="D58" s="157">
        <v>34704</v>
      </c>
      <c r="E58" s="157">
        <f t="shared" si="0"/>
        <v>-5767</v>
      </c>
      <c r="F58" s="161">
        <f t="shared" si="1"/>
        <v>-0.14249709668651628</v>
      </c>
    </row>
    <row r="59" spans="1:6" ht="15.75" customHeight="1" x14ac:dyDescent="0.25">
      <c r="A59" s="147"/>
      <c r="B59" s="162" t="s">
        <v>194</v>
      </c>
      <c r="C59" s="158">
        <f>SUM(C53:C58)</f>
        <v>2594425</v>
      </c>
      <c r="D59" s="158">
        <f>SUM(D53:D58)</f>
        <v>2230160</v>
      </c>
      <c r="E59" s="158">
        <f t="shared" si="0"/>
        <v>-364265</v>
      </c>
      <c r="F59" s="159">
        <f t="shared" si="1"/>
        <v>-0.14040297946558486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146633</v>
      </c>
      <c r="D62" s="157">
        <v>181022</v>
      </c>
      <c r="E62" s="157">
        <f t="shared" ref="E62:E90" si="2">+D62-C62</f>
        <v>34389</v>
      </c>
      <c r="F62" s="161">
        <f t="shared" ref="F62:F90" si="3">IF(C62=0,0,E62/C62)</f>
        <v>0.23452428852986709</v>
      </c>
    </row>
    <row r="63" spans="1:6" ht="15" customHeight="1" x14ac:dyDescent="0.2">
      <c r="A63" s="147">
        <v>2</v>
      </c>
      <c r="B63" s="160" t="s">
        <v>198</v>
      </c>
      <c r="C63" s="157">
        <v>552463</v>
      </c>
      <c r="D63" s="157">
        <v>448349</v>
      </c>
      <c r="E63" s="157">
        <f t="shared" si="2"/>
        <v>-104114</v>
      </c>
      <c r="F63" s="161">
        <f t="shared" si="3"/>
        <v>-0.18845424942484837</v>
      </c>
    </row>
    <row r="64" spans="1:6" ht="15" customHeight="1" x14ac:dyDescent="0.2">
      <c r="A64" s="147">
        <v>3</v>
      </c>
      <c r="B64" s="160" t="s">
        <v>199</v>
      </c>
      <c r="C64" s="157">
        <v>1622237</v>
      </c>
      <c r="D64" s="157">
        <v>1437529</v>
      </c>
      <c r="E64" s="157">
        <f t="shared" si="2"/>
        <v>-184708</v>
      </c>
      <c r="F64" s="161">
        <f t="shared" si="3"/>
        <v>-0.11386005867206826</v>
      </c>
    </row>
    <row r="65" spans="1:6" ht="15" customHeight="1" x14ac:dyDescent="0.2">
      <c r="A65" s="147">
        <v>4</v>
      </c>
      <c r="B65" s="160" t="s">
        <v>200</v>
      </c>
      <c r="C65" s="157">
        <v>265684</v>
      </c>
      <c r="D65" s="157">
        <v>263013</v>
      </c>
      <c r="E65" s="157">
        <f t="shared" si="2"/>
        <v>-2671</v>
      </c>
      <c r="F65" s="161">
        <f t="shared" si="3"/>
        <v>-1.0053296397223769E-2</v>
      </c>
    </row>
    <row r="66" spans="1:6" ht="15" customHeight="1" x14ac:dyDescent="0.2">
      <c r="A66" s="147">
        <v>5</v>
      </c>
      <c r="B66" s="160" t="s">
        <v>201</v>
      </c>
      <c r="C66" s="157">
        <v>1253928</v>
      </c>
      <c r="D66" s="157">
        <v>1101650</v>
      </c>
      <c r="E66" s="157">
        <f t="shared" si="2"/>
        <v>-152278</v>
      </c>
      <c r="F66" s="161">
        <f t="shared" si="3"/>
        <v>-0.12144078447885365</v>
      </c>
    </row>
    <row r="67" spans="1:6" ht="15" customHeight="1" x14ac:dyDescent="0.2">
      <c r="A67" s="147">
        <v>6</v>
      </c>
      <c r="B67" s="160" t="s">
        <v>202</v>
      </c>
      <c r="C67" s="157">
        <v>865631</v>
      </c>
      <c r="D67" s="157">
        <v>651336</v>
      </c>
      <c r="E67" s="157">
        <f t="shared" si="2"/>
        <v>-214295</v>
      </c>
      <c r="F67" s="161">
        <f t="shared" si="3"/>
        <v>-0.24755929489586209</v>
      </c>
    </row>
    <row r="68" spans="1:6" ht="15" customHeight="1" x14ac:dyDescent="0.2">
      <c r="A68" s="147">
        <v>7</v>
      </c>
      <c r="B68" s="160" t="s">
        <v>203</v>
      </c>
      <c r="C68" s="157">
        <v>250883</v>
      </c>
      <c r="D68" s="157">
        <v>216766</v>
      </c>
      <c r="E68" s="157">
        <f t="shared" si="2"/>
        <v>-34117</v>
      </c>
      <c r="F68" s="161">
        <f t="shared" si="3"/>
        <v>-0.13598769147371484</v>
      </c>
    </row>
    <row r="69" spans="1:6" ht="15" customHeight="1" x14ac:dyDescent="0.2">
      <c r="A69" s="147">
        <v>8</v>
      </c>
      <c r="B69" s="160" t="s">
        <v>204</v>
      </c>
      <c r="C69" s="157">
        <v>1264305</v>
      </c>
      <c r="D69" s="157">
        <v>1144389</v>
      </c>
      <c r="E69" s="157">
        <f t="shared" si="2"/>
        <v>-119916</v>
      </c>
      <c r="F69" s="161">
        <f t="shared" si="3"/>
        <v>-9.4847366735083705E-2</v>
      </c>
    </row>
    <row r="70" spans="1:6" ht="15" customHeight="1" x14ac:dyDescent="0.2">
      <c r="A70" s="147">
        <v>9</v>
      </c>
      <c r="B70" s="160" t="s">
        <v>205</v>
      </c>
      <c r="C70" s="157">
        <v>234642</v>
      </c>
      <c r="D70" s="157">
        <v>243935</v>
      </c>
      <c r="E70" s="157">
        <f t="shared" si="2"/>
        <v>9293</v>
      </c>
      <c r="F70" s="161">
        <f t="shared" si="3"/>
        <v>3.9605015299903686E-2</v>
      </c>
    </row>
    <row r="71" spans="1:6" ht="15" customHeight="1" x14ac:dyDescent="0.2">
      <c r="A71" s="147">
        <v>10</v>
      </c>
      <c r="B71" s="160" t="s">
        <v>206</v>
      </c>
      <c r="C71" s="157">
        <v>2735</v>
      </c>
      <c r="D71" s="157">
        <v>120</v>
      </c>
      <c r="E71" s="157">
        <f t="shared" si="2"/>
        <v>-2615</v>
      </c>
      <c r="F71" s="161">
        <f t="shared" si="3"/>
        <v>-0.95612431444241319</v>
      </c>
    </row>
    <row r="72" spans="1:6" ht="15" customHeight="1" x14ac:dyDescent="0.2">
      <c r="A72" s="147">
        <v>11</v>
      </c>
      <c r="B72" s="160" t="s">
        <v>207</v>
      </c>
      <c r="C72" s="157">
        <v>110085</v>
      </c>
      <c r="D72" s="157">
        <v>178925</v>
      </c>
      <c r="E72" s="157">
        <f t="shared" si="2"/>
        <v>68840</v>
      </c>
      <c r="F72" s="161">
        <f t="shared" si="3"/>
        <v>0.62533496843348324</v>
      </c>
    </row>
    <row r="73" spans="1:6" ht="15" customHeight="1" x14ac:dyDescent="0.2">
      <c r="A73" s="147">
        <v>12</v>
      </c>
      <c r="B73" s="160" t="s">
        <v>208</v>
      </c>
      <c r="C73" s="157">
        <v>442717</v>
      </c>
      <c r="D73" s="157">
        <v>566649</v>
      </c>
      <c r="E73" s="157">
        <f t="shared" si="2"/>
        <v>123932</v>
      </c>
      <c r="F73" s="161">
        <f t="shared" si="3"/>
        <v>0.27993503750703047</v>
      </c>
    </row>
    <row r="74" spans="1:6" ht="15" customHeight="1" x14ac:dyDescent="0.2">
      <c r="A74" s="147">
        <v>13</v>
      </c>
      <c r="B74" s="160" t="s">
        <v>209</v>
      </c>
      <c r="C74" s="157">
        <v>11927</v>
      </c>
      <c r="D74" s="157">
        <v>33816</v>
      </c>
      <c r="E74" s="157">
        <f t="shared" si="2"/>
        <v>21889</v>
      </c>
      <c r="F74" s="161">
        <f t="shared" si="3"/>
        <v>1.8352477571895698</v>
      </c>
    </row>
    <row r="75" spans="1:6" ht="15" customHeight="1" x14ac:dyDescent="0.2">
      <c r="A75" s="147">
        <v>14</v>
      </c>
      <c r="B75" s="160" t="s">
        <v>210</v>
      </c>
      <c r="C75" s="157">
        <v>143072</v>
      </c>
      <c r="D75" s="157">
        <v>138258</v>
      </c>
      <c r="E75" s="157">
        <f t="shared" si="2"/>
        <v>-4814</v>
      </c>
      <c r="F75" s="161">
        <f t="shared" si="3"/>
        <v>-3.3647394318944306E-2</v>
      </c>
    </row>
    <row r="76" spans="1:6" ht="15" customHeight="1" x14ac:dyDescent="0.2">
      <c r="A76" s="147">
        <v>15</v>
      </c>
      <c r="B76" s="160" t="s">
        <v>211</v>
      </c>
      <c r="C76" s="157">
        <v>1675469</v>
      </c>
      <c r="D76" s="157">
        <v>1066810</v>
      </c>
      <c r="E76" s="157">
        <f t="shared" si="2"/>
        <v>-608659</v>
      </c>
      <c r="F76" s="161">
        <f t="shared" si="3"/>
        <v>-0.36327678996149737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2270156</v>
      </c>
      <c r="D78" s="157">
        <v>2153086</v>
      </c>
      <c r="E78" s="157">
        <f t="shared" si="2"/>
        <v>-117070</v>
      </c>
      <c r="F78" s="161">
        <f t="shared" si="3"/>
        <v>-5.1569143265925335E-2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838052</v>
      </c>
      <c r="D80" s="157">
        <v>846894</v>
      </c>
      <c r="E80" s="157">
        <f t="shared" si="2"/>
        <v>8842</v>
      </c>
      <c r="F80" s="161">
        <f t="shared" si="3"/>
        <v>1.0550657954399011E-2</v>
      </c>
    </row>
    <row r="81" spans="1:6" ht="15" customHeight="1" x14ac:dyDescent="0.2">
      <c r="A81" s="147">
        <v>20</v>
      </c>
      <c r="B81" s="160" t="s">
        <v>216</v>
      </c>
      <c r="C81" s="157">
        <v>1589588</v>
      </c>
      <c r="D81" s="157">
        <v>1308264</v>
      </c>
      <c r="E81" s="157">
        <f t="shared" si="2"/>
        <v>-281324</v>
      </c>
      <c r="F81" s="161">
        <f t="shared" si="3"/>
        <v>-0.17697919209254223</v>
      </c>
    </row>
    <row r="82" spans="1:6" ht="15" customHeight="1" x14ac:dyDescent="0.2">
      <c r="A82" s="147">
        <v>21</v>
      </c>
      <c r="B82" s="160" t="s">
        <v>217</v>
      </c>
      <c r="C82" s="157">
        <v>1721554</v>
      </c>
      <c r="D82" s="157">
        <v>1528024</v>
      </c>
      <c r="E82" s="157">
        <f t="shared" si="2"/>
        <v>-193530</v>
      </c>
      <c r="F82" s="161">
        <f t="shared" si="3"/>
        <v>-0.11241587542418072</v>
      </c>
    </row>
    <row r="83" spans="1:6" ht="15" customHeight="1" x14ac:dyDescent="0.2">
      <c r="A83" s="147">
        <v>22</v>
      </c>
      <c r="B83" s="160" t="s">
        <v>218</v>
      </c>
      <c r="C83" s="157">
        <v>164167</v>
      </c>
      <c r="D83" s="157">
        <v>153922</v>
      </c>
      <c r="E83" s="157">
        <f t="shared" si="2"/>
        <v>-10245</v>
      </c>
      <c r="F83" s="161">
        <f t="shared" si="3"/>
        <v>-6.240596465793978E-2</v>
      </c>
    </row>
    <row r="84" spans="1:6" ht="15" customHeight="1" x14ac:dyDescent="0.2">
      <c r="A84" s="147">
        <v>23</v>
      </c>
      <c r="B84" s="160" t="s">
        <v>219</v>
      </c>
      <c r="C84" s="157">
        <v>83266</v>
      </c>
      <c r="D84" s="157">
        <v>66072</v>
      </c>
      <c r="E84" s="157">
        <f t="shared" si="2"/>
        <v>-17194</v>
      </c>
      <c r="F84" s="161">
        <f t="shared" si="3"/>
        <v>-0.20649484783705233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180185</v>
      </c>
      <c r="D86" s="157">
        <v>196015</v>
      </c>
      <c r="E86" s="157">
        <f t="shared" si="2"/>
        <v>15830</v>
      </c>
      <c r="F86" s="161">
        <f t="shared" si="3"/>
        <v>8.7854149901490139E-2</v>
      </c>
    </row>
    <row r="87" spans="1:6" ht="15" customHeight="1" x14ac:dyDescent="0.2">
      <c r="A87" s="147">
        <v>26</v>
      </c>
      <c r="B87" s="160" t="s">
        <v>222</v>
      </c>
      <c r="C87" s="157">
        <v>667212</v>
      </c>
      <c r="D87" s="157">
        <v>511355</v>
      </c>
      <c r="E87" s="157">
        <f t="shared" si="2"/>
        <v>-155857</v>
      </c>
      <c r="F87" s="161">
        <f t="shared" si="3"/>
        <v>-0.23359441976463252</v>
      </c>
    </row>
    <row r="88" spans="1:6" ht="15" customHeight="1" x14ac:dyDescent="0.2">
      <c r="A88" s="147">
        <v>27</v>
      </c>
      <c r="B88" s="160" t="s">
        <v>223</v>
      </c>
      <c r="C88" s="157">
        <v>290698</v>
      </c>
      <c r="D88" s="157">
        <v>291080</v>
      </c>
      <c r="E88" s="157">
        <f t="shared" si="2"/>
        <v>382</v>
      </c>
      <c r="F88" s="161">
        <f t="shared" si="3"/>
        <v>1.3140785282320484E-3</v>
      </c>
    </row>
    <row r="89" spans="1:6" ht="15" customHeight="1" x14ac:dyDescent="0.2">
      <c r="A89" s="147">
        <v>28</v>
      </c>
      <c r="B89" s="160" t="s">
        <v>224</v>
      </c>
      <c r="C89" s="157">
        <v>5649099</v>
      </c>
      <c r="D89" s="157">
        <v>5801033</v>
      </c>
      <c r="E89" s="157">
        <f t="shared" si="2"/>
        <v>151934</v>
      </c>
      <c r="F89" s="161">
        <f t="shared" si="3"/>
        <v>2.6895262412643148E-2</v>
      </c>
    </row>
    <row r="90" spans="1:6" ht="15.75" customHeight="1" x14ac:dyDescent="0.25">
      <c r="A90" s="147"/>
      <c r="B90" s="162" t="s">
        <v>225</v>
      </c>
      <c r="C90" s="158">
        <f>SUM(C62:C89)</f>
        <v>22296388</v>
      </c>
      <c r="D90" s="158">
        <f>SUM(D62:D89)</f>
        <v>20528312</v>
      </c>
      <c r="E90" s="158">
        <f t="shared" si="2"/>
        <v>-1768076</v>
      </c>
      <c r="F90" s="159">
        <f t="shared" si="3"/>
        <v>-7.9298763548607071E-2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141228949</v>
      </c>
      <c r="D95" s="158">
        <f>+D93+D90+D59+D50+D47+D44+D41+D35+D30+D24+D18</f>
        <v>136633273</v>
      </c>
      <c r="E95" s="158">
        <f>+D95-C95</f>
        <v>-4595676</v>
      </c>
      <c r="F95" s="159">
        <f>IF(C95=0,0,E95/C95)</f>
        <v>-3.2540608937052982E-2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3599915</v>
      </c>
      <c r="D103" s="157">
        <v>2958293</v>
      </c>
      <c r="E103" s="157">
        <f t="shared" ref="E103:E121" si="4">D103-C103</f>
        <v>-641622</v>
      </c>
      <c r="F103" s="161">
        <f t="shared" ref="F103:F121" si="5">IF(C103=0,0,E103/C103)</f>
        <v>-0.1782325416016767</v>
      </c>
    </row>
    <row r="104" spans="1:6" ht="15" customHeight="1" x14ac:dyDescent="0.2">
      <c r="A104" s="147">
        <v>2</v>
      </c>
      <c r="B104" s="169" t="s">
        <v>234</v>
      </c>
      <c r="C104" s="157">
        <v>1436389</v>
      </c>
      <c r="D104" s="157">
        <v>1589542</v>
      </c>
      <c r="E104" s="157">
        <f t="shared" si="4"/>
        <v>153153</v>
      </c>
      <c r="F104" s="161">
        <f t="shared" si="5"/>
        <v>0.10662362354487538</v>
      </c>
    </row>
    <row r="105" spans="1:6" ht="15" customHeight="1" x14ac:dyDescent="0.2">
      <c r="A105" s="147">
        <v>3</v>
      </c>
      <c r="B105" s="169" t="s">
        <v>235</v>
      </c>
      <c r="C105" s="157">
        <v>2444600</v>
      </c>
      <c r="D105" s="157">
        <v>2181069</v>
      </c>
      <c r="E105" s="157">
        <f t="shared" si="4"/>
        <v>-263531</v>
      </c>
      <c r="F105" s="161">
        <f t="shared" si="5"/>
        <v>-0.1078012762824184</v>
      </c>
    </row>
    <row r="106" spans="1:6" ht="15" customHeight="1" x14ac:dyDescent="0.2">
      <c r="A106" s="147">
        <v>4</v>
      </c>
      <c r="B106" s="169" t="s">
        <v>236</v>
      </c>
      <c r="C106" s="157">
        <v>817501</v>
      </c>
      <c r="D106" s="157">
        <v>838695</v>
      </c>
      <c r="E106" s="157">
        <f t="shared" si="4"/>
        <v>21194</v>
      </c>
      <c r="F106" s="161">
        <f t="shared" si="5"/>
        <v>2.5925350550029907E-2</v>
      </c>
    </row>
    <row r="107" spans="1:6" ht="15" customHeight="1" x14ac:dyDescent="0.2">
      <c r="A107" s="147">
        <v>5</v>
      </c>
      <c r="B107" s="169" t="s">
        <v>237</v>
      </c>
      <c r="C107" s="157">
        <v>4779923</v>
      </c>
      <c r="D107" s="157">
        <v>4292024</v>
      </c>
      <c r="E107" s="157">
        <f t="shared" si="4"/>
        <v>-487899</v>
      </c>
      <c r="F107" s="161">
        <f t="shared" si="5"/>
        <v>-0.10207256476725671</v>
      </c>
    </row>
    <row r="108" spans="1:6" ht="15" customHeight="1" x14ac:dyDescent="0.2">
      <c r="A108" s="147">
        <v>6</v>
      </c>
      <c r="B108" s="169" t="s">
        <v>238</v>
      </c>
      <c r="C108" s="157">
        <v>238084</v>
      </c>
      <c r="D108" s="157">
        <v>238501</v>
      </c>
      <c r="E108" s="157">
        <f t="shared" si="4"/>
        <v>417</v>
      </c>
      <c r="F108" s="161">
        <f t="shared" si="5"/>
        <v>1.7514826699820232E-3</v>
      </c>
    </row>
    <row r="109" spans="1:6" ht="15" customHeight="1" x14ac:dyDescent="0.2">
      <c r="A109" s="147">
        <v>7</v>
      </c>
      <c r="B109" s="169" t="s">
        <v>239</v>
      </c>
      <c r="C109" s="157">
        <v>976858</v>
      </c>
      <c r="D109" s="157">
        <v>872051</v>
      </c>
      <c r="E109" s="157">
        <f t="shared" si="4"/>
        <v>-104807</v>
      </c>
      <c r="F109" s="161">
        <f t="shared" si="5"/>
        <v>-0.10728990293369149</v>
      </c>
    </row>
    <row r="110" spans="1:6" ht="15" customHeight="1" x14ac:dyDescent="0.2">
      <c r="A110" s="147">
        <v>8</v>
      </c>
      <c r="B110" s="169" t="s">
        <v>240</v>
      </c>
      <c r="C110" s="157">
        <v>1536113</v>
      </c>
      <c r="D110" s="157">
        <v>1412198</v>
      </c>
      <c r="E110" s="157">
        <f t="shared" si="4"/>
        <v>-123915</v>
      </c>
      <c r="F110" s="161">
        <f t="shared" si="5"/>
        <v>-8.066789357293376E-2</v>
      </c>
    </row>
    <row r="111" spans="1:6" ht="15" customHeight="1" x14ac:dyDescent="0.2">
      <c r="A111" s="147">
        <v>9</v>
      </c>
      <c r="B111" s="169" t="s">
        <v>241</v>
      </c>
      <c r="C111" s="157">
        <v>738753</v>
      </c>
      <c r="D111" s="157">
        <v>683796</v>
      </c>
      <c r="E111" s="157">
        <f t="shared" si="4"/>
        <v>-54957</v>
      </c>
      <c r="F111" s="161">
        <f t="shared" si="5"/>
        <v>-7.4391576074817972E-2</v>
      </c>
    </row>
    <row r="112" spans="1:6" ht="15" customHeight="1" x14ac:dyDescent="0.2">
      <c r="A112" s="147">
        <v>10</v>
      </c>
      <c r="B112" s="169" t="s">
        <v>242</v>
      </c>
      <c r="C112" s="157">
        <v>1701924</v>
      </c>
      <c r="D112" s="157">
        <v>1700373</v>
      </c>
      <c r="E112" s="157">
        <f t="shared" si="4"/>
        <v>-1551</v>
      </c>
      <c r="F112" s="161">
        <f t="shared" si="5"/>
        <v>-9.1132153962221582E-4</v>
      </c>
    </row>
    <row r="113" spans="1:6" ht="15" customHeight="1" x14ac:dyDescent="0.2">
      <c r="A113" s="147">
        <v>11</v>
      </c>
      <c r="B113" s="169" t="s">
        <v>243</v>
      </c>
      <c r="C113" s="157">
        <v>1635050</v>
      </c>
      <c r="D113" s="157">
        <v>1726328</v>
      </c>
      <c r="E113" s="157">
        <f t="shared" si="4"/>
        <v>91278</v>
      </c>
      <c r="F113" s="161">
        <f t="shared" si="5"/>
        <v>5.5825815724289775E-2</v>
      </c>
    </row>
    <row r="114" spans="1:6" ht="15" customHeight="1" x14ac:dyDescent="0.2">
      <c r="A114" s="147">
        <v>12</v>
      </c>
      <c r="B114" s="169" t="s">
        <v>244</v>
      </c>
      <c r="C114" s="157">
        <v>569171</v>
      </c>
      <c r="D114" s="157">
        <v>554918</v>
      </c>
      <c r="E114" s="157">
        <f t="shared" si="4"/>
        <v>-14253</v>
      </c>
      <c r="F114" s="161">
        <f t="shared" si="5"/>
        <v>-2.5041683430814289E-2</v>
      </c>
    </row>
    <row r="115" spans="1:6" ht="15" customHeight="1" x14ac:dyDescent="0.2">
      <c r="A115" s="147">
        <v>13</v>
      </c>
      <c r="B115" s="169" t="s">
        <v>245</v>
      </c>
      <c r="C115" s="157">
        <v>36091</v>
      </c>
      <c r="D115" s="157">
        <v>32574</v>
      </c>
      <c r="E115" s="157">
        <f t="shared" si="4"/>
        <v>-3517</v>
      </c>
      <c r="F115" s="161">
        <f t="shared" si="5"/>
        <v>-9.744811725915048E-2</v>
      </c>
    </row>
    <row r="116" spans="1:6" ht="15" customHeight="1" x14ac:dyDescent="0.2">
      <c r="A116" s="147">
        <v>14</v>
      </c>
      <c r="B116" s="169" t="s">
        <v>246</v>
      </c>
      <c r="C116" s="157">
        <v>389184</v>
      </c>
      <c r="D116" s="157">
        <v>371418</v>
      </c>
      <c r="E116" s="157">
        <f t="shared" si="4"/>
        <v>-17766</v>
      </c>
      <c r="F116" s="161">
        <f t="shared" si="5"/>
        <v>-4.5649358658115438E-2</v>
      </c>
    </row>
    <row r="117" spans="1:6" ht="15" customHeight="1" x14ac:dyDescent="0.2">
      <c r="A117" s="147">
        <v>15</v>
      </c>
      <c r="B117" s="169" t="s">
        <v>203</v>
      </c>
      <c r="C117" s="157">
        <v>4642069</v>
      </c>
      <c r="D117" s="157">
        <v>4669718</v>
      </c>
      <c r="E117" s="157">
        <f t="shared" si="4"/>
        <v>27649</v>
      </c>
      <c r="F117" s="161">
        <f t="shared" si="5"/>
        <v>5.9561803152861368E-3</v>
      </c>
    </row>
    <row r="118" spans="1:6" ht="15" customHeight="1" x14ac:dyDescent="0.2">
      <c r="A118" s="147">
        <v>16</v>
      </c>
      <c r="B118" s="169" t="s">
        <v>247</v>
      </c>
      <c r="C118" s="157">
        <v>596740</v>
      </c>
      <c r="D118" s="157">
        <v>565567</v>
      </c>
      <c r="E118" s="157">
        <f t="shared" si="4"/>
        <v>-31173</v>
      </c>
      <c r="F118" s="161">
        <f t="shared" si="5"/>
        <v>-5.223883098166706E-2</v>
      </c>
    </row>
    <row r="119" spans="1:6" ht="15" customHeight="1" x14ac:dyDescent="0.2">
      <c r="A119" s="147">
        <v>17</v>
      </c>
      <c r="B119" s="169" t="s">
        <v>248</v>
      </c>
      <c r="C119" s="157">
        <v>10396768</v>
      </c>
      <c r="D119" s="157">
        <v>10545777</v>
      </c>
      <c r="E119" s="157">
        <f t="shared" si="4"/>
        <v>149009</v>
      </c>
      <c r="F119" s="161">
        <f t="shared" si="5"/>
        <v>1.4332242481509638E-2</v>
      </c>
    </row>
    <row r="120" spans="1:6" ht="15" customHeight="1" x14ac:dyDescent="0.2">
      <c r="A120" s="147">
        <v>18</v>
      </c>
      <c r="B120" s="169" t="s">
        <v>249</v>
      </c>
      <c r="C120" s="157">
        <v>1603400</v>
      </c>
      <c r="D120" s="157">
        <v>1512452</v>
      </c>
      <c r="E120" s="157">
        <f t="shared" si="4"/>
        <v>-90948</v>
      </c>
      <c r="F120" s="161">
        <f t="shared" si="5"/>
        <v>-5.6721965822626917E-2</v>
      </c>
    </row>
    <row r="121" spans="1:6" ht="15.75" customHeight="1" x14ac:dyDescent="0.25">
      <c r="A121" s="147"/>
      <c r="B121" s="165" t="s">
        <v>250</v>
      </c>
      <c r="C121" s="158">
        <f>SUM(C103:C120)</f>
        <v>38138533</v>
      </c>
      <c r="D121" s="158">
        <f>SUM(D103:D120)</f>
        <v>36745294</v>
      </c>
      <c r="E121" s="158">
        <f t="shared" si="4"/>
        <v>-1393239</v>
      </c>
      <c r="F121" s="159">
        <f t="shared" si="5"/>
        <v>-3.653100658066738E-2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2621161</v>
      </c>
      <c r="D124" s="157">
        <v>2438304</v>
      </c>
      <c r="E124" s="157">
        <f t="shared" ref="E124:E130" si="6">D124-C124</f>
        <v>-182857</v>
      </c>
      <c r="F124" s="161">
        <f t="shared" ref="F124:F130" si="7">IF(C124=0,0,E124/C124)</f>
        <v>-6.9761834545836746E-2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1778959</v>
      </c>
      <c r="D126" s="157">
        <v>1399230</v>
      </c>
      <c r="E126" s="157">
        <f t="shared" si="6"/>
        <v>-379729</v>
      </c>
      <c r="F126" s="161">
        <f t="shared" si="7"/>
        <v>-0.21345573450540456</v>
      </c>
    </row>
    <row r="127" spans="1:6" ht="15" customHeight="1" x14ac:dyDescent="0.2">
      <c r="A127" s="147">
        <v>4</v>
      </c>
      <c r="B127" s="169" t="s">
        <v>255</v>
      </c>
      <c r="C127" s="157">
        <v>1470841</v>
      </c>
      <c r="D127" s="157">
        <v>1472657</v>
      </c>
      <c r="E127" s="157">
        <f t="shared" si="6"/>
        <v>1816</v>
      </c>
      <c r="F127" s="161">
        <f t="shared" si="7"/>
        <v>1.2346677853010625E-3</v>
      </c>
    </row>
    <row r="128" spans="1:6" ht="15" customHeight="1" x14ac:dyDescent="0.2">
      <c r="A128" s="147">
        <v>5</v>
      </c>
      <c r="B128" s="169" t="s">
        <v>256</v>
      </c>
      <c r="C128" s="157">
        <v>1391039</v>
      </c>
      <c r="D128" s="157">
        <v>1263664</v>
      </c>
      <c r="E128" s="157">
        <f t="shared" si="6"/>
        <v>-127375</v>
      </c>
      <c r="F128" s="161">
        <f t="shared" si="7"/>
        <v>-9.1568245031232051E-2</v>
      </c>
    </row>
    <row r="129" spans="1:6" ht="15" customHeight="1" x14ac:dyDescent="0.2">
      <c r="A129" s="147">
        <v>6</v>
      </c>
      <c r="B129" s="169" t="s">
        <v>257</v>
      </c>
      <c r="C129" s="157">
        <v>235050</v>
      </c>
      <c r="D129" s="157">
        <v>224713</v>
      </c>
      <c r="E129" s="157">
        <f t="shared" si="6"/>
        <v>-10337</v>
      </c>
      <c r="F129" s="161">
        <f t="shared" si="7"/>
        <v>-4.3977877047436713E-2</v>
      </c>
    </row>
    <row r="130" spans="1:6" ht="15.75" customHeight="1" x14ac:dyDescent="0.25">
      <c r="A130" s="147"/>
      <c r="B130" s="165" t="s">
        <v>258</v>
      </c>
      <c r="C130" s="158">
        <f>SUM(C124:C129)</f>
        <v>7497050</v>
      </c>
      <c r="D130" s="158">
        <f>SUM(D124:D129)</f>
        <v>6798568</v>
      </c>
      <c r="E130" s="158">
        <f t="shared" si="6"/>
        <v>-698482</v>
      </c>
      <c r="F130" s="159">
        <f t="shared" si="7"/>
        <v>-9.3167579247837487E-2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9057132</v>
      </c>
      <c r="D133" s="157">
        <v>7862945</v>
      </c>
      <c r="E133" s="157">
        <f t="shared" ref="E133:E167" si="8">D133-C133</f>
        <v>-1194187</v>
      </c>
      <c r="F133" s="161">
        <f t="shared" ref="F133:F167" si="9">IF(C133=0,0,E133/C133)</f>
        <v>-0.13185045773871906</v>
      </c>
    </row>
    <row r="134" spans="1:6" ht="15" customHeight="1" x14ac:dyDescent="0.2">
      <c r="A134" s="147">
        <v>2</v>
      </c>
      <c r="B134" s="169" t="s">
        <v>261</v>
      </c>
      <c r="C134" s="157">
        <v>0</v>
      </c>
      <c r="D134" s="157">
        <v>0</v>
      </c>
      <c r="E134" s="157">
        <f t="shared" si="8"/>
        <v>0</v>
      </c>
      <c r="F134" s="161">
        <f t="shared" si="9"/>
        <v>0</v>
      </c>
    </row>
    <row r="135" spans="1:6" ht="15" customHeight="1" x14ac:dyDescent="0.2">
      <c r="A135" s="147">
        <v>3</v>
      </c>
      <c r="B135" s="169" t="s">
        <v>262</v>
      </c>
      <c r="C135" s="157">
        <v>393299</v>
      </c>
      <c r="D135" s="157">
        <v>504501</v>
      </c>
      <c r="E135" s="157">
        <f t="shared" si="8"/>
        <v>111202</v>
      </c>
      <c r="F135" s="161">
        <f t="shared" si="9"/>
        <v>0.2827416291422048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2424154</v>
      </c>
      <c r="D137" s="157">
        <v>2324075</v>
      </c>
      <c r="E137" s="157">
        <f t="shared" si="8"/>
        <v>-100079</v>
      </c>
      <c r="F137" s="161">
        <f t="shared" si="9"/>
        <v>-4.1284093337304477E-2</v>
      </c>
    </row>
    <row r="138" spans="1:6" ht="15" customHeight="1" x14ac:dyDescent="0.2">
      <c r="A138" s="147">
        <v>6</v>
      </c>
      <c r="B138" s="169" t="s">
        <v>265</v>
      </c>
      <c r="C138" s="157">
        <v>549492</v>
      </c>
      <c r="D138" s="157">
        <v>508248</v>
      </c>
      <c r="E138" s="157">
        <f t="shared" si="8"/>
        <v>-41244</v>
      </c>
      <c r="F138" s="161">
        <f t="shared" si="9"/>
        <v>-7.5058417592976781E-2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498125</v>
      </c>
      <c r="D140" s="157">
        <v>543912</v>
      </c>
      <c r="E140" s="157">
        <f t="shared" si="8"/>
        <v>45787</v>
      </c>
      <c r="F140" s="161">
        <f t="shared" si="9"/>
        <v>9.1918695106649934E-2</v>
      </c>
    </row>
    <row r="141" spans="1:6" ht="15" customHeight="1" x14ac:dyDescent="0.2">
      <c r="A141" s="147">
        <v>9</v>
      </c>
      <c r="B141" s="169" t="s">
        <v>268</v>
      </c>
      <c r="C141" s="157">
        <v>810846</v>
      </c>
      <c r="D141" s="157">
        <v>898579</v>
      </c>
      <c r="E141" s="157">
        <f t="shared" si="8"/>
        <v>87733</v>
      </c>
      <c r="F141" s="161">
        <f t="shared" si="9"/>
        <v>0.10819933748208661</v>
      </c>
    </row>
    <row r="142" spans="1:6" ht="15" customHeight="1" x14ac:dyDescent="0.2">
      <c r="A142" s="147">
        <v>10</v>
      </c>
      <c r="B142" s="169" t="s">
        <v>269</v>
      </c>
      <c r="C142" s="157">
        <v>7324158</v>
      </c>
      <c r="D142" s="157">
        <v>6593532</v>
      </c>
      <c r="E142" s="157">
        <f t="shared" si="8"/>
        <v>-730626</v>
      </c>
      <c r="F142" s="161">
        <f t="shared" si="9"/>
        <v>-9.9755630613102553E-2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733069</v>
      </c>
      <c r="D144" s="157">
        <v>936875</v>
      </c>
      <c r="E144" s="157">
        <f t="shared" si="8"/>
        <v>203806</v>
      </c>
      <c r="F144" s="161">
        <f t="shared" si="9"/>
        <v>0.27801748539359872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32417</v>
      </c>
      <c r="D146" s="157">
        <v>46046</v>
      </c>
      <c r="E146" s="157">
        <f t="shared" si="8"/>
        <v>13629</v>
      </c>
      <c r="F146" s="161">
        <f t="shared" si="9"/>
        <v>0.42042755344418054</v>
      </c>
    </row>
    <row r="147" spans="1:6" ht="15" customHeight="1" x14ac:dyDescent="0.2">
      <c r="A147" s="147">
        <v>15</v>
      </c>
      <c r="B147" s="169" t="s">
        <v>274</v>
      </c>
      <c r="C147" s="157">
        <v>241655</v>
      </c>
      <c r="D147" s="157">
        <v>317098</v>
      </c>
      <c r="E147" s="157">
        <f t="shared" si="8"/>
        <v>75443</v>
      </c>
      <c r="F147" s="161">
        <f t="shared" si="9"/>
        <v>0.3121930024208065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962725</v>
      </c>
      <c r="D150" s="157">
        <v>906365</v>
      </c>
      <c r="E150" s="157">
        <f t="shared" si="8"/>
        <v>-56360</v>
      </c>
      <c r="F150" s="161">
        <f t="shared" si="9"/>
        <v>-5.8542158975823835E-2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209918</v>
      </c>
      <c r="D152" s="157">
        <v>197355</v>
      </c>
      <c r="E152" s="157">
        <f t="shared" si="8"/>
        <v>-12563</v>
      </c>
      <c r="F152" s="161">
        <f t="shared" si="9"/>
        <v>-5.9847178422050513E-2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4875480</v>
      </c>
      <c r="D156" s="157">
        <v>5041099</v>
      </c>
      <c r="E156" s="157">
        <f t="shared" si="8"/>
        <v>165619</v>
      </c>
      <c r="F156" s="161">
        <f t="shared" si="9"/>
        <v>3.3969783487984774E-2</v>
      </c>
    </row>
    <row r="157" spans="1:6" ht="15" customHeight="1" x14ac:dyDescent="0.2">
      <c r="A157" s="147">
        <v>25</v>
      </c>
      <c r="B157" s="169" t="s">
        <v>284</v>
      </c>
      <c r="C157" s="157">
        <v>471443</v>
      </c>
      <c r="D157" s="157">
        <v>406932</v>
      </c>
      <c r="E157" s="157">
        <f t="shared" si="8"/>
        <v>-64511</v>
      </c>
      <c r="F157" s="161">
        <f t="shared" si="9"/>
        <v>-0.13683732709998875</v>
      </c>
    </row>
    <row r="158" spans="1:6" ht="15" customHeight="1" x14ac:dyDescent="0.2">
      <c r="A158" s="147">
        <v>26</v>
      </c>
      <c r="B158" s="169" t="s">
        <v>285</v>
      </c>
      <c r="C158" s="157">
        <v>239467</v>
      </c>
      <c r="D158" s="157">
        <v>216006</v>
      </c>
      <c r="E158" s="157">
        <f t="shared" si="8"/>
        <v>-23461</v>
      </c>
      <c r="F158" s="161">
        <f t="shared" si="9"/>
        <v>-9.7971745584986655E-2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1018988</v>
      </c>
      <c r="D160" s="157">
        <v>1062370</v>
      </c>
      <c r="E160" s="157">
        <f t="shared" si="8"/>
        <v>43382</v>
      </c>
      <c r="F160" s="161">
        <f t="shared" si="9"/>
        <v>4.2573612250585875E-2</v>
      </c>
    </row>
    <row r="161" spans="1:6" ht="15" customHeight="1" x14ac:dyDescent="0.2">
      <c r="A161" s="147">
        <v>29</v>
      </c>
      <c r="B161" s="169" t="s">
        <v>288</v>
      </c>
      <c r="C161" s="157">
        <v>225766</v>
      </c>
      <c r="D161" s="157">
        <v>348922</v>
      </c>
      <c r="E161" s="157">
        <f t="shared" si="8"/>
        <v>123156</v>
      </c>
      <c r="F161" s="161">
        <f t="shared" si="9"/>
        <v>0.54550286579910168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1841460</v>
      </c>
      <c r="D164" s="157">
        <v>1785139</v>
      </c>
      <c r="E164" s="157">
        <f t="shared" si="8"/>
        <v>-56321</v>
      </c>
      <c r="F164" s="161">
        <f t="shared" si="9"/>
        <v>-3.0584970621137575E-2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3791075</v>
      </c>
      <c r="D166" s="157">
        <v>3776570</v>
      </c>
      <c r="E166" s="157">
        <f t="shared" si="8"/>
        <v>-14505</v>
      </c>
      <c r="F166" s="161">
        <f t="shared" si="9"/>
        <v>-3.8260915439552105E-3</v>
      </c>
    </row>
    <row r="167" spans="1:6" ht="15.75" customHeight="1" x14ac:dyDescent="0.25">
      <c r="A167" s="147"/>
      <c r="B167" s="165" t="s">
        <v>294</v>
      </c>
      <c r="C167" s="158">
        <f>SUM(C133:C166)</f>
        <v>35700669</v>
      </c>
      <c r="D167" s="158">
        <f>SUM(D133:D166)</f>
        <v>34276569</v>
      </c>
      <c r="E167" s="158">
        <f t="shared" si="8"/>
        <v>-1424100</v>
      </c>
      <c r="F167" s="159">
        <f t="shared" si="9"/>
        <v>-3.9890008783869009E-2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8185276</v>
      </c>
      <c r="D170" s="157">
        <v>7714244</v>
      </c>
      <c r="E170" s="157">
        <f t="shared" ref="E170:E183" si="10">D170-C170</f>
        <v>-471032</v>
      </c>
      <c r="F170" s="161">
        <f t="shared" ref="F170:F183" si="11">IF(C170=0,0,E170/C170)</f>
        <v>-5.7546257450573443E-2</v>
      </c>
    </row>
    <row r="171" spans="1:6" ht="15" customHeight="1" x14ac:dyDescent="0.2">
      <c r="A171" s="147">
        <v>2</v>
      </c>
      <c r="B171" s="169" t="s">
        <v>297</v>
      </c>
      <c r="C171" s="157">
        <v>2995462</v>
      </c>
      <c r="D171" s="157">
        <v>2889117</v>
      </c>
      <c r="E171" s="157">
        <f t="shared" si="10"/>
        <v>-106345</v>
      </c>
      <c r="F171" s="161">
        <f t="shared" si="11"/>
        <v>-3.5502036079910211E-2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2406453</v>
      </c>
      <c r="D173" s="157">
        <v>2392478</v>
      </c>
      <c r="E173" s="157">
        <f t="shared" si="10"/>
        <v>-13975</v>
      </c>
      <c r="F173" s="161">
        <f t="shared" si="11"/>
        <v>-5.8073022826541799E-3</v>
      </c>
    </row>
    <row r="174" spans="1:6" ht="15" customHeight="1" x14ac:dyDescent="0.2">
      <c r="A174" s="147">
        <v>5</v>
      </c>
      <c r="B174" s="169" t="s">
        <v>300</v>
      </c>
      <c r="C174" s="157">
        <v>6725</v>
      </c>
      <c r="D174" s="157">
        <v>0</v>
      </c>
      <c r="E174" s="157">
        <f t="shared" si="10"/>
        <v>-6725</v>
      </c>
      <c r="F174" s="161">
        <f t="shared" si="11"/>
        <v>-1</v>
      </c>
    </row>
    <row r="175" spans="1:6" ht="15" customHeight="1" x14ac:dyDescent="0.2">
      <c r="A175" s="147">
        <v>6</v>
      </c>
      <c r="B175" s="169" t="s">
        <v>301</v>
      </c>
      <c r="C175" s="157">
        <v>2845608</v>
      </c>
      <c r="D175" s="157">
        <v>2612530</v>
      </c>
      <c r="E175" s="157">
        <f t="shared" si="10"/>
        <v>-233078</v>
      </c>
      <c r="F175" s="161">
        <f t="shared" si="11"/>
        <v>-8.1907978892384339E-2</v>
      </c>
    </row>
    <row r="176" spans="1:6" ht="15" customHeight="1" x14ac:dyDescent="0.2">
      <c r="A176" s="147">
        <v>7</v>
      </c>
      <c r="B176" s="169" t="s">
        <v>302</v>
      </c>
      <c r="C176" s="157">
        <v>22694</v>
      </c>
      <c r="D176" s="157">
        <v>14188</v>
      </c>
      <c r="E176" s="157">
        <f t="shared" si="10"/>
        <v>-8506</v>
      </c>
      <c r="F176" s="161">
        <f t="shared" si="11"/>
        <v>-0.37481272583061603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934671</v>
      </c>
      <c r="D179" s="157">
        <v>1011122</v>
      </c>
      <c r="E179" s="157">
        <f t="shared" si="10"/>
        <v>76451</v>
      </c>
      <c r="F179" s="161">
        <f t="shared" si="11"/>
        <v>8.1794556587291137E-2</v>
      </c>
    </row>
    <row r="180" spans="1:6" ht="15" customHeight="1" x14ac:dyDescent="0.2">
      <c r="A180" s="147">
        <v>11</v>
      </c>
      <c r="B180" s="169" t="s">
        <v>306</v>
      </c>
      <c r="C180" s="157">
        <v>3516019</v>
      </c>
      <c r="D180" s="157">
        <v>4274898</v>
      </c>
      <c r="E180" s="157">
        <f t="shared" si="10"/>
        <v>758879</v>
      </c>
      <c r="F180" s="161">
        <f t="shared" si="11"/>
        <v>0.21583472671791593</v>
      </c>
    </row>
    <row r="181" spans="1:6" ht="15" customHeight="1" x14ac:dyDescent="0.2">
      <c r="A181" s="147">
        <v>12</v>
      </c>
      <c r="B181" s="169" t="s">
        <v>307</v>
      </c>
      <c r="C181" s="157">
        <v>5697265</v>
      </c>
      <c r="D181" s="157">
        <v>4936368</v>
      </c>
      <c r="E181" s="157">
        <f t="shared" si="10"/>
        <v>-760897</v>
      </c>
      <c r="F181" s="161">
        <f t="shared" si="11"/>
        <v>-0.13355478462033976</v>
      </c>
    </row>
    <row r="182" spans="1:6" ht="15" customHeight="1" x14ac:dyDescent="0.2">
      <c r="A182" s="147">
        <v>13</v>
      </c>
      <c r="B182" s="169" t="s">
        <v>308</v>
      </c>
      <c r="C182" s="157">
        <v>271519</v>
      </c>
      <c r="D182" s="157">
        <v>287126</v>
      </c>
      <c r="E182" s="157">
        <f t="shared" si="10"/>
        <v>15607</v>
      </c>
      <c r="F182" s="161">
        <f t="shared" si="11"/>
        <v>5.7480323660590971E-2</v>
      </c>
    </row>
    <row r="183" spans="1:6" ht="15.75" customHeight="1" x14ac:dyDescent="0.25">
      <c r="A183" s="147"/>
      <c r="B183" s="165" t="s">
        <v>309</v>
      </c>
      <c r="C183" s="158">
        <f>SUM(C170:C182)</f>
        <v>26881692</v>
      </c>
      <c r="D183" s="158">
        <f>SUM(D170:D182)</f>
        <v>26132071</v>
      </c>
      <c r="E183" s="158">
        <f t="shared" si="10"/>
        <v>-749621</v>
      </c>
      <c r="F183" s="159">
        <f t="shared" si="11"/>
        <v>-2.7885930692160301E-2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33011005</v>
      </c>
      <c r="D186" s="157">
        <v>32680771</v>
      </c>
      <c r="E186" s="157">
        <f>D186-C186</f>
        <v>-330234</v>
      </c>
      <c r="F186" s="161">
        <f>IF(C186=0,0,E186/C186)</f>
        <v>-1.0003754808434339E-2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141228949</v>
      </c>
      <c r="D188" s="158">
        <f>+D186+D183+D167+D130+D121</f>
        <v>136633273</v>
      </c>
      <c r="E188" s="158">
        <f>D188-C188</f>
        <v>-4595676</v>
      </c>
      <c r="F188" s="159">
        <f>IF(C188=0,0,E188/C188)</f>
        <v>-3.2540608937052982E-2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FILING&amp;RBRISTOL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126808091</v>
      </c>
      <c r="D11" s="183">
        <v>137976406</v>
      </c>
      <c r="E11" s="76">
        <v>133327930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4242269</v>
      </c>
      <c r="D12" s="185">
        <v>4301391</v>
      </c>
      <c r="E12" s="185">
        <v>3838007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131050360</v>
      </c>
      <c r="D13" s="76">
        <f>+D11+D12</f>
        <v>142277797</v>
      </c>
      <c r="E13" s="76">
        <f>+E11+E12</f>
        <v>137165937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129703674</v>
      </c>
      <c r="D14" s="185">
        <v>141228949</v>
      </c>
      <c r="E14" s="185">
        <v>136633273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1346686</v>
      </c>
      <c r="D15" s="76">
        <f>+D13-D14</f>
        <v>1048848</v>
      </c>
      <c r="E15" s="76">
        <f>+E13-E14</f>
        <v>532664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844070</v>
      </c>
      <c r="D16" s="185">
        <v>1263862</v>
      </c>
      <c r="E16" s="185">
        <v>795166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2190756</v>
      </c>
      <c r="D17" s="76">
        <f>D15+D16</f>
        <v>2312710</v>
      </c>
      <c r="E17" s="76">
        <f>E15+E16</f>
        <v>1327830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1.0210332612226309E-2</v>
      </c>
      <c r="D20" s="189">
        <f>IF(+D27=0,0,+D24/+D27)</f>
        <v>7.3069240477428229E-3</v>
      </c>
      <c r="E20" s="189">
        <f>IF(+E27=0,0,+E24/+E27)</f>
        <v>3.8609723205822732E-3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6.3995879128481772E-3</v>
      </c>
      <c r="D21" s="189">
        <f>IF(D27=0,0,+D26/D27)</f>
        <v>8.8048445921890869E-3</v>
      </c>
      <c r="E21" s="189">
        <f>IF(E27=0,0,+E26/E27)</f>
        <v>5.7636970327788698E-3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1.6609920525074484E-2</v>
      </c>
      <c r="D22" s="189">
        <f>IF(D27=0,0,+D28/D27)</f>
        <v>1.6111768639931912E-2</v>
      </c>
      <c r="E22" s="189">
        <f>IF(E27=0,0,+E28/E27)</f>
        <v>9.6246693533611431E-3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1346686</v>
      </c>
      <c r="D24" s="76">
        <f>+D15</f>
        <v>1048848</v>
      </c>
      <c r="E24" s="76">
        <f>+E15</f>
        <v>532664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131050360</v>
      </c>
      <c r="D25" s="76">
        <f>+D13</f>
        <v>142277797</v>
      </c>
      <c r="E25" s="76">
        <f>+E13</f>
        <v>137165937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844070</v>
      </c>
      <c r="D26" s="76">
        <f>+D16</f>
        <v>1263862</v>
      </c>
      <c r="E26" s="76">
        <f>+E16</f>
        <v>795166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131894430</v>
      </c>
      <c r="D27" s="76">
        <f>+D25+D26</f>
        <v>143541659</v>
      </c>
      <c r="E27" s="76">
        <f>+E25+E26</f>
        <v>137961103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2190756</v>
      </c>
      <c r="D28" s="76">
        <f>+D17</f>
        <v>2312710</v>
      </c>
      <c r="E28" s="76">
        <f>+E17</f>
        <v>1327830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15896282</v>
      </c>
      <c r="D31" s="76">
        <v>17633376</v>
      </c>
      <c r="E31" s="76">
        <v>11995043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26472271</v>
      </c>
      <c r="D32" s="76">
        <v>28426955</v>
      </c>
      <c r="E32" s="76">
        <v>21907472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15840936</v>
      </c>
      <c r="D33" s="76">
        <f>+D32-C32</f>
        <v>1954684</v>
      </c>
      <c r="E33" s="76">
        <f>+E32-D32</f>
        <v>-6519483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2.4900000000000002</v>
      </c>
      <c r="D34" s="193">
        <f>IF(C32=0,0,+D33/C32)</f>
        <v>7.3838923755351407E-2</v>
      </c>
      <c r="E34" s="193">
        <f>IF(D32=0,0,+E33/D32)</f>
        <v>-0.22934158794003789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0.30027690626887354</v>
      </c>
      <c r="D38" s="195">
        <f>IF((D40+D41)=0,0,+D39/(D40+D41))</f>
        <v>0.30876901408895968</v>
      </c>
      <c r="E38" s="195">
        <f>IF((E40+E41)=0,0,+E39/(E40+E41))</f>
        <v>0.30502130301644376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129703674</v>
      </c>
      <c r="D39" s="76">
        <v>141228949</v>
      </c>
      <c r="E39" s="196">
        <v>136633273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427704615</v>
      </c>
      <c r="D40" s="76">
        <v>453092138</v>
      </c>
      <c r="E40" s="196">
        <v>444108650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4242269</v>
      </c>
      <c r="D41" s="76">
        <v>4301391</v>
      </c>
      <c r="E41" s="196">
        <v>3838007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1.4221294231932367</v>
      </c>
      <c r="D43" s="197">
        <f>IF(D38=0,0,IF((D46-D47)=0,0,((+D44-D45)/(D46-D47)/D38)))</f>
        <v>1.410200606032382</v>
      </c>
      <c r="E43" s="197">
        <f>IF(E38=0,0,IF((E46-E47)=0,0,((+E44-E45)/(E46-E47)/E38)))</f>
        <v>1.4584360711179063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60083826</v>
      </c>
      <c r="D44" s="76">
        <v>64034225</v>
      </c>
      <c r="E44" s="196">
        <v>59154489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85575</v>
      </c>
      <c r="D45" s="76">
        <v>67919</v>
      </c>
      <c r="E45" s="196">
        <v>108324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149192190</v>
      </c>
      <c r="D46" s="76">
        <v>154216460</v>
      </c>
      <c r="E46" s="196">
        <v>139231964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8691798</v>
      </c>
      <c r="D47" s="76">
        <v>7311431</v>
      </c>
      <c r="E47" s="76">
        <v>6500426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0.81477976536568053</v>
      </c>
      <c r="D49" s="198">
        <f>IF(D38=0,0,IF(D51=0,0,(D50/D51)/D38))</f>
        <v>0.81118018581483842</v>
      </c>
      <c r="E49" s="198">
        <f>IF(E38=0,0,IF(E51=0,0,(E50/E51)/E38))</f>
        <v>0.83084505654873408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47894414</v>
      </c>
      <c r="D50" s="199">
        <v>51942733</v>
      </c>
      <c r="E50" s="199">
        <v>52094592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195759432</v>
      </c>
      <c r="D51" s="199">
        <v>207383286</v>
      </c>
      <c r="E51" s="199">
        <v>205561808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0.73223484817959372</v>
      </c>
      <c r="D53" s="198">
        <f>IF(D38=0,0,IF(D55=0,0,(D54/D55)/D38))</f>
        <v>0.70956727481545456</v>
      </c>
      <c r="E53" s="198">
        <f>IF(E38=0,0,IF(E55=0,0,(E54/E55)/E38))</f>
        <v>0.71854837410353001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18000260</v>
      </c>
      <c r="D54" s="199">
        <v>19708135</v>
      </c>
      <c r="E54" s="199">
        <v>21470152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81866543</v>
      </c>
      <c r="D55" s="199">
        <v>89953536</v>
      </c>
      <c r="E55" s="199">
        <v>97960036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3067593.1414909661</v>
      </c>
      <c r="D57" s="88">
        <f>+D60*D38</f>
        <v>2636400.1428154833</v>
      </c>
      <c r="E57" s="88">
        <f>+E60*E38</f>
        <v>1922971.7274173228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5306456</v>
      </c>
      <c r="D58" s="199">
        <v>4530623</v>
      </c>
      <c r="E58" s="199">
        <v>4092111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4909425</v>
      </c>
      <c r="D59" s="199">
        <v>4007799</v>
      </c>
      <c r="E59" s="199">
        <v>2212274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10215881</v>
      </c>
      <c r="D60" s="76">
        <v>8538422</v>
      </c>
      <c r="E60" s="201">
        <v>6304385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2.3650780636259895E-2</v>
      </c>
      <c r="D62" s="202">
        <f>IF(D63=0,0,+D57/D63)</f>
        <v>1.866756186662186E-2</v>
      </c>
      <c r="E62" s="202">
        <f>IF(E63=0,0,+E57/E63)</f>
        <v>1.4073963721979513E-2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129703674</v>
      </c>
      <c r="D63" s="199">
        <v>141228949</v>
      </c>
      <c r="E63" s="199">
        <v>136633273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1.447309324547523</v>
      </c>
      <c r="D67" s="203">
        <f>IF(D69=0,0,D68/D69)</f>
        <v>1.3763191045252046</v>
      </c>
      <c r="E67" s="203">
        <f>IF(E69=0,0,E68/E69)</f>
        <v>1.6202761611815757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38926532</v>
      </c>
      <c r="D68" s="204">
        <v>37551284</v>
      </c>
      <c r="E68" s="204">
        <v>37320874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26895793</v>
      </c>
      <c r="D69" s="204">
        <v>27283850</v>
      </c>
      <c r="E69" s="204">
        <v>23033650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38.194862497531311</v>
      </c>
      <c r="D71" s="203">
        <f>IF((D77/365)=0,0,+D74/(D77/365))</f>
        <v>37.184210547428705</v>
      </c>
      <c r="E71" s="203">
        <f>IF((E77/365)=0,0,+E74/(E77/365))</f>
        <v>43.098358694070228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12810191</v>
      </c>
      <c r="D72" s="183">
        <v>13617245</v>
      </c>
      <c r="E72" s="183">
        <v>15285938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96526</v>
      </c>
      <c r="D73" s="206">
        <v>96550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12906717</v>
      </c>
      <c r="D74" s="204">
        <f>+D72+D73</f>
        <v>13713795</v>
      </c>
      <c r="E74" s="204">
        <f>+E72+E73</f>
        <v>15285938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129703674</v>
      </c>
      <c r="D75" s="204">
        <f>+D14</f>
        <v>141228949</v>
      </c>
      <c r="E75" s="204">
        <f>+E14</f>
        <v>136633273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6363743</v>
      </c>
      <c r="D76" s="204">
        <v>6614415</v>
      </c>
      <c r="E76" s="204">
        <v>7176664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123339931</v>
      </c>
      <c r="D77" s="204">
        <f>+D75-D76</f>
        <v>134614534</v>
      </c>
      <c r="E77" s="204">
        <f>+E75-E76</f>
        <v>129456609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56.546492368535063</v>
      </c>
      <c r="D79" s="203">
        <f>IF((D84/365)=0,0,+D83/(D84/365))</f>
        <v>48.40076331601216</v>
      </c>
      <c r="E79" s="203">
        <f>IF((E84/365)=0,0,+E83/(E84/365))</f>
        <v>41.999244419380098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16887452</v>
      </c>
      <c r="D80" s="212">
        <v>17715144</v>
      </c>
      <c r="E80" s="212">
        <v>16471779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2757898</v>
      </c>
      <c r="D81" s="212">
        <v>581194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1130211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19645350</v>
      </c>
      <c r="D83" s="212">
        <f>+D80+D81-D82</f>
        <v>18296338</v>
      </c>
      <c r="E83" s="212">
        <f>+E80+E81-E82</f>
        <v>15341568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126808091</v>
      </c>
      <c r="D84" s="204">
        <f>+D11</f>
        <v>137976406</v>
      </c>
      <c r="E84" s="204">
        <f>+E11</f>
        <v>133327930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79.592751231553706</v>
      </c>
      <c r="D86" s="203">
        <f>IF((D90/365)=0,0,+D87/(D90/365))</f>
        <v>73.978677889268624</v>
      </c>
      <c r="E86" s="203">
        <f>IF((E90/365)=0,0,+E87/(E90/365))</f>
        <v>64.942858575880038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26895793</v>
      </c>
      <c r="D87" s="76">
        <f>+D69</f>
        <v>27283850</v>
      </c>
      <c r="E87" s="76">
        <f>+E69</f>
        <v>23033650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129703674</v>
      </c>
      <c r="D88" s="76">
        <f t="shared" si="0"/>
        <v>141228949</v>
      </c>
      <c r="E88" s="76">
        <f t="shared" si="0"/>
        <v>136633273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6363743</v>
      </c>
      <c r="D89" s="201">
        <f t="shared" si="0"/>
        <v>6614415</v>
      </c>
      <c r="E89" s="201">
        <f t="shared" si="0"/>
        <v>7176664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123339931</v>
      </c>
      <c r="D90" s="76">
        <f>+D88-D89</f>
        <v>134614534</v>
      </c>
      <c r="E90" s="76">
        <f>+E88-E89</f>
        <v>129456609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23.234996145182272</v>
      </c>
      <c r="D94" s="214">
        <f>IF(D96=0,0,(D95/D96)*100)</f>
        <v>24.862270091091279</v>
      </c>
      <c r="E94" s="214">
        <f>IF(E96=0,0,(E95/E96)*100)</f>
        <v>19.56170055315015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26472271</v>
      </c>
      <c r="D95" s="76">
        <f>+D32</f>
        <v>28426955</v>
      </c>
      <c r="E95" s="76">
        <f>+E32</f>
        <v>21907472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113932754</v>
      </c>
      <c r="D96" s="76">
        <v>114337729</v>
      </c>
      <c r="E96" s="76">
        <v>111991654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16.081603530723097</v>
      </c>
      <c r="D98" s="214">
        <f>IF(D104=0,0,(D101/D104)*100)</f>
        <v>16.888080228059859</v>
      </c>
      <c r="E98" s="214">
        <f>IF(E104=0,0,(E101/E104)*100)</f>
        <v>17.69629069504678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2190756</v>
      </c>
      <c r="D99" s="76">
        <f>+D28</f>
        <v>2312710</v>
      </c>
      <c r="E99" s="76">
        <f>+E28</f>
        <v>1327830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6363743</v>
      </c>
      <c r="D100" s="201">
        <f>+D76</f>
        <v>6614415</v>
      </c>
      <c r="E100" s="201">
        <f>+E76</f>
        <v>7176664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8554499</v>
      </c>
      <c r="D101" s="76">
        <f>+D99+D100</f>
        <v>8927125</v>
      </c>
      <c r="E101" s="76">
        <f>+E99+E100</f>
        <v>8504494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26895793</v>
      </c>
      <c r="D102" s="204">
        <f>+D69</f>
        <v>27283850</v>
      </c>
      <c r="E102" s="204">
        <f>+E69</f>
        <v>23033650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26298523</v>
      </c>
      <c r="D103" s="216">
        <v>25576658</v>
      </c>
      <c r="E103" s="216">
        <v>25024410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53194316</v>
      </c>
      <c r="D104" s="204">
        <f>+D102+D103</f>
        <v>52860508</v>
      </c>
      <c r="E104" s="204">
        <f>+E102+E103</f>
        <v>48058060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49.835374847685635</v>
      </c>
      <c r="D106" s="214">
        <f>IF(D109=0,0,(D107/D109)*100)</f>
        <v>47.361012678910946</v>
      </c>
      <c r="E106" s="214">
        <f>IF(E109=0,0,(E107/E109)*100)</f>
        <v>53.320704249618636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26298523</v>
      </c>
      <c r="D107" s="204">
        <f>+D103</f>
        <v>25576658</v>
      </c>
      <c r="E107" s="204">
        <f>+E103</f>
        <v>25024410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26472271</v>
      </c>
      <c r="D108" s="204">
        <f>+D32</f>
        <v>28426955</v>
      </c>
      <c r="E108" s="204">
        <f>+E32</f>
        <v>21907472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52770794</v>
      </c>
      <c r="D109" s="204">
        <f>+D107+D108</f>
        <v>54003613</v>
      </c>
      <c r="E109" s="204">
        <f>+E107+E108</f>
        <v>46931882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4.5388026950530787</v>
      </c>
      <c r="D111" s="214">
        <f>IF((+D113+D115)=0,0,((+D112+D113+D114)/(+D113+D115)))</f>
        <v>3.8547201676160934</v>
      </c>
      <c r="E111" s="214">
        <f>IF((+E113+E115)=0,0,((+E112+E113+E114)/(+E113+E115)))</f>
        <v>3.8122486399394533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2190756</v>
      </c>
      <c r="D112" s="76">
        <f>+D17</f>
        <v>2312710</v>
      </c>
      <c r="E112" s="76">
        <f>+E17</f>
        <v>1327830</v>
      </c>
    </row>
    <row r="113" spans="1:8" ht="24" customHeight="1" x14ac:dyDescent="0.2">
      <c r="A113" s="85">
        <v>17</v>
      </c>
      <c r="B113" s="75" t="s">
        <v>88</v>
      </c>
      <c r="C113" s="218">
        <v>1421576</v>
      </c>
      <c r="D113" s="76">
        <v>1412468</v>
      </c>
      <c r="E113" s="76">
        <v>1267462</v>
      </c>
    </row>
    <row r="114" spans="1:8" ht="24" customHeight="1" x14ac:dyDescent="0.2">
      <c r="A114" s="85">
        <v>18</v>
      </c>
      <c r="B114" s="75" t="s">
        <v>374</v>
      </c>
      <c r="C114" s="218">
        <v>6363743</v>
      </c>
      <c r="D114" s="76">
        <v>6614415</v>
      </c>
      <c r="E114" s="76">
        <v>7176664</v>
      </c>
    </row>
    <row r="115" spans="1:8" ht="24" customHeight="1" x14ac:dyDescent="0.2">
      <c r="A115" s="85">
        <v>19</v>
      </c>
      <c r="B115" s="75" t="s">
        <v>104</v>
      </c>
      <c r="C115" s="218">
        <v>776377</v>
      </c>
      <c r="D115" s="76">
        <v>1269852</v>
      </c>
      <c r="E115" s="76">
        <v>1295843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17.562459389073382</v>
      </c>
      <c r="D119" s="214">
        <f>IF(+D121=0,0,(+D120)/(+D121))</f>
        <v>17.888626431815965</v>
      </c>
      <c r="E119" s="214">
        <f>IF(+E121=0,0,(+E120)/(+E121))</f>
        <v>17.396556394447337</v>
      </c>
    </row>
    <row r="120" spans="1:8" ht="24" customHeight="1" x14ac:dyDescent="0.2">
      <c r="A120" s="85">
        <v>21</v>
      </c>
      <c r="B120" s="75" t="s">
        <v>378</v>
      </c>
      <c r="C120" s="218">
        <v>111762978</v>
      </c>
      <c r="D120" s="218">
        <v>118322799</v>
      </c>
      <c r="E120" s="218">
        <v>124849240</v>
      </c>
    </row>
    <row r="121" spans="1:8" ht="24" customHeight="1" x14ac:dyDescent="0.2">
      <c r="A121" s="85">
        <v>22</v>
      </c>
      <c r="B121" s="75" t="s">
        <v>374</v>
      </c>
      <c r="C121" s="218">
        <v>6363743</v>
      </c>
      <c r="D121" s="218">
        <v>6614415</v>
      </c>
      <c r="E121" s="218">
        <v>7176664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29710</v>
      </c>
      <c r="D124" s="218">
        <v>29830</v>
      </c>
      <c r="E124" s="218">
        <v>28080</v>
      </c>
    </row>
    <row r="125" spans="1:8" ht="24" customHeight="1" x14ac:dyDescent="0.2">
      <c r="A125" s="85">
        <v>2</v>
      </c>
      <c r="B125" s="75" t="s">
        <v>381</v>
      </c>
      <c r="C125" s="218">
        <v>7448</v>
      </c>
      <c r="D125" s="218">
        <v>7349</v>
      </c>
      <c r="E125" s="218">
        <v>7071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3.9889903329752956</v>
      </c>
      <c r="D126" s="219">
        <f>IF(D125=0,0,D124/D125)</f>
        <v>4.0590556538304527</v>
      </c>
      <c r="E126" s="219">
        <f>IF(E125=0,0,E124/E125)</f>
        <v>3.9711497666525246</v>
      </c>
    </row>
    <row r="127" spans="1:8" ht="24" customHeight="1" x14ac:dyDescent="0.2">
      <c r="A127" s="85">
        <v>4</v>
      </c>
      <c r="B127" s="75" t="s">
        <v>383</v>
      </c>
      <c r="C127" s="218">
        <v>115</v>
      </c>
      <c r="D127" s="218">
        <v>115</v>
      </c>
      <c r="E127" s="218">
        <v>128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154</v>
      </c>
      <c r="E128" s="218">
        <v>154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154</v>
      </c>
      <c r="D129" s="218">
        <v>154</v>
      </c>
      <c r="E129" s="218">
        <v>154</v>
      </c>
    </row>
    <row r="130" spans="1:7" ht="24" customHeight="1" x14ac:dyDescent="0.2">
      <c r="A130" s="85">
        <v>7</v>
      </c>
      <c r="B130" s="75" t="s">
        <v>386</v>
      </c>
      <c r="C130" s="193">
        <v>0.70779999999999998</v>
      </c>
      <c r="D130" s="193">
        <v>0.71060000000000001</v>
      </c>
      <c r="E130" s="193">
        <v>0.60099999999999998</v>
      </c>
    </row>
    <row r="131" spans="1:7" ht="24" customHeight="1" x14ac:dyDescent="0.2">
      <c r="A131" s="85">
        <v>8</v>
      </c>
      <c r="B131" s="75" t="s">
        <v>387</v>
      </c>
      <c r="C131" s="193">
        <v>0.52849999999999997</v>
      </c>
      <c r="D131" s="193">
        <v>0.53059999999999996</v>
      </c>
      <c r="E131" s="193">
        <v>0.4995</v>
      </c>
    </row>
    <row r="132" spans="1:7" ht="24" customHeight="1" x14ac:dyDescent="0.2">
      <c r="A132" s="85">
        <v>9</v>
      </c>
      <c r="B132" s="75" t="s">
        <v>388</v>
      </c>
      <c r="C132" s="219">
        <v>855</v>
      </c>
      <c r="D132" s="219">
        <v>895.9</v>
      </c>
      <c r="E132" s="219">
        <v>843.9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0.32849865788799121</v>
      </c>
      <c r="D135" s="227">
        <f>IF(D149=0,0,D143/D149)</f>
        <v>0.32422771590885563</v>
      </c>
      <c r="E135" s="227">
        <f>IF(E149=0,0,E143/E149)</f>
        <v>0.29887176932941972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0.4576977314121336</v>
      </c>
      <c r="D136" s="227">
        <f>IF(D149=0,0,D144/D149)</f>
        <v>0.45770665303400165</v>
      </c>
      <c r="E136" s="227">
        <f>IF(E149=0,0,E144/E149)</f>
        <v>0.46286377894238268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0.19140907095426127</v>
      </c>
      <c r="D137" s="227">
        <f>IF(D149=0,0,D145/D149)</f>
        <v>0.19853254659651587</v>
      </c>
      <c r="E137" s="227">
        <f>IF(E149=0,0,E145/E149)</f>
        <v>0.22057673499491623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2.0321964494117044E-2</v>
      </c>
      <c r="D139" s="227">
        <f>IF(D149=0,0,D147/D149)</f>
        <v>1.6136742147576173E-2</v>
      </c>
      <c r="E139" s="227">
        <f>IF(E149=0,0,E147/E149)</f>
        <v>1.4637017315469987E-2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2.0725752514968773E-3</v>
      </c>
      <c r="D140" s="227">
        <f>IF(D149=0,0,D148/D149)</f>
        <v>3.3963423130506844E-3</v>
      </c>
      <c r="E140" s="227">
        <f>IF(E149=0,0,E148/E149)</f>
        <v>3.0506994178113845E-3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140500392</v>
      </c>
      <c r="D143" s="229">
        <f>+D46-D147</f>
        <v>146905029</v>
      </c>
      <c r="E143" s="229">
        <f>+E46-E147</f>
        <v>132731538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195759432</v>
      </c>
      <c r="D144" s="229">
        <f>+D51</f>
        <v>207383286</v>
      </c>
      <c r="E144" s="229">
        <f>+E51</f>
        <v>205561808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81866543</v>
      </c>
      <c r="D145" s="229">
        <f>+D55</f>
        <v>89953536</v>
      </c>
      <c r="E145" s="229">
        <f>+E55</f>
        <v>97960036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8691798</v>
      </c>
      <c r="D147" s="229">
        <f>+D47</f>
        <v>7311431</v>
      </c>
      <c r="E147" s="229">
        <f>+E47</f>
        <v>6500426</v>
      </c>
    </row>
    <row r="148" spans="1:7" ht="20.100000000000001" customHeight="1" x14ac:dyDescent="0.2">
      <c r="A148" s="226">
        <v>13</v>
      </c>
      <c r="B148" s="224" t="s">
        <v>402</v>
      </c>
      <c r="C148" s="230">
        <v>886450</v>
      </c>
      <c r="D148" s="229">
        <v>1538856</v>
      </c>
      <c r="E148" s="229">
        <v>1354842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427704615</v>
      </c>
      <c r="D149" s="229">
        <f>SUM(D143:D148)</f>
        <v>453092138</v>
      </c>
      <c r="E149" s="229">
        <f>SUM(E143:E148)</f>
        <v>444108650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0.47521480572985092</v>
      </c>
      <c r="D152" s="227">
        <f>IF(D166=0,0,D160/D166)</f>
        <v>0.47044803109769728</v>
      </c>
      <c r="E152" s="227">
        <f>IF(E166=0,0,E160/E166)</f>
        <v>0.44384899335162731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0.37934663536367175</v>
      </c>
      <c r="D153" s="227">
        <f>IF(D166=0,0,D161/D166)</f>
        <v>0.38201919100476717</v>
      </c>
      <c r="E153" s="227">
        <f>IF(E166=0,0,E161/E166)</f>
        <v>0.39159414025049277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0.14257065691776261</v>
      </c>
      <c r="D154" s="227">
        <f>IF(D166=0,0,D162/D166)</f>
        <v>0.1449458924102576</v>
      </c>
      <c r="E154" s="227">
        <f>IF(E166=0,0,E162/E166)</f>
        <v>0.16139075843971284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6.7779487439278844E-4</v>
      </c>
      <c r="D156" s="227">
        <f>IF(D166=0,0,D164/D166)</f>
        <v>4.9951860318656668E-4</v>
      </c>
      <c r="E156" s="227">
        <f>IF(E166=0,0,E164/E166)</f>
        <v>8.1426962031863842E-4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2.1901071143219249E-3</v>
      </c>
      <c r="D157" s="227">
        <f>IF(D166=0,0,D165/D166)</f>
        <v>2.0873668840913706E-3</v>
      </c>
      <c r="E157" s="227">
        <f>IF(E166=0,0,E165/E166)</f>
        <v>2.3518383378484213E-3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59998251</v>
      </c>
      <c r="D160" s="229">
        <f>+D44-D164</f>
        <v>63966306</v>
      </c>
      <c r="E160" s="229">
        <f>+E44-E164</f>
        <v>59046165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47894414</v>
      </c>
      <c r="D161" s="229">
        <f>+D50</f>
        <v>51942733</v>
      </c>
      <c r="E161" s="229">
        <f>+E50</f>
        <v>52094592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18000260</v>
      </c>
      <c r="D162" s="229">
        <f>+D54</f>
        <v>19708135</v>
      </c>
      <c r="E162" s="229">
        <f>+E54</f>
        <v>21470152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85575</v>
      </c>
      <c r="D164" s="229">
        <f>+D45</f>
        <v>67919</v>
      </c>
      <c r="E164" s="229">
        <f>+E45</f>
        <v>108324</v>
      </c>
    </row>
    <row r="165" spans="1:6" ht="20.100000000000001" customHeight="1" x14ac:dyDescent="0.2">
      <c r="A165" s="226">
        <v>13</v>
      </c>
      <c r="B165" s="224" t="s">
        <v>417</v>
      </c>
      <c r="C165" s="230">
        <v>276512</v>
      </c>
      <c r="D165" s="229">
        <v>283817</v>
      </c>
      <c r="E165" s="229">
        <v>312870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126255012</v>
      </c>
      <c r="D166" s="229">
        <f>SUM(D160:D165)</f>
        <v>135968910</v>
      </c>
      <c r="E166" s="229">
        <f>SUM(E160:E165)</f>
        <v>133032103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2202</v>
      </c>
      <c r="D169" s="218">
        <v>2116</v>
      </c>
      <c r="E169" s="218">
        <v>1833</v>
      </c>
    </row>
    <row r="170" spans="1:6" ht="20.100000000000001" customHeight="1" x14ac:dyDescent="0.2">
      <c r="A170" s="226">
        <v>2</v>
      </c>
      <c r="B170" s="224" t="s">
        <v>420</v>
      </c>
      <c r="C170" s="218">
        <v>3584</v>
      </c>
      <c r="D170" s="218">
        <v>3410</v>
      </c>
      <c r="E170" s="218">
        <v>3380</v>
      </c>
    </row>
    <row r="171" spans="1:6" ht="20.100000000000001" customHeight="1" x14ac:dyDescent="0.2">
      <c r="A171" s="226">
        <v>3</v>
      </c>
      <c r="B171" s="224" t="s">
        <v>421</v>
      </c>
      <c r="C171" s="218">
        <v>1646</v>
      </c>
      <c r="D171" s="218">
        <v>1797</v>
      </c>
      <c r="E171" s="218">
        <v>1840</v>
      </c>
    </row>
    <row r="172" spans="1:6" ht="20.100000000000001" customHeight="1" x14ac:dyDescent="0.2">
      <c r="A172" s="226">
        <v>4</v>
      </c>
      <c r="B172" s="224" t="s">
        <v>422</v>
      </c>
      <c r="C172" s="218">
        <v>1646</v>
      </c>
      <c r="D172" s="218">
        <v>1797</v>
      </c>
      <c r="E172" s="218">
        <v>1840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16</v>
      </c>
      <c r="D174" s="218">
        <v>26</v>
      </c>
      <c r="E174" s="218">
        <v>18</v>
      </c>
    </row>
    <row r="175" spans="1:6" ht="20.100000000000001" customHeight="1" x14ac:dyDescent="0.2">
      <c r="A175" s="226">
        <v>7</v>
      </c>
      <c r="B175" s="224" t="s">
        <v>425</v>
      </c>
      <c r="C175" s="218">
        <v>132</v>
      </c>
      <c r="D175" s="218">
        <v>113</v>
      </c>
      <c r="E175" s="218">
        <v>102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7448</v>
      </c>
      <c r="D176" s="218">
        <f>+D169+D170+D171+D174</f>
        <v>7349</v>
      </c>
      <c r="E176" s="218">
        <f>+E169+E170+E171+E174</f>
        <v>7071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1.024</v>
      </c>
      <c r="D179" s="231">
        <v>1.0463</v>
      </c>
      <c r="E179" s="231">
        <v>0.99299999999999999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1.2511000000000001</v>
      </c>
      <c r="D180" s="231">
        <v>1.3064</v>
      </c>
      <c r="E180" s="231">
        <v>1.2741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0.94910000000000005</v>
      </c>
      <c r="D181" s="231">
        <v>0.94320000000000004</v>
      </c>
      <c r="E181" s="231">
        <v>0.93630000000000002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0.94910000000000005</v>
      </c>
      <c r="D182" s="231">
        <v>0.94320000000000004</v>
      </c>
      <c r="E182" s="231">
        <v>0.93630000000000002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0.74550000000000005</v>
      </c>
      <c r="D184" s="231">
        <v>1.0066999999999999</v>
      </c>
      <c r="E184" s="231">
        <v>0.62180000000000002</v>
      </c>
    </row>
    <row r="185" spans="1:6" ht="20.100000000000001" customHeight="1" x14ac:dyDescent="0.2">
      <c r="A185" s="226">
        <v>7</v>
      </c>
      <c r="B185" s="224" t="s">
        <v>425</v>
      </c>
      <c r="C185" s="231">
        <v>1.0887</v>
      </c>
      <c r="D185" s="231">
        <v>1.1759999999999999</v>
      </c>
      <c r="E185" s="231">
        <v>1.1252</v>
      </c>
    </row>
    <row r="186" spans="1:6" ht="20.100000000000001" customHeight="1" x14ac:dyDescent="0.2">
      <c r="A186" s="226">
        <v>8</v>
      </c>
      <c r="B186" s="224" t="s">
        <v>429</v>
      </c>
      <c r="C186" s="231">
        <v>1.1161300000000001</v>
      </c>
      <c r="D186" s="231">
        <v>1.1416379999999999</v>
      </c>
      <c r="E186" s="231">
        <v>1.1116680000000001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5771</v>
      </c>
      <c r="D189" s="218">
        <v>5323</v>
      </c>
      <c r="E189" s="218">
        <v>5331</v>
      </c>
    </row>
    <row r="190" spans="1:6" ht="20.100000000000001" customHeight="1" x14ac:dyDescent="0.2">
      <c r="A190" s="226">
        <v>2</v>
      </c>
      <c r="B190" s="224" t="s">
        <v>433</v>
      </c>
      <c r="C190" s="218">
        <v>32582</v>
      </c>
      <c r="D190" s="218">
        <v>33489</v>
      </c>
      <c r="E190" s="218">
        <v>34310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38353</v>
      </c>
      <c r="D191" s="218">
        <f>+D190+D189</f>
        <v>38812</v>
      </c>
      <c r="E191" s="218">
        <f>+E190+E189</f>
        <v>39641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FILING&amp;RBRISTOL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686307</v>
      </c>
      <c r="D14" s="258">
        <v>444066</v>
      </c>
      <c r="E14" s="258">
        <f t="shared" ref="E14:E24" si="0">D14-C14</f>
        <v>-242241</v>
      </c>
      <c r="F14" s="259">
        <f t="shared" ref="F14:F24" si="1">IF(C14=0,0,E14/C14)</f>
        <v>-0.35296303257871475</v>
      </c>
    </row>
    <row r="15" spans="1:7" ht="20.25" customHeight="1" x14ac:dyDescent="0.3">
      <c r="A15" s="256">
        <v>2</v>
      </c>
      <c r="B15" s="257" t="s">
        <v>442</v>
      </c>
      <c r="C15" s="258">
        <v>240373</v>
      </c>
      <c r="D15" s="258">
        <v>164341</v>
      </c>
      <c r="E15" s="258">
        <f t="shared" si="0"/>
        <v>-76032</v>
      </c>
      <c r="F15" s="259">
        <f t="shared" si="1"/>
        <v>-0.31630840402208232</v>
      </c>
    </row>
    <row r="16" spans="1:7" ht="20.25" customHeight="1" x14ac:dyDescent="0.3">
      <c r="A16" s="256">
        <v>3</v>
      </c>
      <c r="B16" s="257" t="s">
        <v>443</v>
      </c>
      <c r="C16" s="258">
        <v>1112793</v>
      </c>
      <c r="D16" s="258">
        <v>1006586</v>
      </c>
      <c r="E16" s="258">
        <f t="shared" si="0"/>
        <v>-106207</v>
      </c>
      <c r="F16" s="259">
        <f t="shared" si="1"/>
        <v>-9.5441829702379508E-2</v>
      </c>
    </row>
    <row r="17" spans="1:6" ht="20.25" customHeight="1" x14ac:dyDescent="0.3">
      <c r="A17" s="256">
        <v>4</v>
      </c>
      <c r="B17" s="257" t="s">
        <v>444</v>
      </c>
      <c r="C17" s="258">
        <v>186131</v>
      </c>
      <c r="D17" s="258">
        <v>189734</v>
      </c>
      <c r="E17" s="258">
        <f t="shared" si="0"/>
        <v>3603</v>
      </c>
      <c r="F17" s="259">
        <f t="shared" si="1"/>
        <v>1.9357334350538061E-2</v>
      </c>
    </row>
    <row r="18" spans="1:6" ht="20.25" customHeight="1" x14ac:dyDescent="0.3">
      <c r="A18" s="256">
        <v>5</v>
      </c>
      <c r="B18" s="257" t="s">
        <v>381</v>
      </c>
      <c r="C18" s="260">
        <v>25</v>
      </c>
      <c r="D18" s="260">
        <v>23</v>
      </c>
      <c r="E18" s="260">
        <f t="shared" si="0"/>
        <v>-2</v>
      </c>
      <c r="F18" s="259">
        <f t="shared" si="1"/>
        <v>-0.08</v>
      </c>
    </row>
    <row r="19" spans="1:6" ht="20.25" customHeight="1" x14ac:dyDescent="0.3">
      <c r="A19" s="256">
        <v>6</v>
      </c>
      <c r="B19" s="257" t="s">
        <v>380</v>
      </c>
      <c r="C19" s="260">
        <v>153</v>
      </c>
      <c r="D19" s="260">
        <v>85</v>
      </c>
      <c r="E19" s="260">
        <f t="shared" si="0"/>
        <v>-68</v>
      </c>
      <c r="F19" s="259">
        <f t="shared" si="1"/>
        <v>-0.44444444444444442</v>
      </c>
    </row>
    <row r="20" spans="1:6" ht="20.25" customHeight="1" x14ac:dyDescent="0.3">
      <c r="A20" s="256">
        <v>7</v>
      </c>
      <c r="B20" s="257" t="s">
        <v>445</v>
      </c>
      <c r="C20" s="260">
        <v>442</v>
      </c>
      <c r="D20" s="260">
        <v>526</v>
      </c>
      <c r="E20" s="260">
        <f t="shared" si="0"/>
        <v>84</v>
      </c>
      <c r="F20" s="259">
        <f t="shared" si="1"/>
        <v>0.19004524886877827</v>
      </c>
    </row>
    <row r="21" spans="1:6" ht="20.25" customHeight="1" x14ac:dyDescent="0.3">
      <c r="A21" s="256">
        <v>8</v>
      </c>
      <c r="B21" s="257" t="s">
        <v>446</v>
      </c>
      <c r="C21" s="260">
        <v>70</v>
      </c>
      <c r="D21" s="260">
        <v>105</v>
      </c>
      <c r="E21" s="260">
        <f t="shared" si="0"/>
        <v>35</v>
      </c>
      <c r="F21" s="259">
        <f t="shared" si="1"/>
        <v>0.5</v>
      </c>
    </row>
    <row r="22" spans="1:6" ht="20.25" customHeight="1" x14ac:dyDescent="0.3">
      <c r="A22" s="256">
        <v>9</v>
      </c>
      <c r="B22" s="257" t="s">
        <v>447</v>
      </c>
      <c r="C22" s="260">
        <v>20</v>
      </c>
      <c r="D22" s="260">
        <v>22</v>
      </c>
      <c r="E22" s="260">
        <f t="shared" si="0"/>
        <v>2</v>
      </c>
      <c r="F22" s="259">
        <f t="shared" si="1"/>
        <v>0.1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1799100</v>
      </c>
      <c r="D23" s="263">
        <f>+D14+D16</f>
        <v>1450652</v>
      </c>
      <c r="E23" s="263">
        <f t="shared" si="0"/>
        <v>-348448</v>
      </c>
      <c r="F23" s="264">
        <f t="shared" si="1"/>
        <v>-0.19367906175309876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426504</v>
      </c>
      <c r="D24" s="263">
        <f>+D15+D17</f>
        <v>354075</v>
      </c>
      <c r="E24" s="263">
        <f t="shared" si="0"/>
        <v>-72429</v>
      </c>
      <c r="F24" s="264">
        <f t="shared" si="1"/>
        <v>-0.16982021270609421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6775078</v>
      </c>
      <c r="D40" s="258">
        <v>7385919</v>
      </c>
      <c r="E40" s="258">
        <f t="shared" ref="E40:E50" si="4">D40-C40</f>
        <v>610841</v>
      </c>
      <c r="F40" s="259">
        <f t="shared" ref="F40:F50" si="5">IF(C40=0,0,E40/C40)</f>
        <v>9.0159995205959256E-2</v>
      </c>
    </row>
    <row r="41" spans="1:6" ht="20.25" customHeight="1" x14ac:dyDescent="0.3">
      <c r="A41" s="256">
        <v>2</v>
      </c>
      <c r="B41" s="257" t="s">
        <v>442</v>
      </c>
      <c r="C41" s="258">
        <v>2311719</v>
      </c>
      <c r="D41" s="258">
        <v>2497887</v>
      </c>
      <c r="E41" s="258">
        <f t="shared" si="4"/>
        <v>186168</v>
      </c>
      <c r="F41" s="259">
        <f t="shared" si="5"/>
        <v>8.0532279225978595E-2</v>
      </c>
    </row>
    <row r="42" spans="1:6" ht="20.25" customHeight="1" x14ac:dyDescent="0.3">
      <c r="A42" s="256">
        <v>3</v>
      </c>
      <c r="B42" s="257" t="s">
        <v>443</v>
      </c>
      <c r="C42" s="258">
        <v>8361373</v>
      </c>
      <c r="D42" s="258">
        <v>10280198</v>
      </c>
      <c r="E42" s="258">
        <f t="shared" si="4"/>
        <v>1918825</v>
      </c>
      <c r="F42" s="259">
        <f t="shared" si="5"/>
        <v>0.2294868318875381</v>
      </c>
    </row>
    <row r="43" spans="1:6" ht="20.25" customHeight="1" x14ac:dyDescent="0.3">
      <c r="A43" s="256">
        <v>4</v>
      </c>
      <c r="B43" s="257" t="s">
        <v>444</v>
      </c>
      <c r="C43" s="258">
        <v>1505277</v>
      </c>
      <c r="D43" s="258">
        <v>1761193</v>
      </c>
      <c r="E43" s="258">
        <f t="shared" si="4"/>
        <v>255916</v>
      </c>
      <c r="F43" s="259">
        <f t="shared" si="5"/>
        <v>0.17001256247189056</v>
      </c>
    </row>
    <row r="44" spans="1:6" ht="20.25" customHeight="1" x14ac:dyDescent="0.3">
      <c r="A44" s="256">
        <v>5</v>
      </c>
      <c r="B44" s="257" t="s">
        <v>381</v>
      </c>
      <c r="C44" s="260">
        <v>237</v>
      </c>
      <c r="D44" s="260">
        <v>265</v>
      </c>
      <c r="E44" s="260">
        <f t="shared" si="4"/>
        <v>28</v>
      </c>
      <c r="F44" s="259">
        <f t="shared" si="5"/>
        <v>0.11814345991561181</v>
      </c>
    </row>
    <row r="45" spans="1:6" ht="20.25" customHeight="1" x14ac:dyDescent="0.3">
      <c r="A45" s="256">
        <v>6</v>
      </c>
      <c r="B45" s="257" t="s">
        <v>380</v>
      </c>
      <c r="C45" s="260">
        <v>1143</v>
      </c>
      <c r="D45" s="260">
        <v>1141</v>
      </c>
      <c r="E45" s="260">
        <f t="shared" si="4"/>
        <v>-2</v>
      </c>
      <c r="F45" s="259">
        <f t="shared" si="5"/>
        <v>-1.7497812773403325E-3</v>
      </c>
    </row>
    <row r="46" spans="1:6" ht="20.25" customHeight="1" x14ac:dyDescent="0.3">
      <c r="A46" s="256">
        <v>7</v>
      </c>
      <c r="B46" s="257" t="s">
        <v>445</v>
      </c>
      <c r="C46" s="260">
        <v>4555</v>
      </c>
      <c r="D46" s="260">
        <v>4904</v>
      </c>
      <c r="E46" s="260">
        <f t="shared" si="4"/>
        <v>349</v>
      </c>
      <c r="F46" s="259">
        <f t="shared" si="5"/>
        <v>7.661909989023051E-2</v>
      </c>
    </row>
    <row r="47" spans="1:6" ht="20.25" customHeight="1" x14ac:dyDescent="0.3">
      <c r="A47" s="256">
        <v>8</v>
      </c>
      <c r="B47" s="257" t="s">
        <v>446</v>
      </c>
      <c r="C47" s="260">
        <v>429</v>
      </c>
      <c r="D47" s="260">
        <v>508</v>
      </c>
      <c r="E47" s="260">
        <f t="shared" si="4"/>
        <v>79</v>
      </c>
      <c r="F47" s="259">
        <f t="shared" si="5"/>
        <v>0.18414918414918416</v>
      </c>
    </row>
    <row r="48" spans="1:6" ht="20.25" customHeight="1" x14ac:dyDescent="0.3">
      <c r="A48" s="256">
        <v>9</v>
      </c>
      <c r="B48" s="257" t="s">
        <v>447</v>
      </c>
      <c r="C48" s="260">
        <v>201</v>
      </c>
      <c r="D48" s="260">
        <v>231</v>
      </c>
      <c r="E48" s="260">
        <f t="shared" si="4"/>
        <v>30</v>
      </c>
      <c r="F48" s="259">
        <f t="shared" si="5"/>
        <v>0.14925373134328357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15136451</v>
      </c>
      <c r="D49" s="263">
        <f>+D40+D42</f>
        <v>17666117</v>
      </c>
      <c r="E49" s="263">
        <f t="shared" si="4"/>
        <v>2529666</v>
      </c>
      <c r="F49" s="264">
        <f t="shared" si="5"/>
        <v>0.16712411647882319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3816996</v>
      </c>
      <c r="D50" s="263">
        <f>+D41+D43</f>
        <v>4259080</v>
      </c>
      <c r="E50" s="263">
        <f t="shared" si="4"/>
        <v>442084</v>
      </c>
      <c r="F50" s="264">
        <f t="shared" si="5"/>
        <v>0.11581987510597339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102265</v>
      </c>
      <c r="D66" s="258">
        <v>53085</v>
      </c>
      <c r="E66" s="258">
        <f t="shared" ref="E66:E76" si="8">D66-C66</f>
        <v>-49180</v>
      </c>
      <c r="F66" s="259">
        <f t="shared" ref="F66:F76" si="9">IF(C66=0,0,E66/C66)</f>
        <v>-0.48090744634039018</v>
      </c>
    </row>
    <row r="67" spans="1:6" ht="20.25" customHeight="1" x14ac:dyDescent="0.3">
      <c r="A67" s="256">
        <v>2</v>
      </c>
      <c r="B67" s="257" t="s">
        <v>442</v>
      </c>
      <c r="C67" s="258">
        <v>33772</v>
      </c>
      <c r="D67" s="258">
        <v>18700</v>
      </c>
      <c r="E67" s="258">
        <f t="shared" si="8"/>
        <v>-15072</v>
      </c>
      <c r="F67" s="259">
        <f t="shared" si="9"/>
        <v>-0.44628686485846264</v>
      </c>
    </row>
    <row r="68" spans="1:6" ht="20.25" customHeight="1" x14ac:dyDescent="0.3">
      <c r="A68" s="256">
        <v>3</v>
      </c>
      <c r="B68" s="257" t="s">
        <v>443</v>
      </c>
      <c r="C68" s="258">
        <v>113160</v>
      </c>
      <c r="D68" s="258">
        <v>65765</v>
      </c>
      <c r="E68" s="258">
        <f t="shared" si="8"/>
        <v>-47395</v>
      </c>
      <c r="F68" s="259">
        <f t="shared" si="9"/>
        <v>-0.41883174266525275</v>
      </c>
    </row>
    <row r="69" spans="1:6" ht="20.25" customHeight="1" x14ac:dyDescent="0.3">
      <c r="A69" s="256">
        <v>4</v>
      </c>
      <c r="B69" s="257" t="s">
        <v>444</v>
      </c>
      <c r="C69" s="258">
        <v>21243</v>
      </c>
      <c r="D69" s="258">
        <v>10496</v>
      </c>
      <c r="E69" s="258">
        <f t="shared" si="8"/>
        <v>-10747</v>
      </c>
      <c r="F69" s="259">
        <f t="shared" si="9"/>
        <v>-0.50590782846114013</v>
      </c>
    </row>
    <row r="70" spans="1:6" ht="20.25" customHeight="1" x14ac:dyDescent="0.3">
      <c r="A70" s="256">
        <v>5</v>
      </c>
      <c r="B70" s="257" t="s">
        <v>381</v>
      </c>
      <c r="C70" s="260">
        <v>4</v>
      </c>
      <c r="D70" s="260">
        <v>4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11</v>
      </c>
      <c r="D71" s="260">
        <v>7</v>
      </c>
      <c r="E71" s="260">
        <f t="shared" si="8"/>
        <v>-4</v>
      </c>
      <c r="F71" s="259">
        <f t="shared" si="9"/>
        <v>-0.36363636363636365</v>
      </c>
    </row>
    <row r="72" spans="1:6" ht="20.25" customHeight="1" x14ac:dyDescent="0.3">
      <c r="A72" s="256">
        <v>7</v>
      </c>
      <c r="B72" s="257" t="s">
        <v>445</v>
      </c>
      <c r="C72" s="260">
        <v>33</v>
      </c>
      <c r="D72" s="260">
        <v>17</v>
      </c>
      <c r="E72" s="260">
        <f t="shared" si="8"/>
        <v>-16</v>
      </c>
      <c r="F72" s="259">
        <f t="shared" si="9"/>
        <v>-0.48484848484848486</v>
      </c>
    </row>
    <row r="73" spans="1:6" ht="20.25" customHeight="1" x14ac:dyDescent="0.3">
      <c r="A73" s="256">
        <v>8</v>
      </c>
      <c r="B73" s="257" t="s">
        <v>446</v>
      </c>
      <c r="C73" s="260">
        <v>25</v>
      </c>
      <c r="D73" s="260">
        <v>15</v>
      </c>
      <c r="E73" s="260">
        <f t="shared" si="8"/>
        <v>-10</v>
      </c>
      <c r="F73" s="259">
        <f t="shared" si="9"/>
        <v>-0.4</v>
      </c>
    </row>
    <row r="74" spans="1:6" ht="20.25" customHeight="1" x14ac:dyDescent="0.3">
      <c r="A74" s="256">
        <v>9</v>
      </c>
      <c r="B74" s="257" t="s">
        <v>447</v>
      </c>
      <c r="C74" s="260">
        <v>3</v>
      </c>
      <c r="D74" s="260">
        <v>4</v>
      </c>
      <c r="E74" s="260">
        <f t="shared" si="8"/>
        <v>1</v>
      </c>
      <c r="F74" s="259">
        <f t="shared" si="9"/>
        <v>0.33333333333333331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215425</v>
      </c>
      <c r="D75" s="263">
        <f>+D66+D68</f>
        <v>118850</v>
      </c>
      <c r="E75" s="263">
        <f t="shared" si="8"/>
        <v>-96575</v>
      </c>
      <c r="F75" s="264">
        <f t="shared" si="9"/>
        <v>-0.44829987234536384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55015</v>
      </c>
      <c r="D76" s="263">
        <f>+D67+D69</f>
        <v>29196</v>
      </c>
      <c r="E76" s="263">
        <f t="shared" si="8"/>
        <v>-25819</v>
      </c>
      <c r="F76" s="264">
        <f t="shared" si="9"/>
        <v>-0.46930837044442425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10244161</v>
      </c>
      <c r="D92" s="258">
        <v>9738506</v>
      </c>
      <c r="E92" s="258">
        <f t="shared" ref="E92:E102" si="12">D92-C92</f>
        <v>-505655</v>
      </c>
      <c r="F92" s="259">
        <f t="shared" ref="F92:F102" si="13">IF(C92=0,0,E92/C92)</f>
        <v>-4.9360313645988189E-2</v>
      </c>
    </row>
    <row r="93" spans="1:6" ht="20.25" customHeight="1" x14ac:dyDescent="0.3">
      <c r="A93" s="256">
        <v>2</v>
      </c>
      <c r="B93" s="257" t="s">
        <v>442</v>
      </c>
      <c r="C93" s="258">
        <v>3409262</v>
      </c>
      <c r="D93" s="258">
        <v>3050525</v>
      </c>
      <c r="E93" s="258">
        <f t="shared" si="12"/>
        <v>-358737</v>
      </c>
      <c r="F93" s="259">
        <f t="shared" si="13"/>
        <v>-0.10522423914618471</v>
      </c>
    </row>
    <row r="94" spans="1:6" ht="20.25" customHeight="1" x14ac:dyDescent="0.3">
      <c r="A94" s="256">
        <v>3</v>
      </c>
      <c r="B94" s="257" t="s">
        <v>443</v>
      </c>
      <c r="C94" s="258">
        <v>13513464</v>
      </c>
      <c r="D94" s="258">
        <v>14219417</v>
      </c>
      <c r="E94" s="258">
        <f t="shared" si="12"/>
        <v>705953</v>
      </c>
      <c r="F94" s="259">
        <f t="shared" si="13"/>
        <v>5.2240713409973931E-2</v>
      </c>
    </row>
    <row r="95" spans="1:6" ht="20.25" customHeight="1" x14ac:dyDescent="0.3">
      <c r="A95" s="256">
        <v>4</v>
      </c>
      <c r="B95" s="257" t="s">
        <v>444</v>
      </c>
      <c r="C95" s="258">
        <v>2227767</v>
      </c>
      <c r="D95" s="258">
        <v>2427704</v>
      </c>
      <c r="E95" s="258">
        <f t="shared" si="12"/>
        <v>199937</v>
      </c>
      <c r="F95" s="259">
        <f t="shared" si="13"/>
        <v>8.9747715986456394E-2</v>
      </c>
    </row>
    <row r="96" spans="1:6" ht="20.25" customHeight="1" x14ac:dyDescent="0.3">
      <c r="A96" s="256">
        <v>5</v>
      </c>
      <c r="B96" s="257" t="s">
        <v>381</v>
      </c>
      <c r="C96" s="260">
        <v>376</v>
      </c>
      <c r="D96" s="260">
        <v>355</v>
      </c>
      <c r="E96" s="260">
        <f t="shared" si="12"/>
        <v>-21</v>
      </c>
      <c r="F96" s="259">
        <f t="shared" si="13"/>
        <v>-5.5851063829787231E-2</v>
      </c>
    </row>
    <row r="97" spans="1:6" ht="20.25" customHeight="1" x14ac:dyDescent="0.3">
      <c r="A97" s="256">
        <v>6</v>
      </c>
      <c r="B97" s="257" t="s">
        <v>380</v>
      </c>
      <c r="C97" s="260">
        <v>1786</v>
      </c>
      <c r="D97" s="260">
        <v>1511</v>
      </c>
      <c r="E97" s="260">
        <f t="shared" si="12"/>
        <v>-275</v>
      </c>
      <c r="F97" s="259">
        <f t="shared" si="13"/>
        <v>-0.15397536394176931</v>
      </c>
    </row>
    <row r="98" spans="1:6" ht="20.25" customHeight="1" x14ac:dyDescent="0.3">
      <c r="A98" s="256">
        <v>7</v>
      </c>
      <c r="B98" s="257" t="s">
        <v>445</v>
      </c>
      <c r="C98" s="260">
        <v>6867</v>
      </c>
      <c r="D98" s="260">
        <v>6543</v>
      </c>
      <c r="E98" s="260">
        <f t="shared" si="12"/>
        <v>-324</v>
      </c>
      <c r="F98" s="259">
        <f t="shared" si="13"/>
        <v>-4.7182175622542594E-2</v>
      </c>
    </row>
    <row r="99" spans="1:6" ht="20.25" customHeight="1" x14ac:dyDescent="0.3">
      <c r="A99" s="256">
        <v>8</v>
      </c>
      <c r="B99" s="257" t="s">
        <v>446</v>
      </c>
      <c r="C99" s="260">
        <v>644</v>
      </c>
      <c r="D99" s="260">
        <v>722</v>
      </c>
      <c r="E99" s="260">
        <f t="shared" si="12"/>
        <v>78</v>
      </c>
      <c r="F99" s="259">
        <f t="shared" si="13"/>
        <v>0.12111801242236025</v>
      </c>
    </row>
    <row r="100" spans="1:6" ht="20.25" customHeight="1" x14ac:dyDescent="0.3">
      <c r="A100" s="256">
        <v>9</v>
      </c>
      <c r="B100" s="257" t="s">
        <v>447</v>
      </c>
      <c r="C100" s="260">
        <v>340</v>
      </c>
      <c r="D100" s="260">
        <v>325</v>
      </c>
      <c r="E100" s="260">
        <f t="shared" si="12"/>
        <v>-15</v>
      </c>
      <c r="F100" s="259">
        <f t="shared" si="13"/>
        <v>-4.4117647058823532E-2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23757625</v>
      </c>
      <c r="D101" s="263">
        <f>+D92+D94</f>
        <v>23957923</v>
      </c>
      <c r="E101" s="263">
        <f t="shared" si="12"/>
        <v>200298</v>
      </c>
      <c r="F101" s="264">
        <f t="shared" si="13"/>
        <v>8.4308932395388853E-3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5637029</v>
      </c>
      <c r="D102" s="263">
        <f>+D93+D95</f>
        <v>5478229</v>
      </c>
      <c r="E102" s="263">
        <f t="shared" si="12"/>
        <v>-158800</v>
      </c>
      <c r="F102" s="264">
        <f t="shared" si="13"/>
        <v>-2.8170868022853884E-2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796371</v>
      </c>
      <c r="D105" s="258">
        <v>1303931</v>
      </c>
      <c r="E105" s="258">
        <f t="shared" ref="E105:E115" si="14">D105-C105</f>
        <v>507560</v>
      </c>
      <c r="F105" s="259">
        <f t="shared" ref="F105:F115" si="15">IF(C105=0,0,E105/C105)</f>
        <v>0.63734113874061216</v>
      </c>
    </row>
    <row r="106" spans="1:6" ht="20.25" customHeight="1" x14ac:dyDescent="0.3">
      <c r="A106" s="256">
        <v>2</v>
      </c>
      <c r="B106" s="257" t="s">
        <v>442</v>
      </c>
      <c r="C106" s="258">
        <v>241336</v>
      </c>
      <c r="D106" s="258">
        <v>375749</v>
      </c>
      <c r="E106" s="258">
        <f t="shared" si="14"/>
        <v>134413</v>
      </c>
      <c r="F106" s="259">
        <f t="shared" si="15"/>
        <v>0.55695379056585015</v>
      </c>
    </row>
    <row r="107" spans="1:6" ht="20.25" customHeight="1" x14ac:dyDescent="0.3">
      <c r="A107" s="256">
        <v>3</v>
      </c>
      <c r="B107" s="257" t="s">
        <v>443</v>
      </c>
      <c r="C107" s="258">
        <v>1513921</v>
      </c>
      <c r="D107" s="258">
        <v>2387152</v>
      </c>
      <c r="E107" s="258">
        <f t="shared" si="14"/>
        <v>873231</v>
      </c>
      <c r="F107" s="259">
        <f t="shared" si="15"/>
        <v>0.57680090308543175</v>
      </c>
    </row>
    <row r="108" spans="1:6" ht="20.25" customHeight="1" x14ac:dyDescent="0.3">
      <c r="A108" s="256">
        <v>4</v>
      </c>
      <c r="B108" s="257" t="s">
        <v>444</v>
      </c>
      <c r="C108" s="258">
        <v>262434</v>
      </c>
      <c r="D108" s="258">
        <v>418353</v>
      </c>
      <c r="E108" s="258">
        <f t="shared" si="14"/>
        <v>155919</v>
      </c>
      <c r="F108" s="259">
        <f t="shared" si="15"/>
        <v>0.59412652324012893</v>
      </c>
    </row>
    <row r="109" spans="1:6" ht="20.25" customHeight="1" x14ac:dyDescent="0.3">
      <c r="A109" s="256">
        <v>5</v>
      </c>
      <c r="B109" s="257" t="s">
        <v>381</v>
      </c>
      <c r="C109" s="260">
        <v>33</v>
      </c>
      <c r="D109" s="260">
        <v>46</v>
      </c>
      <c r="E109" s="260">
        <f t="shared" si="14"/>
        <v>13</v>
      </c>
      <c r="F109" s="259">
        <f t="shared" si="15"/>
        <v>0.39393939393939392</v>
      </c>
    </row>
    <row r="110" spans="1:6" ht="20.25" customHeight="1" x14ac:dyDescent="0.3">
      <c r="A110" s="256">
        <v>6</v>
      </c>
      <c r="B110" s="257" t="s">
        <v>380</v>
      </c>
      <c r="C110" s="260">
        <v>169</v>
      </c>
      <c r="D110" s="260">
        <v>219</v>
      </c>
      <c r="E110" s="260">
        <f t="shared" si="14"/>
        <v>50</v>
      </c>
      <c r="F110" s="259">
        <f t="shared" si="15"/>
        <v>0.29585798816568049</v>
      </c>
    </row>
    <row r="111" spans="1:6" ht="20.25" customHeight="1" x14ac:dyDescent="0.3">
      <c r="A111" s="256">
        <v>7</v>
      </c>
      <c r="B111" s="257" t="s">
        <v>445</v>
      </c>
      <c r="C111" s="260">
        <v>817</v>
      </c>
      <c r="D111" s="260">
        <v>926</v>
      </c>
      <c r="E111" s="260">
        <f t="shared" si="14"/>
        <v>109</v>
      </c>
      <c r="F111" s="259">
        <f t="shared" si="15"/>
        <v>0.13341493268053856</v>
      </c>
    </row>
    <row r="112" spans="1:6" ht="20.25" customHeight="1" x14ac:dyDescent="0.3">
      <c r="A112" s="256">
        <v>8</v>
      </c>
      <c r="B112" s="257" t="s">
        <v>446</v>
      </c>
      <c r="C112" s="260">
        <v>190</v>
      </c>
      <c r="D112" s="260">
        <v>231</v>
      </c>
      <c r="E112" s="260">
        <f t="shared" si="14"/>
        <v>41</v>
      </c>
      <c r="F112" s="259">
        <f t="shared" si="15"/>
        <v>0.21578947368421053</v>
      </c>
    </row>
    <row r="113" spans="1:6" ht="20.25" customHeight="1" x14ac:dyDescent="0.3">
      <c r="A113" s="256">
        <v>9</v>
      </c>
      <c r="B113" s="257" t="s">
        <v>447</v>
      </c>
      <c r="C113" s="260">
        <v>30</v>
      </c>
      <c r="D113" s="260">
        <v>39</v>
      </c>
      <c r="E113" s="260">
        <f t="shared" si="14"/>
        <v>9</v>
      </c>
      <c r="F113" s="259">
        <f t="shared" si="15"/>
        <v>0.3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2310292</v>
      </c>
      <c r="D114" s="263">
        <f>+D105+D107</f>
        <v>3691083</v>
      </c>
      <c r="E114" s="263">
        <f t="shared" si="14"/>
        <v>1380791</v>
      </c>
      <c r="F114" s="264">
        <f t="shared" si="15"/>
        <v>0.5976694720840483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503770</v>
      </c>
      <c r="D115" s="263">
        <f>+D106+D108</f>
        <v>794102</v>
      </c>
      <c r="E115" s="263">
        <f t="shared" si="14"/>
        <v>290332</v>
      </c>
      <c r="F115" s="264">
        <f t="shared" si="15"/>
        <v>0.57631855807213606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3736257</v>
      </c>
      <c r="D118" s="258">
        <v>4754727</v>
      </c>
      <c r="E118" s="258">
        <f t="shared" ref="E118:E128" si="16">D118-C118</f>
        <v>1018470</v>
      </c>
      <c r="F118" s="259">
        <f t="shared" ref="F118:F128" si="17">IF(C118=0,0,E118/C118)</f>
        <v>0.27259099146552285</v>
      </c>
    </row>
    <row r="119" spans="1:6" ht="20.25" customHeight="1" x14ac:dyDescent="0.3">
      <c r="A119" s="256">
        <v>2</v>
      </c>
      <c r="B119" s="257" t="s">
        <v>442</v>
      </c>
      <c r="C119" s="258">
        <v>1272459</v>
      </c>
      <c r="D119" s="258">
        <v>1565149</v>
      </c>
      <c r="E119" s="258">
        <f t="shared" si="16"/>
        <v>292690</v>
      </c>
      <c r="F119" s="259">
        <f t="shared" si="17"/>
        <v>0.23001919904688481</v>
      </c>
    </row>
    <row r="120" spans="1:6" ht="20.25" customHeight="1" x14ac:dyDescent="0.3">
      <c r="A120" s="256">
        <v>3</v>
      </c>
      <c r="B120" s="257" t="s">
        <v>443</v>
      </c>
      <c r="C120" s="258">
        <v>6193829</v>
      </c>
      <c r="D120" s="258">
        <v>7639697</v>
      </c>
      <c r="E120" s="258">
        <f t="shared" si="16"/>
        <v>1445868</v>
      </c>
      <c r="F120" s="259">
        <f t="shared" si="17"/>
        <v>0.23343686110804804</v>
      </c>
    </row>
    <row r="121" spans="1:6" ht="20.25" customHeight="1" x14ac:dyDescent="0.3">
      <c r="A121" s="256">
        <v>4</v>
      </c>
      <c r="B121" s="257" t="s">
        <v>444</v>
      </c>
      <c r="C121" s="258">
        <v>1169334</v>
      </c>
      <c r="D121" s="258">
        <v>1299426</v>
      </c>
      <c r="E121" s="258">
        <f t="shared" si="16"/>
        <v>130092</v>
      </c>
      <c r="F121" s="259">
        <f t="shared" si="17"/>
        <v>0.11125307226164638</v>
      </c>
    </row>
    <row r="122" spans="1:6" ht="20.25" customHeight="1" x14ac:dyDescent="0.3">
      <c r="A122" s="256">
        <v>5</v>
      </c>
      <c r="B122" s="257" t="s">
        <v>381</v>
      </c>
      <c r="C122" s="260">
        <v>140</v>
      </c>
      <c r="D122" s="260">
        <v>175</v>
      </c>
      <c r="E122" s="260">
        <f t="shared" si="16"/>
        <v>35</v>
      </c>
      <c r="F122" s="259">
        <f t="shared" si="17"/>
        <v>0.25</v>
      </c>
    </row>
    <row r="123" spans="1:6" ht="20.25" customHeight="1" x14ac:dyDescent="0.3">
      <c r="A123" s="256">
        <v>6</v>
      </c>
      <c r="B123" s="257" t="s">
        <v>380</v>
      </c>
      <c r="C123" s="260">
        <v>640</v>
      </c>
      <c r="D123" s="260">
        <v>768</v>
      </c>
      <c r="E123" s="260">
        <f t="shared" si="16"/>
        <v>128</v>
      </c>
      <c r="F123" s="259">
        <f t="shared" si="17"/>
        <v>0.2</v>
      </c>
    </row>
    <row r="124" spans="1:6" ht="20.25" customHeight="1" x14ac:dyDescent="0.3">
      <c r="A124" s="256">
        <v>7</v>
      </c>
      <c r="B124" s="257" t="s">
        <v>445</v>
      </c>
      <c r="C124" s="260">
        <v>2692</v>
      </c>
      <c r="D124" s="260">
        <v>3213</v>
      </c>
      <c r="E124" s="260">
        <f t="shared" si="16"/>
        <v>521</v>
      </c>
      <c r="F124" s="259">
        <f t="shared" si="17"/>
        <v>0.19353640416047549</v>
      </c>
    </row>
    <row r="125" spans="1:6" ht="20.25" customHeight="1" x14ac:dyDescent="0.3">
      <c r="A125" s="256">
        <v>8</v>
      </c>
      <c r="B125" s="257" t="s">
        <v>446</v>
      </c>
      <c r="C125" s="260">
        <v>413</v>
      </c>
      <c r="D125" s="260">
        <v>416</v>
      </c>
      <c r="E125" s="260">
        <f t="shared" si="16"/>
        <v>3</v>
      </c>
      <c r="F125" s="259">
        <f t="shared" si="17"/>
        <v>7.2639225181598066E-3</v>
      </c>
    </row>
    <row r="126" spans="1:6" ht="20.25" customHeight="1" x14ac:dyDescent="0.3">
      <c r="A126" s="256">
        <v>9</v>
      </c>
      <c r="B126" s="257" t="s">
        <v>447</v>
      </c>
      <c r="C126" s="260">
        <v>113</v>
      </c>
      <c r="D126" s="260">
        <v>156</v>
      </c>
      <c r="E126" s="260">
        <f t="shared" si="16"/>
        <v>43</v>
      </c>
      <c r="F126" s="259">
        <f t="shared" si="17"/>
        <v>0.38053097345132741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9930086</v>
      </c>
      <c r="D127" s="263">
        <f>+D118+D120</f>
        <v>12394424</v>
      </c>
      <c r="E127" s="263">
        <f t="shared" si="16"/>
        <v>2464338</v>
      </c>
      <c r="F127" s="264">
        <f t="shared" si="17"/>
        <v>0.24816884768168171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2441793</v>
      </c>
      <c r="D128" s="263">
        <f>+D119+D121</f>
        <v>2864575</v>
      </c>
      <c r="E128" s="263">
        <f t="shared" si="16"/>
        <v>422782</v>
      </c>
      <c r="F128" s="264">
        <f t="shared" si="17"/>
        <v>0.17314407896164827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45560</v>
      </c>
      <c r="D131" s="258">
        <v>187317</v>
      </c>
      <c r="E131" s="258">
        <f t="shared" ref="E131:E141" si="18">D131-C131</f>
        <v>141757</v>
      </c>
      <c r="F131" s="259">
        <f t="shared" ref="F131:F141" si="19">IF(C131=0,0,E131/C131)</f>
        <v>3.1114354697102722</v>
      </c>
    </row>
    <row r="132" spans="1:6" ht="20.25" customHeight="1" x14ac:dyDescent="0.3">
      <c r="A132" s="256">
        <v>2</v>
      </c>
      <c r="B132" s="257" t="s">
        <v>442</v>
      </c>
      <c r="C132" s="258">
        <v>13323</v>
      </c>
      <c r="D132" s="258">
        <v>31428</v>
      </c>
      <c r="E132" s="258">
        <f t="shared" si="18"/>
        <v>18105</v>
      </c>
      <c r="F132" s="259">
        <f t="shared" si="19"/>
        <v>1.3589281693312316</v>
      </c>
    </row>
    <row r="133" spans="1:6" ht="20.25" customHeight="1" x14ac:dyDescent="0.3">
      <c r="A133" s="256">
        <v>3</v>
      </c>
      <c r="B133" s="257" t="s">
        <v>443</v>
      </c>
      <c r="C133" s="258">
        <v>23510</v>
      </c>
      <c r="D133" s="258">
        <v>23289</v>
      </c>
      <c r="E133" s="258">
        <f t="shared" si="18"/>
        <v>-221</v>
      </c>
      <c r="F133" s="259">
        <f t="shared" si="19"/>
        <v>-9.4002552105487032E-3</v>
      </c>
    </row>
    <row r="134" spans="1:6" ht="20.25" customHeight="1" x14ac:dyDescent="0.3">
      <c r="A134" s="256">
        <v>4</v>
      </c>
      <c r="B134" s="257" t="s">
        <v>444</v>
      </c>
      <c r="C134" s="258">
        <v>4495</v>
      </c>
      <c r="D134" s="258">
        <v>4529</v>
      </c>
      <c r="E134" s="258">
        <f t="shared" si="18"/>
        <v>34</v>
      </c>
      <c r="F134" s="259">
        <f t="shared" si="19"/>
        <v>7.5639599555061181E-3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6</v>
      </c>
      <c r="E135" s="260">
        <f t="shared" si="18"/>
        <v>4</v>
      </c>
      <c r="F135" s="259">
        <f t="shared" si="19"/>
        <v>2</v>
      </c>
    </row>
    <row r="136" spans="1:6" ht="20.25" customHeight="1" x14ac:dyDescent="0.3">
      <c r="A136" s="256">
        <v>6</v>
      </c>
      <c r="B136" s="257" t="s">
        <v>380</v>
      </c>
      <c r="C136" s="260">
        <v>10</v>
      </c>
      <c r="D136" s="260">
        <v>43</v>
      </c>
      <c r="E136" s="260">
        <f t="shared" si="18"/>
        <v>33</v>
      </c>
      <c r="F136" s="259">
        <f t="shared" si="19"/>
        <v>3.3</v>
      </c>
    </row>
    <row r="137" spans="1:6" ht="20.25" customHeight="1" x14ac:dyDescent="0.3">
      <c r="A137" s="256">
        <v>7</v>
      </c>
      <c r="B137" s="257" t="s">
        <v>445</v>
      </c>
      <c r="C137" s="260">
        <v>23</v>
      </c>
      <c r="D137" s="260">
        <v>43</v>
      </c>
      <c r="E137" s="260">
        <f t="shared" si="18"/>
        <v>20</v>
      </c>
      <c r="F137" s="259">
        <f t="shared" si="19"/>
        <v>0.86956521739130432</v>
      </c>
    </row>
    <row r="138" spans="1:6" ht="20.25" customHeight="1" x14ac:dyDescent="0.3">
      <c r="A138" s="256">
        <v>8</v>
      </c>
      <c r="B138" s="257" t="s">
        <v>446</v>
      </c>
      <c r="C138" s="260">
        <v>3</v>
      </c>
      <c r="D138" s="260">
        <v>6</v>
      </c>
      <c r="E138" s="260">
        <f t="shared" si="18"/>
        <v>3</v>
      </c>
      <c r="F138" s="259">
        <f t="shared" si="19"/>
        <v>1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5</v>
      </c>
      <c r="E139" s="260">
        <f t="shared" si="18"/>
        <v>3</v>
      </c>
      <c r="F139" s="259">
        <f t="shared" si="19"/>
        <v>1.5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69070</v>
      </c>
      <c r="D140" s="263">
        <f>+D131+D133</f>
        <v>210606</v>
      </c>
      <c r="E140" s="263">
        <f t="shared" si="18"/>
        <v>141536</v>
      </c>
      <c r="F140" s="264">
        <f t="shared" si="19"/>
        <v>2.0491675112205008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17818</v>
      </c>
      <c r="D141" s="263">
        <f>+D132+D134</f>
        <v>35957</v>
      </c>
      <c r="E141" s="263">
        <f t="shared" si="18"/>
        <v>18139</v>
      </c>
      <c r="F141" s="264">
        <f t="shared" si="19"/>
        <v>1.0180154899539791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202184</v>
      </c>
      <c r="D183" s="258">
        <v>269035</v>
      </c>
      <c r="E183" s="258">
        <f t="shared" ref="E183:E193" si="26">D183-C183</f>
        <v>66851</v>
      </c>
      <c r="F183" s="259">
        <f t="shared" ref="F183:F193" si="27">IF(C183=0,0,E183/C183)</f>
        <v>0.33064436355003363</v>
      </c>
    </row>
    <row r="184" spans="1:6" ht="20.25" customHeight="1" x14ac:dyDescent="0.3">
      <c r="A184" s="256">
        <v>2</v>
      </c>
      <c r="B184" s="257" t="s">
        <v>442</v>
      </c>
      <c r="C184" s="258">
        <v>58407</v>
      </c>
      <c r="D184" s="258">
        <v>90510</v>
      </c>
      <c r="E184" s="258">
        <f t="shared" si="26"/>
        <v>32103</v>
      </c>
      <c r="F184" s="259">
        <f t="shared" si="27"/>
        <v>0.54964302224048489</v>
      </c>
    </row>
    <row r="185" spans="1:6" ht="20.25" customHeight="1" x14ac:dyDescent="0.3">
      <c r="A185" s="256">
        <v>3</v>
      </c>
      <c r="B185" s="257" t="s">
        <v>443</v>
      </c>
      <c r="C185" s="258">
        <v>79532</v>
      </c>
      <c r="D185" s="258">
        <v>159085</v>
      </c>
      <c r="E185" s="258">
        <f t="shared" si="26"/>
        <v>79553</v>
      </c>
      <c r="F185" s="259">
        <f t="shared" si="27"/>
        <v>1.0002640446612685</v>
      </c>
    </row>
    <row r="186" spans="1:6" ht="20.25" customHeight="1" x14ac:dyDescent="0.3">
      <c r="A186" s="256">
        <v>4</v>
      </c>
      <c r="B186" s="257" t="s">
        <v>444</v>
      </c>
      <c r="C186" s="258">
        <v>12936</v>
      </c>
      <c r="D186" s="258">
        <v>25171</v>
      </c>
      <c r="E186" s="258">
        <f t="shared" si="26"/>
        <v>12235</v>
      </c>
      <c r="F186" s="259">
        <f t="shared" si="27"/>
        <v>0.94581014223871362</v>
      </c>
    </row>
    <row r="187" spans="1:6" ht="20.25" customHeight="1" x14ac:dyDescent="0.3">
      <c r="A187" s="256">
        <v>5</v>
      </c>
      <c r="B187" s="257" t="s">
        <v>381</v>
      </c>
      <c r="C187" s="260">
        <v>5</v>
      </c>
      <c r="D187" s="260">
        <v>9</v>
      </c>
      <c r="E187" s="260">
        <f t="shared" si="26"/>
        <v>4</v>
      </c>
      <c r="F187" s="259">
        <f t="shared" si="27"/>
        <v>0.8</v>
      </c>
    </row>
    <row r="188" spans="1:6" ht="20.25" customHeight="1" x14ac:dyDescent="0.3">
      <c r="A188" s="256">
        <v>6</v>
      </c>
      <c r="B188" s="257" t="s">
        <v>380</v>
      </c>
      <c r="C188" s="260">
        <v>42</v>
      </c>
      <c r="D188" s="260">
        <v>43</v>
      </c>
      <c r="E188" s="260">
        <f t="shared" si="26"/>
        <v>1</v>
      </c>
      <c r="F188" s="259">
        <f t="shared" si="27"/>
        <v>2.3809523809523808E-2</v>
      </c>
    </row>
    <row r="189" spans="1:6" ht="20.25" customHeight="1" x14ac:dyDescent="0.3">
      <c r="A189" s="256">
        <v>7</v>
      </c>
      <c r="B189" s="257" t="s">
        <v>445</v>
      </c>
      <c r="C189" s="260">
        <v>319</v>
      </c>
      <c r="D189" s="260">
        <v>553</v>
      </c>
      <c r="E189" s="260">
        <f t="shared" si="26"/>
        <v>234</v>
      </c>
      <c r="F189" s="259">
        <f t="shared" si="27"/>
        <v>0.73354231974921635</v>
      </c>
    </row>
    <row r="190" spans="1:6" ht="20.25" customHeight="1" x14ac:dyDescent="0.3">
      <c r="A190" s="256">
        <v>8</v>
      </c>
      <c r="B190" s="257" t="s">
        <v>446</v>
      </c>
      <c r="C190" s="260">
        <v>6</v>
      </c>
      <c r="D190" s="260">
        <v>14</v>
      </c>
      <c r="E190" s="260">
        <f t="shared" si="26"/>
        <v>8</v>
      </c>
      <c r="F190" s="259">
        <f t="shared" si="27"/>
        <v>1.3333333333333333</v>
      </c>
    </row>
    <row r="191" spans="1:6" ht="20.25" customHeight="1" x14ac:dyDescent="0.3">
      <c r="A191" s="256">
        <v>9</v>
      </c>
      <c r="B191" s="257" t="s">
        <v>447</v>
      </c>
      <c r="C191" s="260">
        <v>5</v>
      </c>
      <c r="D191" s="260">
        <v>9</v>
      </c>
      <c r="E191" s="260">
        <f t="shared" si="26"/>
        <v>4</v>
      </c>
      <c r="F191" s="259">
        <f t="shared" si="27"/>
        <v>0.8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281716</v>
      </c>
      <c r="D192" s="263">
        <f>+D183+D185</f>
        <v>428120</v>
      </c>
      <c r="E192" s="263">
        <f t="shared" si="26"/>
        <v>146404</v>
      </c>
      <c r="F192" s="264">
        <f t="shared" si="27"/>
        <v>0.51968649277996282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71343</v>
      </c>
      <c r="D193" s="263">
        <f>+D184+D186</f>
        <v>115681</v>
      </c>
      <c r="E193" s="263">
        <f t="shared" si="26"/>
        <v>44338</v>
      </c>
      <c r="F193" s="264">
        <f t="shared" si="27"/>
        <v>0.62147652888160021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22588183</v>
      </c>
      <c r="D198" s="263">
        <f t="shared" si="28"/>
        <v>24136586</v>
      </c>
      <c r="E198" s="263">
        <f t="shared" ref="E198:E208" si="29">D198-C198</f>
        <v>1548403</v>
      </c>
      <c r="F198" s="273">
        <f t="shared" ref="F198:F208" si="30">IF(C198=0,0,E198/C198)</f>
        <v>6.8549249844487264E-2</v>
      </c>
    </row>
    <row r="199" spans="1:9" ht="20.25" customHeight="1" x14ac:dyDescent="0.3">
      <c r="A199" s="271"/>
      <c r="B199" s="272" t="s">
        <v>466</v>
      </c>
      <c r="C199" s="263">
        <f t="shared" si="28"/>
        <v>7580651</v>
      </c>
      <c r="D199" s="263">
        <f t="shared" si="28"/>
        <v>7794289</v>
      </c>
      <c r="E199" s="263">
        <f t="shared" si="29"/>
        <v>213638</v>
      </c>
      <c r="F199" s="273">
        <f t="shared" si="30"/>
        <v>2.8182012336407519E-2</v>
      </c>
    </row>
    <row r="200" spans="1:9" ht="20.25" customHeight="1" x14ac:dyDescent="0.3">
      <c r="A200" s="271"/>
      <c r="B200" s="272" t="s">
        <v>467</v>
      </c>
      <c r="C200" s="263">
        <f t="shared" si="28"/>
        <v>30911582</v>
      </c>
      <c r="D200" s="263">
        <f t="shared" si="28"/>
        <v>35781189</v>
      </c>
      <c r="E200" s="263">
        <f t="shared" si="29"/>
        <v>4869607</v>
      </c>
      <c r="F200" s="273">
        <f t="shared" si="30"/>
        <v>0.15753341255714443</v>
      </c>
    </row>
    <row r="201" spans="1:9" ht="20.25" customHeight="1" x14ac:dyDescent="0.3">
      <c r="A201" s="271"/>
      <c r="B201" s="272" t="s">
        <v>468</v>
      </c>
      <c r="C201" s="263">
        <f t="shared" si="28"/>
        <v>5389617</v>
      </c>
      <c r="D201" s="263">
        <f t="shared" si="28"/>
        <v>6136606</v>
      </c>
      <c r="E201" s="263">
        <f t="shared" si="29"/>
        <v>746989</v>
      </c>
      <c r="F201" s="273">
        <f t="shared" si="30"/>
        <v>0.13859778904512138</v>
      </c>
    </row>
    <row r="202" spans="1:9" ht="20.25" customHeight="1" x14ac:dyDescent="0.3">
      <c r="A202" s="271"/>
      <c r="B202" s="272" t="s">
        <v>138</v>
      </c>
      <c r="C202" s="274">
        <f t="shared" si="28"/>
        <v>822</v>
      </c>
      <c r="D202" s="274">
        <f t="shared" si="28"/>
        <v>883</v>
      </c>
      <c r="E202" s="274">
        <f t="shared" si="29"/>
        <v>61</v>
      </c>
      <c r="F202" s="273">
        <f t="shared" si="30"/>
        <v>7.4209245742092464E-2</v>
      </c>
    </row>
    <row r="203" spans="1:9" ht="20.25" customHeight="1" x14ac:dyDescent="0.3">
      <c r="A203" s="271"/>
      <c r="B203" s="272" t="s">
        <v>140</v>
      </c>
      <c r="C203" s="274">
        <f t="shared" si="28"/>
        <v>3954</v>
      </c>
      <c r="D203" s="274">
        <f t="shared" si="28"/>
        <v>3817</v>
      </c>
      <c r="E203" s="274">
        <f t="shared" si="29"/>
        <v>-137</v>
      </c>
      <c r="F203" s="273">
        <f t="shared" si="30"/>
        <v>-3.4648457258472432E-2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15748</v>
      </c>
      <c r="D204" s="274">
        <f t="shared" si="28"/>
        <v>16725</v>
      </c>
      <c r="E204" s="274">
        <f t="shared" si="29"/>
        <v>977</v>
      </c>
      <c r="F204" s="273">
        <f t="shared" si="30"/>
        <v>6.2039624079248158E-2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1780</v>
      </c>
      <c r="D205" s="274">
        <f t="shared" si="28"/>
        <v>2017</v>
      </c>
      <c r="E205" s="274">
        <f t="shared" si="29"/>
        <v>237</v>
      </c>
      <c r="F205" s="273">
        <f t="shared" si="30"/>
        <v>0.13314606741573035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714</v>
      </c>
      <c r="D206" s="274">
        <f t="shared" si="28"/>
        <v>791</v>
      </c>
      <c r="E206" s="274">
        <f t="shared" si="29"/>
        <v>77</v>
      </c>
      <c r="F206" s="273">
        <f t="shared" si="30"/>
        <v>0.10784313725490197</v>
      </c>
    </row>
    <row r="207" spans="1:9" ht="20.25" customHeight="1" x14ac:dyDescent="0.3">
      <c r="A207" s="271"/>
      <c r="B207" s="262" t="s">
        <v>471</v>
      </c>
      <c r="C207" s="263">
        <f>+C198+C200</f>
        <v>53499765</v>
      </c>
      <c r="D207" s="263">
        <f>+D198+D200</f>
        <v>59917775</v>
      </c>
      <c r="E207" s="263">
        <f t="shared" si="29"/>
        <v>6418010</v>
      </c>
      <c r="F207" s="273">
        <f t="shared" si="30"/>
        <v>0.11996333068005065</v>
      </c>
    </row>
    <row r="208" spans="1:9" ht="20.25" customHeight="1" x14ac:dyDescent="0.3">
      <c r="A208" s="271"/>
      <c r="B208" s="262" t="s">
        <v>472</v>
      </c>
      <c r="C208" s="263">
        <f>+C199+C201</f>
        <v>12970268</v>
      </c>
      <c r="D208" s="263">
        <f>+D199+D201</f>
        <v>13930895</v>
      </c>
      <c r="E208" s="263">
        <f t="shared" si="29"/>
        <v>960627</v>
      </c>
      <c r="F208" s="273">
        <f t="shared" si="30"/>
        <v>7.4063774164111335E-2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18575899</v>
      </c>
      <c r="D13" s="22">
        <v>20508378</v>
      </c>
      <c r="E13" s="22">
        <f t="shared" ref="E13:E22" si="0">D13-C13</f>
        <v>1932479</v>
      </c>
      <c r="F13" s="306">
        <f t="shared" ref="F13:F22" si="1">IF(C13=0,0,E13/C13)</f>
        <v>0.10403151955122064</v>
      </c>
    </row>
    <row r="14" spans="1:8" ht="24" customHeight="1" x14ac:dyDescent="0.2">
      <c r="A14" s="304">
        <v>2</v>
      </c>
      <c r="B14" s="305" t="s">
        <v>17</v>
      </c>
      <c r="C14" s="22">
        <v>96550</v>
      </c>
      <c r="D14" s="22">
        <v>0</v>
      </c>
      <c r="E14" s="22">
        <f t="shared" si="0"/>
        <v>-96550</v>
      </c>
      <c r="F14" s="306">
        <f t="shared" si="1"/>
        <v>-1</v>
      </c>
    </row>
    <row r="15" spans="1:8" ht="35.1" customHeight="1" x14ac:dyDescent="0.2">
      <c r="A15" s="304">
        <v>3</v>
      </c>
      <c r="B15" s="305" t="s">
        <v>18</v>
      </c>
      <c r="C15" s="22">
        <v>20598344</v>
      </c>
      <c r="D15" s="22">
        <v>19746504</v>
      </c>
      <c r="E15" s="22">
        <f t="shared" si="0"/>
        <v>-851840</v>
      </c>
      <c r="F15" s="306">
        <f t="shared" si="1"/>
        <v>-4.1354780753248901E-2</v>
      </c>
    </row>
    <row r="16" spans="1:8" ht="35.1" customHeight="1" x14ac:dyDescent="0.2">
      <c r="A16" s="304">
        <v>4</v>
      </c>
      <c r="B16" s="305" t="s">
        <v>19</v>
      </c>
      <c r="C16" s="22">
        <v>586306</v>
      </c>
      <c r="D16" s="22">
        <v>601120</v>
      </c>
      <c r="E16" s="22">
        <f t="shared" si="0"/>
        <v>14814</v>
      </c>
      <c r="F16" s="306">
        <f t="shared" si="1"/>
        <v>2.5266669623029613E-2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581194</v>
      </c>
      <c r="D18" s="22">
        <v>0</v>
      </c>
      <c r="E18" s="22">
        <f t="shared" si="0"/>
        <v>-581194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1444885</v>
      </c>
      <c r="D19" s="22">
        <v>1419330</v>
      </c>
      <c r="E19" s="22">
        <f t="shared" si="0"/>
        <v>-25555</v>
      </c>
      <c r="F19" s="306">
        <f t="shared" si="1"/>
        <v>-1.7686528685673945E-2</v>
      </c>
    </row>
    <row r="20" spans="1:11" ht="24" customHeight="1" x14ac:dyDescent="0.2">
      <c r="A20" s="304">
        <v>8</v>
      </c>
      <c r="B20" s="305" t="s">
        <v>23</v>
      </c>
      <c r="C20" s="22">
        <v>1034720</v>
      </c>
      <c r="D20" s="22">
        <v>1308744</v>
      </c>
      <c r="E20" s="22">
        <f t="shared" si="0"/>
        <v>274024</v>
      </c>
      <c r="F20" s="306">
        <f t="shared" si="1"/>
        <v>0.2648291325189423</v>
      </c>
    </row>
    <row r="21" spans="1:11" ht="24" customHeight="1" x14ac:dyDescent="0.2">
      <c r="A21" s="304">
        <v>9</v>
      </c>
      <c r="B21" s="305" t="s">
        <v>24</v>
      </c>
      <c r="C21" s="22">
        <v>3894775</v>
      </c>
      <c r="D21" s="22">
        <v>3282946</v>
      </c>
      <c r="E21" s="22">
        <f t="shared" si="0"/>
        <v>-611829</v>
      </c>
      <c r="F21" s="306">
        <f t="shared" si="1"/>
        <v>-0.15708969067532785</v>
      </c>
    </row>
    <row r="22" spans="1:11" ht="24" customHeight="1" x14ac:dyDescent="0.25">
      <c r="A22" s="307"/>
      <c r="B22" s="308" t="s">
        <v>25</v>
      </c>
      <c r="C22" s="309">
        <f>SUM(C13:C21)</f>
        <v>46812673</v>
      </c>
      <c r="D22" s="309">
        <f>SUM(D13:D21)</f>
        <v>46867022</v>
      </c>
      <c r="E22" s="309">
        <f t="shared" si="0"/>
        <v>54349</v>
      </c>
      <c r="F22" s="310">
        <f t="shared" si="1"/>
        <v>1.1609890338883234E-3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7865256</v>
      </c>
      <c r="D26" s="22">
        <v>7618664</v>
      </c>
      <c r="E26" s="22">
        <f>D26-C26</f>
        <v>-246592</v>
      </c>
      <c r="F26" s="306">
        <f>IF(C26=0,0,E26/C26)</f>
        <v>-3.1352062793633166E-2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16165720</v>
      </c>
      <c r="D28" s="22">
        <v>14443787</v>
      </c>
      <c r="E28" s="22">
        <f>D28-C28</f>
        <v>-1721933</v>
      </c>
      <c r="F28" s="306">
        <f>IF(C28=0,0,E28/C28)</f>
        <v>-0.10651755690436306</v>
      </c>
    </row>
    <row r="29" spans="1:11" ht="35.1" customHeight="1" x14ac:dyDescent="0.25">
      <c r="A29" s="307"/>
      <c r="B29" s="308" t="s">
        <v>32</v>
      </c>
      <c r="C29" s="309">
        <f>SUM(C25:C28)</f>
        <v>24030976</v>
      </c>
      <c r="D29" s="309">
        <f>SUM(D25:D28)</f>
        <v>22062451</v>
      </c>
      <c r="E29" s="309">
        <f>D29-C29</f>
        <v>-1968525</v>
      </c>
      <c r="F29" s="310">
        <f>IF(C29=0,0,E29/C29)</f>
        <v>-8.1916148557594992E-2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2545686</v>
      </c>
      <c r="D31" s="22">
        <v>1834813</v>
      </c>
      <c r="E31" s="22">
        <f>D31-C31</f>
        <v>-710873</v>
      </c>
      <c r="F31" s="306">
        <f>IF(C31=0,0,E31/C31)</f>
        <v>-0.27924614426131111</v>
      </c>
    </row>
    <row r="32" spans="1:11" ht="24" customHeight="1" x14ac:dyDescent="0.2">
      <c r="A32" s="304">
        <v>6</v>
      </c>
      <c r="B32" s="305" t="s">
        <v>34</v>
      </c>
      <c r="C32" s="22">
        <v>6665386</v>
      </c>
      <c r="D32" s="22">
        <v>6496418</v>
      </c>
      <c r="E32" s="22">
        <f>D32-C32</f>
        <v>-168968</v>
      </c>
      <c r="F32" s="306">
        <f>IF(C32=0,0,E32/C32)</f>
        <v>-2.5350069748398669E-2</v>
      </c>
    </row>
    <row r="33" spans="1:8" ht="24" customHeight="1" x14ac:dyDescent="0.2">
      <c r="A33" s="304">
        <v>7</v>
      </c>
      <c r="B33" s="305" t="s">
        <v>35</v>
      </c>
      <c r="C33" s="22">
        <v>2160773</v>
      </c>
      <c r="D33" s="22">
        <v>1934263</v>
      </c>
      <c r="E33" s="22">
        <f>D33-C33</f>
        <v>-226510</v>
      </c>
      <c r="F33" s="306">
        <f>IF(C33=0,0,E33/C33)</f>
        <v>-0.10482822582473958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170802291</v>
      </c>
      <c r="D36" s="22">
        <v>180313829</v>
      </c>
      <c r="E36" s="22">
        <f>D36-C36</f>
        <v>9511538</v>
      </c>
      <c r="F36" s="306">
        <f>IF(C36=0,0,E36/C36)</f>
        <v>5.5687414637781409E-2</v>
      </c>
    </row>
    <row r="37" spans="1:8" ht="24" customHeight="1" x14ac:dyDescent="0.2">
      <c r="A37" s="304">
        <v>2</v>
      </c>
      <c r="B37" s="305" t="s">
        <v>39</v>
      </c>
      <c r="C37" s="22">
        <v>129836351</v>
      </c>
      <c r="D37" s="22">
        <v>137121924</v>
      </c>
      <c r="E37" s="22">
        <f>D37-C37</f>
        <v>7285573</v>
      </c>
      <c r="F37" s="22">
        <f>IF(C37=0,0,E37/C37)</f>
        <v>5.6113507071682875E-2</v>
      </c>
    </row>
    <row r="38" spans="1:8" ht="24" customHeight="1" x14ac:dyDescent="0.25">
      <c r="A38" s="307"/>
      <c r="B38" s="308" t="s">
        <v>40</v>
      </c>
      <c r="C38" s="309">
        <f>C36-C37</f>
        <v>40965940</v>
      </c>
      <c r="D38" s="309">
        <f>D36-D37</f>
        <v>43191905</v>
      </c>
      <c r="E38" s="309">
        <f>D38-C38</f>
        <v>2225965</v>
      </c>
      <c r="F38" s="310">
        <f>IF(C38=0,0,E38/C38)</f>
        <v>5.4336968711080472E-2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1976393</v>
      </c>
      <c r="D40" s="22">
        <v>635138</v>
      </c>
      <c r="E40" s="22">
        <f>D40-C40</f>
        <v>-1341255</v>
      </c>
      <c r="F40" s="306">
        <f>IF(C40=0,0,E40/C40)</f>
        <v>-0.67863780128749696</v>
      </c>
    </row>
    <row r="41" spans="1:8" ht="24" customHeight="1" x14ac:dyDescent="0.25">
      <c r="A41" s="307"/>
      <c r="B41" s="308" t="s">
        <v>42</v>
      </c>
      <c r="C41" s="309">
        <f>+C38+C40</f>
        <v>42942333</v>
      </c>
      <c r="D41" s="309">
        <f>+D38+D40</f>
        <v>43827043</v>
      </c>
      <c r="E41" s="309">
        <f>D41-C41</f>
        <v>884710</v>
      </c>
      <c r="F41" s="310">
        <f>IF(C41=0,0,E41/C41)</f>
        <v>2.0602280737751253E-2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125157827</v>
      </c>
      <c r="D43" s="309">
        <f>D22+D29+D31+D32+D33+D41</f>
        <v>123022010</v>
      </c>
      <c r="E43" s="309">
        <f>D43-C43</f>
        <v>-2135817</v>
      </c>
      <c r="F43" s="310">
        <f>IF(C43=0,0,E43/C43)</f>
        <v>-1.7064989471253764E-2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13769295</v>
      </c>
      <c r="D49" s="22">
        <v>13044663</v>
      </c>
      <c r="E49" s="22">
        <f t="shared" ref="E49:E56" si="2">D49-C49</f>
        <v>-724632</v>
      </c>
      <c r="F49" s="306">
        <f t="shared" ref="F49:F56" si="3">IF(C49=0,0,E49/C49)</f>
        <v>-5.262665953485636E-2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13804788</v>
      </c>
      <c r="D50" s="22">
        <v>10002062</v>
      </c>
      <c r="E50" s="22">
        <f t="shared" si="2"/>
        <v>-3802726</v>
      </c>
      <c r="F50" s="306">
        <f t="shared" si="3"/>
        <v>-0.27546428094368419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1130211</v>
      </c>
      <c r="E51" s="22">
        <f t="shared" si="2"/>
        <v>1130211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1230670</v>
      </c>
      <c r="D53" s="22">
        <v>1290670</v>
      </c>
      <c r="E53" s="22">
        <f t="shared" si="2"/>
        <v>60000</v>
      </c>
      <c r="F53" s="306">
        <f t="shared" si="3"/>
        <v>4.8753930785669593E-2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8648</v>
      </c>
      <c r="D54" s="22">
        <v>109090</v>
      </c>
      <c r="E54" s="22">
        <f t="shared" si="2"/>
        <v>100442</v>
      </c>
      <c r="F54" s="306">
        <f t="shared" si="3"/>
        <v>11.614477335800185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3287933</v>
      </c>
      <c r="D55" s="22">
        <v>2550293</v>
      </c>
      <c r="E55" s="22">
        <f t="shared" si="2"/>
        <v>-737640</v>
      </c>
      <c r="F55" s="306">
        <f t="shared" si="3"/>
        <v>-0.22434763725416546</v>
      </c>
    </row>
    <row r="56" spans="1:6" ht="24" customHeight="1" x14ac:dyDescent="0.25">
      <c r="A56" s="307"/>
      <c r="B56" s="308" t="s">
        <v>54</v>
      </c>
      <c r="C56" s="309">
        <f>SUM(C49:C55)</f>
        <v>32101334</v>
      </c>
      <c r="D56" s="309">
        <f>SUM(D49:D55)</f>
        <v>28126989</v>
      </c>
      <c r="E56" s="309">
        <f t="shared" si="2"/>
        <v>-3974345</v>
      </c>
      <c r="F56" s="310">
        <f t="shared" si="3"/>
        <v>-0.12380622562289779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28552105</v>
      </c>
      <c r="D59" s="22">
        <v>27223996</v>
      </c>
      <c r="E59" s="22">
        <f>D59-C59</f>
        <v>-1328109</v>
      </c>
      <c r="F59" s="306">
        <f>IF(C59=0,0,E59/C59)</f>
        <v>-4.6515274442987656E-2</v>
      </c>
    </row>
    <row r="60" spans="1:6" ht="24" customHeight="1" x14ac:dyDescent="0.2">
      <c r="A60" s="304">
        <v>2</v>
      </c>
      <c r="B60" s="305" t="s">
        <v>57</v>
      </c>
      <c r="C60" s="22">
        <v>273261</v>
      </c>
      <c r="D60" s="22">
        <v>464171</v>
      </c>
      <c r="E60" s="22">
        <f>D60-C60</f>
        <v>190910</v>
      </c>
      <c r="F60" s="306">
        <f>IF(C60=0,0,E60/C60)</f>
        <v>0.69863610248077845</v>
      </c>
    </row>
    <row r="61" spans="1:6" ht="24" customHeight="1" x14ac:dyDescent="0.25">
      <c r="A61" s="307"/>
      <c r="B61" s="308" t="s">
        <v>58</v>
      </c>
      <c r="C61" s="309">
        <f>SUM(C59:C60)</f>
        <v>28825366</v>
      </c>
      <c r="D61" s="309">
        <f>SUM(D59:D60)</f>
        <v>27688167</v>
      </c>
      <c r="E61" s="309">
        <f>D61-C61</f>
        <v>-1137199</v>
      </c>
      <c r="F61" s="310">
        <f>IF(C61=0,0,E61/C61)</f>
        <v>-3.9451329082864028E-2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23468844</v>
      </c>
      <c r="D63" s="22">
        <v>32795767</v>
      </c>
      <c r="E63" s="22">
        <f>D63-C63</f>
        <v>9326923</v>
      </c>
      <c r="F63" s="306">
        <f>IF(C63=0,0,E63/C63)</f>
        <v>0.39741723111713556</v>
      </c>
    </row>
    <row r="64" spans="1:6" ht="24" customHeight="1" x14ac:dyDescent="0.2">
      <c r="A64" s="304">
        <v>4</v>
      </c>
      <c r="B64" s="305" t="s">
        <v>60</v>
      </c>
      <c r="C64" s="22">
        <v>11330848</v>
      </c>
      <c r="D64" s="22">
        <v>11515267</v>
      </c>
      <c r="E64" s="22">
        <f>D64-C64</f>
        <v>184419</v>
      </c>
      <c r="F64" s="306">
        <f>IF(C64=0,0,E64/C64)</f>
        <v>1.6275833900516536E-2</v>
      </c>
    </row>
    <row r="65" spans="1:6" ht="24" customHeight="1" x14ac:dyDescent="0.25">
      <c r="A65" s="307"/>
      <c r="B65" s="308" t="s">
        <v>61</v>
      </c>
      <c r="C65" s="309">
        <f>SUM(C61:C64)</f>
        <v>63625058</v>
      </c>
      <c r="D65" s="309">
        <f>SUM(D61:D64)</f>
        <v>71999201</v>
      </c>
      <c r="E65" s="309">
        <f>D65-C65</f>
        <v>8374143</v>
      </c>
      <c r="F65" s="310">
        <f>IF(C65=0,0,E65/C65)</f>
        <v>0.13161705880095229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18611817</v>
      </c>
      <c r="D70" s="22">
        <v>12974320</v>
      </c>
      <c r="E70" s="22">
        <f>D70-C70</f>
        <v>-5637497</v>
      </c>
      <c r="F70" s="306">
        <f>IF(C70=0,0,E70/C70)</f>
        <v>-0.30289879811304826</v>
      </c>
    </row>
    <row r="71" spans="1:6" ht="24" customHeight="1" x14ac:dyDescent="0.2">
      <c r="A71" s="304">
        <v>2</v>
      </c>
      <c r="B71" s="305" t="s">
        <v>65</v>
      </c>
      <c r="C71" s="22">
        <v>3734131</v>
      </c>
      <c r="D71" s="22">
        <v>3131129</v>
      </c>
      <c r="E71" s="22">
        <f>D71-C71</f>
        <v>-603002</v>
      </c>
      <c r="F71" s="306">
        <f>IF(C71=0,0,E71/C71)</f>
        <v>-0.16148389009383976</v>
      </c>
    </row>
    <row r="72" spans="1:6" ht="24" customHeight="1" x14ac:dyDescent="0.2">
      <c r="A72" s="304">
        <v>3</v>
      </c>
      <c r="B72" s="305" t="s">
        <v>66</v>
      </c>
      <c r="C72" s="22">
        <v>7085487</v>
      </c>
      <c r="D72" s="22">
        <v>6790371</v>
      </c>
      <c r="E72" s="22">
        <f>D72-C72</f>
        <v>-295116</v>
      </c>
      <c r="F72" s="306">
        <f>IF(C72=0,0,E72/C72)</f>
        <v>-4.1650771499545478E-2</v>
      </c>
    </row>
    <row r="73" spans="1:6" ht="24" customHeight="1" x14ac:dyDescent="0.25">
      <c r="A73" s="304"/>
      <c r="B73" s="308" t="s">
        <v>67</v>
      </c>
      <c r="C73" s="309">
        <f>SUM(C70:C72)</f>
        <v>29431435</v>
      </c>
      <c r="D73" s="309">
        <f>SUM(D70:D72)</f>
        <v>22895820</v>
      </c>
      <c r="E73" s="309">
        <f>D73-C73</f>
        <v>-6535615</v>
      </c>
      <c r="F73" s="310">
        <f>IF(C73=0,0,E73/C73)</f>
        <v>-0.22206239688958421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125157827</v>
      </c>
      <c r="D75" s="309">
        <f>D56+D65+D67+D73</f>
        <v>123022010</v>
      </c>
      <c r="E75" s="309">
        <f>D75-C75</f>
        <v>-2135817</v>
      </c>
      <c r="F75" s="310">
        <f>IF(C75=0,0,E75/C75)</f>
        <v>-1.7064989471253764E-2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2" orientation="portrait" horizontalDpi="1200" verticalDpi="1200" r:id="rId1"/>
  <headerFooter>
    <oddHeader>&amp;LOFFICE OF HEALTH CARE ACCESS&amp;CTWELVE MONTHS ACTUAL FILING&amp;RBRISTOL HOSPITAL &amp;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506994274</v>
      </c>
      <c r="D11" s="76">
        <v>506080946</v>
      </c>
      <c r="E11" s="76">
        <f t="shared" ref="E11:E20" si="0">D11-C11</f>
        <v>-913328</v>
      </c>
      <c r="F11" s="77">
        <f t="shared" ref="F11:F20" si="1">IF(C11=0,0,E11/C11)</f>
        <v>-1.8014562428766208E-3</v>
      </c>
    </row>
    <row r="12" spans="1:7" ht="23.1" customHeight="1" x14ac:dyDescent="0.2">
      <c r="A12" s="74">
        <v>2</v>
      </c>
      <c r="B12" s="75" t="s">
        <v>72</v>
      </c>
      <c r="C12" s="76">
        <v>329361820</v>
      </c>
      <c r="D12" s="76">
        <v>332363425</v>
      </c>
      <c r="E12" s="76">
        <f t="shared" si="0"/>
        <v>3001605</v>
      </c>
      <c r="F12" s="77">
        <f t="shared" si="1"/>
        <v>9.1133969322855935E-3</v>
      </c>
    </row>
    <row r="13" spans="1:7" ht="23.1" customHeight="1" x14ac:dyDescent="0.2">
      <c r="A13" s="74">
        <v>3</v>
      </c>
      <c r="B13" s="75" t="s">
        <v>73</v>
      </c>
      <c r="C13" s="76">
        <v>4530623</v>
      </c>
      <c r="D13" s="76">
        <v>4092111</v>
      </c>
      <c r="E13" s="76">
        <f t="shared" si="0"/>
        <v>-438512</v>
      </c>
      <c r="F13" s="77">
        <f t="shared" si="1"/>
        <v>-9.6788454921100261E-2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173101831</v>
      </c>
      <c r="D15" s="79">
        <f>D11-D12-D13-D14</f>
        <v>169625410</v>
      </c>
      <c r="E15" s="79">
        <f t="shared" si="0"/>
        <v>-3476421</v>
      </c>
      <c r="F15" s="80">
        <f t="shared" si="1"/>
        <v>-2.0083097792304692E-2</v>
      </c>
    </row>
    <row r="16" spans="1:7" ht="23.1" customHeight="1" x14ac:dyDescent="0.2">
      <c r="A16" s="74">
        <v>5</v>
      </c>
      <c r="B16" s="75" t="s">
        <v>76</v>
      </c>
      <c r="C16" s="76">
        <v>4869425</v>
      </c>
      <c r="D16" s="76">
        <v>3515959</v>
      </c>
      <c r="E16" s="76">
        <f t="shared" si="0"/>
        <v>-1353466</v>
      </c>
      <c r="F16" s="77">
        <f t="shared" si="1"/>
        <v>-0.27795191424038773</v>
      </c>
      <c r="G16" s="65"/>
    </row>
    <row r="17" spans="1:7" ht="31.5" customHeight="1" x14ac:dyDescent="0.25">
      <c r="A17" s="71"/>
      <c r="B17" s="81" t="s">
        <v>77</v>
      </c>
      <c r="C17" s="79">
        <f>C15-C16</f>
        <v>168232406</v>
      </c>
      <c r="D17" s="79">
        <f>D15-D16</f>
        <v>166109451</v>
      </c>
      <c r="E17" s="79">
        <f t="shared" si="0"/>
        <v>-2122955</v>
      </c>
      <c r="F17" s="80">
        <f t="shared" si="1"/>
        <v>-1.261917992185168E-2</v>
      </c>
    </row>
    <row r="18" spans="1:7" ht="23.1" customHeight="1" x14ac:dyDescent="0.2">
      <c r="A18" s="74">
        <v>6</v>
      </c>
      <c r="B18" s="75" t="s">
        <v>78</v>
      </c>
      <c r="C18" s="76">
        <v>7836353</v>
      </c>
      <c r="D18" s="76">
        <v>6317978</v>
      </c>
      <c r="E18" s="76">
        <f t="shared" si="0"/>
        <v>-1518375</v>
      </c>
      <c r="F18" s="77">
        <f t="shared" si="1"/>
        <v>-0.19376041380473799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176068759</v>
      </c>
      <c r="D20" s="79">
        <f>SUM(D17:D19)</f>
        <v>172427429</v>
      </c>
      <c r="E20" s="79">
        <f t="shared" si="0"/>
        <v>-3641330</v>
      </c>
      <c r="F20" s="80">
        <f t="shared" si="1"/>
        <v>-2.0681295311452727E-2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82949305</v>
      </c>
      <c r="D23" s="76">
        <v>82861130</v>
      </c>
      <c r="E23" s="76">
        <f t="shared" ref="E23:E32" si="2">D23-C23</f>
        <v>-88175</v>
      </c>
      <c r="F23" s="77">
        <f t="shared" ref="F23:F32" si="3">IF(C23=0,0,E23/C23)</f>
        <v>-1.0629986592413281E-3</v>
      </c>
    </row>
    <row r="24" spans="1:7" ht="23.1" customHeight="1" x14ac:dyDescent="0.2">
      <c r="A24" s="74">
        <v>2</v>
      </c>
      <c r="B24" s="75" t="s">
        <v>83</v>
      </c>
      <c r="C24" s="76">
        <v>18390449</v>
      </c>
      <c r="D24" s="76">
        <v>17998233</v>
      </c>
      <c r="E24" s="76">
        <f t="shared" si="2"/>
        <v>-392216</v>
      </c>
      <c r="F24" s="77">
        <f t="shared" si="3"/>
        <v>-2.1327157373917299E-2</v>
      </c>
    </row>
    <row r="25" spans="1:7" ht="23.1" customHeight="1" x14ac:dyDescent="0.2">
      <c r="A25" s="74">
        <v>3</v>
      </c>
      <c r="B25" s="75" t="s">
        <v>84</v>
      </c>
      <c r="C25" s="76">
        <v>2015725</v>
      </c>
      <c r="D25" s="76">
        <v>2257250</v>
      </c>
      <c r="E25" s="76">
        <f t="shared" si="2"/>
        <v>241525</v>
      </c>
      <c r="F25" s="77">
        <f t="shared" si="3"/>
        <v>0.11982041201056692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28545856</v>
      </c>
      <c r="D26" s="76">
        <v>27638010</v>
      </c>
      <c r="E26" s="76">
        <f t="shared" si="2"/>
        <v>-907846</v>
      </c>
      <c r="F26" s="77">
        <f t="shared" si="3"/>
        <v>-3.1803075024269725E-2</v>
      </c>
    </row>
    <row r="27" spans="1:7" ht="23.1" customHeight="1" x14ac:dyDescent="0.2">
      <c r="A27" s="74">
        <v>5</v>
      </c>
      <c r="B27" s="75" t="s">
        <v>86</v>
      </c>
      <c r="C27" s="76">
        <v>7411959</v>
      </c>
      <c r="D27" s="76">
        <v>7959616</v>
      </c>
      <c r="E27" s="76">
        <f t="shared" si="2"/>
        <v>547657</v>
      </c>
      <c r="F27" s="77">
        <f t="shared" si="3"/>
        <v>7.3888293229900495E-2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1651982</v>
      </c>
      <c r="D29" s="76">
        <v>1506976</v>
      </c>
      <c r="E29" s="76">
        <f t="shared" si="2"/>
        <v>-145006</v>
      </c>
      <c r="F29" s="77">
        <f t="shared" si="3"/>
        <v>-8.7776985463522E-2</v>
      </c>
    </row>
    <row r="30" spans="1:7" ht="23.1" customHeight="1" x14ac:dyDescent="0.2">
      <c r="A30" s="74">
        <v>8</v>
      </c>
      <c r="B30" s="75" t="s">
        <v>89</v>
      </c>
      <c r="C30" s="76">
        <v>2106314</v>
      </c>
      <c r="D30" s="76">
        <v>1839763</v>
      </c>
      <c r="E30" s="76">
        <f t="shared" si="2"/>
        <v>-266551</v>
      </c>
      <c r="F30" s="77">
        <f t="shared" si="3"/>
        <v>-0.12654855828713099</v>
      </c>
    </row>
    <row r="31" spans="1:7" ht="23.1" customHeight="1" x14ac:dyDescent="0.2">
      <c r="A31" s="74">
        <v>9</v>
      </c>
      <c r="B31" s="75" t="s">
        <v>90</v>
      </c>
      <c r="C31" s="76">
        <v>32314788</v>
      </c>
      <c r="D31" s="76">
        <v>30279110</v>
      </c>
      <c r="E31" s="76">
        <f t="shared" si="2"/>
        <v>-2035678</v>
      </c>
      <c r="F31" s="77">
        <f t="shared" si="3"/>
        <v>-6.2995245396627694E-2</v>
      </c>
    </row>
    <row r="32" spans="1:7" ht="23.1" customHeight="1" x14ac:dyDescent="0.25">
      <c r="A32" s="71"/>
      <c r="B32" s="78" t="s">
        <v>91</v>
      </c>
      <c r="C32" s="79">
        <f>SUM(C23:C31)</f>
        <v>175386378</v>
      </c>
      <c r="D32" s="79">
        <f>SUM(D23:D31)</f>
        <v>172340088</v>
      </c>
      <c r="E32" s="79">
        <f t="shared" si="2"/>
        <v>-3046290</v>
      </c>
      <c r="F32" s="80">
        <f t="shared" si="3"/>
        <v>-1.7369022809741813E-2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682381</v>
      </c>
      <c r="D34" s="79">
        <f>+D20-D32</f>
        <v>87341</v>
      </c>
      <c r="E34" s="79">
        <f>D34-C34</f>
        <v>-595040</v>
      </c>
      <c r="F34" s="80">
        <f>IF(C34=0,0,E34/C34)</f>
        <v>-0.87200552184190361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403907</v>
      </c>
      <c r="D37" s="76">
        <v>839289</v>
      </c>
      <c r="E37" s="76">
        <f>D37-C37</f>
        <v>435382</v>
      </c>
      <c r="F37" s="77">
        <f>IF(C37=0,0,E37/C37)</f>
        <v>1.0779263543340423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1074662</v>
      </c>
      <c r="D39" s="76">
        <v>157754</v>
      </c>
      <c r="E39" s="76">
        <f>D39-C39</f>
        <v>-916908</v>
      </c>
      <c r="F39" s="77">
        <f>IF(C39=0,0,E39/C39)</f>
        <v>-0.85320593823918589</v>
      </c>
    </row>
    <row r="40" spans="1:6" ht="23.1" customHeight="1" x14ac:dyDescent="0.25">
      <c r="A40" s="83"/>
      <c r="B40" s="78" t="s">
        <v>97</v>
      </c>
      <c r="C40" s="79">
        <f>SUM(C37:C39)</f>
        <v>1478569</v>
      </c>
      <c r="D40" s="79">
        <f>SUM(D37:D39)</f>
        <v>997043</v>
      </c>
      <c r="E40" s="79">
        <f>D40-C40</f>
        <v>-481526</v>
      </c>
      <c r="F40" s="80">
        <f>IF(C40=0,0,E40/C40)</f>
        <v>-0.32567029337149633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2160950</v>
      </c>
      <c r="D42" s="79">
        <f>D34+D40</f>
        <v>1084384</v>
      </c>
      <c r="E42" s="79">
        <f>D42-C42</f>
        <v>-1076566</v>
      </c>
      <c r="F42" s="80">
        <f>IF(C42=0,0,E42/C42)</f>
        <v>-0.49819107337050833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2160950</v>
      </c>
      <c r="D49" s="79">
        <f>D42+D47</f>
        <v>1084384</v>
      </c>
      <c r="E49" s="79">
        <f>D49-C49</f>
        <v>-1076566</v>
      </c>
      <c r="F49" s="80">
        <f>IF(C49=0,0,E49/C49)</f>
        <v>-0.49819107337050833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FILING&amp;R&amp;8BRISTOL HOSPITAL &amp; HEALTH CARE GROUP,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2016-07-29T19:20:53Z</dcterms:created>
  <dcterms:modified xsi:type="dcterms:W3CDTF">2016-07-29T19:35:03Z</dcterms:modified>
</cp:coreProperties>
</file>