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102" i="22" l="1"/>
  <c r="C102" i="22"/>
  <c r="E97" i="22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E103" i="22"/>
  <c r="D83" i="22"/>
  <c r="D102" i="22"/>
  <c r="C83" i="22"/>
  <c r="C101" i="22"/>
  <c r="C103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C40" i="22"/>
  <c r="C36" i="22"/>
  <c r="E34" i="22"/>
  <c r="C34" i="22"/>
  <c r="D33" i="22"/>
  <c r="C30" i="22"/>
  <c r="E28" i="22"/>
  <c r="D28" i="22"/>
  <c r="C28" i="22"/>
  <c r="E27" i="22"/>
  <c r="D27" i="22"/>
  <c r="C27" i="22"/>
  <c r="E23" i="22"/>
  <c r="C23" i="22"/>
  <c r="C111" i="22"/>
  <c r="D22" i="22"/>
  <c r="D110" i="22"/>
  <c r="E21" i="22"/>
  <c r="D21" i="22"/>
  <c r="C21" i="22"/>
  <c r="E12" i="22"/>
  <c r="E33" i="22"/>
  <c r="D12" i="22"/>
  <c r="C12" i="22"/>
  <c r="C33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D25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C216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75" i="18"/>
  <c r="C139" i="18"/>
  <c r="C163" i="18"/>
  <c r="E138" i="18"/>
  <c r="E137" i="18"/>
  <c r="D7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D54" i="18"/>
  <c r="C54" i="18"/>
  <c r="C55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D294" i="18"/>
  <c r="C32" i="18"/>
  <c r="C33" i="18"/>
  <c r="E31" i="18"/>
  <c r="E30" i="18"/>
  <c r="E29" i="18"/>
  <c r="E28" i="18"/>
  <c r="E27" i="18"/>
  <c r="E26" i="18"/>
  <c r="E25" i="18"/>
  <c r="C22" i="18"/>
  <c r="C284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E204" i="17"/>
  <c r="F204" i="17"/>
  <c r="C204" i="17"/>
  <c r="D203" i="17"/>
  <c r="E203" i="17"/>
  <c r="F203" i="17"/>
  <c r="C203" i="17"/>
  <c r="D198" i="17"/>
  <c r="E198" i="17"/>
  <c r="F198" i="17"/>
  <c r="C198" i="17"/>
  <c r="D191" i="17"/>
  <c r="D280" i="17"/>
  <c r="C191" i="17"/>
  <c r="C280" i="17"/>
  <c r="D189" i="17"/>
  <c r="D278" i="17"/>
  <c r="C189" i="17"/>
  <c r="C278" i="17"/>
  <c r="D188" i="17"/>
  <c r="D277" i="17"/>
  <c r="C188" i="17"/>
  <c r="C277" i="17"/>
  <c r="F180" i="17"/>
  <c r="D180" i="17"/>
  <c r="E180" i="17"/>
  <c r="C180" i="17"/>
  <c r="F179" i="17"/>
  <c r="D179" i="17"/>
  <c r="C179" i="17"/>
  <c r="C181" i="17"/>
  <c r="F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D144" i="17"/>
  <c r="E144" i="17"/>
  <c r="F144" i="17"/>
  <c r="C144" i="17"/>
  <c r="C146" i="17"/>
  <c r="D136" i="17"/>
  <c r="E136" i="17"/>
  <c r="F136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C109" i="17"/>
  <c r="C111" i="17"/>
  <c r="D101" i="17"/>
  <c r="D102" i="17"/>
  <c r="C101" i="17"/>
  <c r="C102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E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E68" i="17"/>
  <c r="C66" i="17"/>
  <c r="C68" i="17"/>
  <c r="D59" i="17"/>
  <c r="D60" i="17"/>
  <c r="C59" i="17"/>
  <c r="C60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E28" i="17"/>
  <c r="F28" i="17"/>
  <c r="E27" i="17"/>
  <c r="F27" i="17"/>
  <c r="D24" i="17"/>
  <c r="E24" i="17"/>
  <c r="F24" i="17"/>
  <c r="C24" i="17"/>
  <c r="D23" i="17"/>
  <c r="E23" i="17"/>
  <c r="F23" i="17"/>
  <c r="C23" i="17"/>
  <c r="E22" i="17"/>
  <c r="F22" i="17"/>
  <c r="D20" i="17"/>
  <c r="E20" i="17"/>
  <c r="F20" i="17"/>
  <c r="C20" i="17"/>
  <c r="E19" i="17"/>
  <c r="F19" i="17"/>
  <c r="E18" i="17"/>
  <c r="F18" i="17"/>
  <c r="D17" i="17"/>
  <c r="E17" i="17"/>
  <c r="F17" i="17"/>
  <c r="C17" i="17"/>
  <c r="E16" i="17"/>
  <c r="F16" i="17"/>
  <c r="E15" i="17"/>
  <c r="F15" i="17"/>
  <c r="D21" i="16"/>
  <c r="E21" i="16"/>
  <c r="F21" i="16"/>
  <c r="C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C107" i="15"/>
  <c r="E106" i="15"/>
  <c r="F106" i="15"/>
  <c r="E105" i="15"/>
  <c r="F105" i="15"/>
  <c r="E104" i="15"/>
  <c r="F104" i="15"/>
  <c r="D100" i="15"/>
  <c r="C100" i="15"/>
  <c r="E99" i="15"/>
  <c r="F99" i="15"/>
  <c r="E98" i="15"/>
  <c r="F98" i="15"/>
  <c r="E97" i="15"/>
  <c r="F97" i="15"/>
  <c r="E96" i="15"/>
  <c r="F96" i="15"/>
  <c r="E95" i="15"/>
  <c r="F95" i="15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/>
  <c r="F80" i="15"/>
  <c r="E80" i="15"/>
  <c r="F79" i="15"/>
  <c r="E79" i="15"/>
  <c r="D75" i="15"/>
  <c r="C75" i="15"/>
  <c r="E74" i="15"/>
  <c r="F74" i="15"/>
  <c r="E73" i="15"/>
  <c r="F73" i="15"/>
  <c r="D70" i="15"/>
  <c r="C70" i="15"/>
  <c r="E69" i="15"/>
  <c r="F69" i="15"/>
  <c r="E68" i="15"/>
  <c r="F68" i="15"/>
  <c r="D65" i="15"/>
  <c r="C65" i="15"/>
  <c r="E64" i="15"/>
  <c r="F64" i="15"/>
  <c r="E63" i="15"/>
  <c r="F63" i="15"/>
  <c r="D60" i="15"/>
  <c r="C60" i="15"/>
  <c r="F60" i="15"/>
  <c r="F59" i="15"/>
  <c r="E59" i="15"/>
  <c r="F58" i="15"/>
  <c r="E58" i="15"/>
  <c r="E60" i="15"/>
  <c r="D55" i="15"/>
  <c r="C55" i="15"/>
  <c r="F55" i="15"/>
  <c r="F54" i="15"/>
  <c r="E54" i="15"/>
  <c r="F53" i="15"/>
  <c r="E53" i="15"/>
  <c r="D50" i="15"/>
  <c r="C50" i="15"/>
  <c r="F50" i="15"/>
  <c r="F49" i="15"/>
  <c r="E49" i="15"/>
  <c r="F48" i="15"/>
  <c r="E48" i="15"/>
  <c r="D45" i="15"/>
  <c r="C45" i="15"/>
  <c r="F45" i="15"/>
  <c r="F44" i="15"/>
  <c r="E44" i="15"/>
  <c r="F43" i="15"/>
  <c r="E43" i="15"/>
  <c r="D37" i="15"/>
  <c r="C37" i="15"/>
  <c r="F37" i="15"/>
  <c r="F36" i="15"/>
  <c r="E36" i="15"/>
  <c r="F35" i="15"/>
  <c r="E35" i="15"/>
  <c r="F34" i="15"/>
  <c r="E34" i="15"/>
  <c r="F33" i="15"/>
  <c r="E33" i="15"/>
  <c r="D30" i="15"/>
  <c r="C30" i="15"/>
  <c r="F29" i="15"/>
  <c r="E29" i="15"/>
  <c r="F28" i="15"/>
  <c r="E28" i="15"/>
  <c r="E27" i="15"/>
  <c r="F27" i="15"/>
  <c r="E26" i="15"/>
  <c r="F26" i="15"/>
  <c r="D23" i="15"/>
  <c r="C23" i="15"/>
  <c r="F22" i="15"/>
  <c r="E22" i="15"/>
  <c r="E21" i="15"/>
  <c r="F21" i="15"/>
  <c r="E20" i="15"/>
  <c r="F20" i="15"/>
  <c r="E19" i="15"/>
  <c r="F19" i="15"/>
  <c r="D16" i="15"/>
  <c r="C16" i="15"/>
  <c r="F15" i="15"/>
  <c r="E15" i="15"/>
  <c r="E14" i="15"/>
  <c r="F14" i="15"/>
  <c r="E13" i="15"/>
  <c r="F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D66" i="13"/>
  <c r="C66" i="13"/>
  <c r="E65" i="13"/>
  <c r="D65" i="13"/>
  <c r="C65" i="13"/>
  <c r="E60" i="13"/>
  <c r="D60" i="13"/>
  <c r="C60" i="13"/>
  <c r="E58" i="13"/>
  <c r="D58" i="13"/>
  <c r="C58" i="13"/>
  <c r="E55" i="13"/>
  <c r="D55" i="13"/>
  <c r="C55" i="13"/>
  <c r="E54" i="13"/>
  <c r="D54" i="13"/>
  <c r="C54" i="13"/>
  <c r="E50" i="13"/>
  <c r="D50" i="13"/>
  <c r="C50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E25" i="13"/>
  <c r="E27" i="13"/>
  <c r="D13" i="13"/>
  <c r="D25" i="13"/>
  <c r="D27" i="13"/>
  <c r="C13" i="13"/>
  <c r="C25" i="13"/>
  <c r="C27" i="13"/>
  <c r="D47" i="12"/>
  <c r="E47" i="12"/>
  <c r="C47" i="12"/>
  <c r="F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C73" i="11"/>
  <c r="F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C61" i="11"/>
  <c r="C65" i="11"/>
  <c r="F60" i="11"/>
  <c r="E60" i="11"/>
  <c r="F59" i="11"/>
  <c r="E59" i="11"/>
  <c r="D56" i="11"/>
  <c r="D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C120" i="10"/>
  <c r="F120" i="10"/>
  <c r="D119" i="10"/>
  <c r="C119" i="10"/>
  <c r="F119" i="10"/>
  <c r="D118" i="10"/>
  <c r="C118" i="10"/>
  <c r="F118" i="10"/>
  <c r="D117" i="10"/>
  <c r="C117" i="10"/>
  <c r="F117" i="10"/>
  <c r="D116" i="10"/>
  <c r="C116" i="10"/>
  <c r="F116" i="10"/>
  <c r="D115" i="10"/>
  <c r="C115" i="10"/>
  <c r="F115" i="10"/>
  <c r="D114" i="10"/>
  <c r="C114" i="10"/>
  <c r="F114" i="10"/>
  <c r="D113" i="10"/>
  <c r="D122" i="10"/>
  <c r="C113" i="10"/>
  <c r="F113" i="10"/>
  <c r="D112" i="10"/>
  <c r="D121" i="10"/>
  <c r="C112" i="10"/>
  <c r="F112" i="10"/>
  <c r="D108" i="10"/>
  <c r="C108" i="10"/>
  <c r="F108" i="10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/>
  <c r="D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C207" i="9"/>
  <c r="D206" i="9"/>
  <c r="C206" i="9"/>
  <c r="D205" i="9"/>
  <c r="C205" i="9"/>
  <c r="D204" i="9"/>
  <c r="C204" i="9"/>
  <c r="D203" i="9"/>
  <c r="C203" i="9"/>
  <c r="D202" i="9"/>
  <c r="C202" i="9"/>
  <c r="D201" i="9"/>
  <c r="C201" i="9"/>
  <c r="D200" i="9"/>
  <c r="C200" i="9"/>
  <c r="D199" i="9"/>
  <c r="D208" i="9"/>
  <c r="C199" i="9"/>
  <c r="D198" i="9"/>
  <c r="D207" i="9"/>
  <c r="E207" i="9"/>
  <c r="C198" i="9"/>
  <c r="D193" i="9"/>
  <c r="C193" i="9"/>
  <c r="D192" i="9"/>
  <c r="C192" i="9"/>
  <c r="E191" i="9"/>
  <c r="F191" i="9"/>
  <c r="E190" i="9"/>
  <c r="F190" i="9"/>
  <c r="E189" i="9"/>
  <c r="F189" i="9"/>
  <c r="E188" i="9"/>
  <c r="F188" i="9"/>
  <c r="E187" i="9"/>
  <c r="F187" i="9"/>
  <c r="E186" i="9"/>
  <c r="F186" i="9"/>
  <c r="E185" i="9"/>
  <c r="F185" i="9"/>
  <c r="E184" i="9"/>
  <c r="F184" i="9"/>
  <c r="E183" i="9"/>
  <c r="F183" i="9"/>
  <c r="D180" i="9"/>
  <c r="C180" i="9"/>
  <c r="F180" i="9"/>
  <c r="D179" i="9"/>
  <c r="C179" i="9"/>
  <c r="F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D166" i="9"/>
  <c r="C166" i="9"/>
  <c r="F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/>
  <c r="D153" i="9"/>
  <c r="C153" i="9"/>
  <c r="F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C140" i="9"/>
  <c r="E139" i="9"/>
  <c r="F139" i="9"/>
  <c r="E138" i="9"/>
  <c r="F138" i="9"/>
  <c r="E137" i="9"/>
  <c r="F137" i="9"/>
  <c r="E136" i="9"/>
  <c r="F136" i="9"/>
  <c r="E135" i="9"/>
  <c r="F135" i="9"/>
  <c r="E134" i="9"/>
  <c r="F134" i="9"/>
  <c r="E133" i="9"/>
  <c r="F133" i="9"/>
  <c r="E132" i="9"/>
  <c r="F132" i="9"/>
  <c r="E131" i="9"/>
  <c r="F131" i="9"/>
  <c r="D128" i="9"/>
  <c r="C128" i="9"/>
  <c r="D127" i="9"/>
  <c r="C127" i="9"/>
  <c r="E126" i="9"/>
  <c r="F126" i="9"/>
  <c r="E125" i="9"/>
  <c r="F125" i="9"/>
  <c r="E124" i="9"/>
  <c r="F124" i="9"/>
  <c r="E123" i="9"/>
  <c r="F123" i="9"/>
  <c r="E122" i="9"/>
  <c r="F122" i="9"/>
  <c r="E121" i="9"/>
  <c r="F121" i="9"/>
  <c r="E120" i="9"/>
  <c r="F120" i="9"/>
  <c r="E119" i="9"/>
  <c r="F119" i="9"/>
  <c r="E118" i="9"/>
  <c r="F118" i="9"/>
  <c r="D115" i="9"/>
  <c r="C115" i="9"/>
  <c r="D114" i="9"/>
  <c r="C114" i="9"/>
  <c r="E113" i="9"/>
  <c r="F113" i="9"/>
  <c r="E112" i="9"/>
  <c r="F112" i="9"/>
  <c r="E111" i="9"/>
  <c r="F111" i="9"/>
  <c r="E110" i="9"/>
  <c r="F110" i="9"/>
  <c r="E109" i="9"/>
  <c r="F109" i="9"/>
  <c r="E108" i="9"/>
  <c r="F108" i="9"/>
  <c r="E107" i="9"/>
  <c r="F107" i="9"/>
  <c r="E106" i="9"/>
  <c r="F106" i="9"/>
  <c r="E105" i="9"/>
  <c r="F105" i="9"/>
  <c r="D102" i="9"/>
  <c r="C102" i="9"/>
  <c r="D101" i="9"/>
  <c r="C101" i="9"/>
  <c r="E100" i="9"/>
  <c r="F100" i="9"/>
  <c r="E99" i="9"/>
  <c r="F99" i="9"/>
  <c r="E98" i="9"/>
  <c r="F98" i="9"/>
  <c r="E97" i="9"/>
  <c r="F97" i="9"/>
  <c r="E96" i="9"/>
  <c r="F96" i="9"/>
  <c r="E95" i="9"/>
  <c r="F95" i="9"/>
  <c r="E94" i="9"/>
  <c r="F94" i="9"/>
  <c r="E93" i="9"/>
  <c r="F93" i="9"/>
  <c r="E92" i="9"/>
  <c r="F92" i="9"/>
  <c r="D89" i="9"/>
  <c r="C89" i="9"/>
  <c r="F89" i="9"/>
  <c r="D88" i="9"/>
  <c r="C88" i="9"/>
  <c r="F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4" i="9"/>
  <c r="F74" i="9"/>
  <c r="E73" i="9"/>
  <c r="F73" i="9"/>
  <c r="E72" i="9"/>
  <c r="F72" i="9"/>
  <c r="E71" i="9"/>
  <c r="F71" i="9"/>
  <c r="E70" i="9"/>
  <c r="F70" i="9"/>
  <c r="E69" i="9"/>
  <c r="F69" i="9"/>
  <c r="E68" i="9"/>
  <c r="F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D139" i="8"/>
  <c r="E138" i="8"/>
  <c r="C138" i="8"/>
  <c r="D137" i="8"/>
  <c r="E136" i="8"/>
  <c r="D135" i="8"/>
  <c r="E126" i="8"/>
  <c r="D126" i="8"/>
  <c r="C126" i="8"/>
  <c r="E119" i="8"/>
  <c r="D119" i="8"/>
  <c r="C119" i="8"/>
  <c r="E109" i="8"/>
  <c r="E106" i="8"/>
  <c r="E108" i="8"/>
  <c r="D108" i="8"/>
  <c r="C108" i="8"/>
  <c r="E107" i="8"/>
  <c r="D107" i="8"/>
  <c r="D109" i="8"/>
  <c r="C107" i="8"/>
  <c r="C109" i="8"/>
  <c r="C106" i="8"/>
  <c r="D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90" i="8"/>
  <c r="E89" i="8"/>
  <c r="D89" i="8"/>
  <c r="C89" i="8"/>
  <c r="E88" i="8"/>
  <c r="C88" i="8"/>
  <c r="C90" i="8"/>
  <c r="C86" i="8"/>
  <c r="E87" i="8"/>
  <c r="D87" i="8"/>
  <c r="C87" i="8"/>
  <c r="E86" i="8"/>
  <c r="E84" i="8"/>
  <c r="D84" i="8"/>
  <c r="C84" i="8"/>
  <c r="E83" i="8"/>
  <c r="E79" i="8"/>
  <c r="D83" i="8"/>
  <c r="C83" i="8"/>
  <c r="C79" i="8"/>
  <c r="D79" i="8"/>
  <c r="E77" i="8"/>
  <c r="C77" i="8"/>
  <c r="E75" i="8"/>
  <c r="D75" i="8"/>
  <c r="C75" i="8"/>
  <c r="E74" i="8"/>
  <c r="D74" i="8"/>
  <c r="C74" i="8"/>
  <c r="E67" i="8"/>
  <c r="D67" i="8"/>
  <c r="C67" i="8"/>
  <c r="D53" i="8"/>
  <c r="D43" i="8"/>
  <c r="E38" i="8"/>
  <c r="D38" i="8"/>
  <c r="D57" i="8"/>
  <c r="D62" i="8"/>
  <c r="C38" i="8"/>
  <c r="E33" i="8"/>
  <c r="E34" i="8"/>
  <c r="D33" i="8"/>
  <c r="D34" i="8"/>
  <c r="C27" i="8"/>
  <c r="C21" i="8"/>
  <c r="E26" i="8"/>
  <c r="D26" i="8"/>
  <c r="C26" i="8"/>
  <c r="E25" i="8"/>
  <c r="E27" i="8"/>
  <c r="C25" i="8"/>
  <c r="E15" i="8"/>
  <c r="C15" i="8"/>
  <c r="E13" i="8"/>
  <c r="D13" i="8"/>
  <c r="C13" i="8"/>
  <c r="E186" i="7"/>
  <c r="F186" i="7"/>
  <c r="D183" i="7"/>
  <c r="D188" i="7"/>
  <c r="C183" i="7"/>
  <c r="E182" i="7"/>
  <c r="F182" i="7"/>
  <c r="E181" i="7"/>
  <c r="F181" i="7"/>
  <c r="E180" i="7"/>
  <c r="F180" i="7"/>
  <c r="E179" i="7"/>
  <c r="F179" i="7"/>
  <c r="F178" i="7"/>
  <c r="E178" i="7"/>
  <c r="F177" i="7"/>
  <c r="E177" i="7"/>
  <c r="F176" i="7"/>
  <c r="E176" i="7"/>
  <c r="E175" i="7"/>
  <c r="F175" i="7"/>
  <c r="E174" i="7"/>
  <c r="F174" i="7"/>
  <c r="E173" i="7"/>
  <c r="F173" i="7"/>
  <c r="F172" i="7"/>
  <c r="E172" i="7"/>
  <c r="E171" i="7"/>
  <c r="F171" i="7"/>
  <c r="E170" i="7"/>
  <c r="F170" i="7"/>
  <c r="D167" i="7"/>
  <c r="C167" i="7"/>
  <c r="E166" i="7"/>
  <c r="F166" i="7"/>
  <c r="F165" i="7"/>
  <c r="E165" i="7"/>
  <c r="E164" i="7"/>
  <c r="F164" i="7"/>
  <c r="F163" i="7"/>
  <c r="E163" i="7"/>
  <c r="F162" i="7"/>
  <c r="E162" i="7"/>
  <c r="E161" i="7"/>
  <c r="F161" i="7"/>
  <c r="E160" i="7"/>
  <c r="F160" i="7"/>
  <c r="F159" i="7"/>
  <c r="E159" i="7"/>
  <c r="E158" i="7"/>
  <c r="F158" i="7"/>
  <c r="E157" i="7"/>
  <c r="F157" i="7"/>
  <c r="E156" i="7"/>
  <c r="F156" i="7"/>
  <c r="F155" i="7"/>
  <c r="E155" i="7"/>
  <c r="F154" i="7"/>
  <c r="E154" i="7"/>
  <c r="F153" i="7"/>
  <c r="E153" i="7"/>
  <c r="E152" i="7"/>
  <c r="F152" i="7"/>
  <c r="F151" i="7"/>
  <c r="E151" i="7"/>
  <c r="E150" i="7"/>
  <c r="F150" i="7"/>
  <c r="F149" i="7"/>
  <c r="E149" i="7"/>
  <c r="F148" i="7"/>
  <c r="E148" i="7"/>
  <c r="E147" i="7"/>
  <c r="F147" i="7"/>
  <c r="E146" i="7"/>
  <c r="F146" i="7"/>
  <c r="F145" i="7"/>
  <c r="E145" i="7"/>
  <c r="E144" i="7"/>
  <c r="F144" i="7"/>
  <c r="F143" i="7"/>
  <c r="E143" i="7"/>
  <c r="E142" i="7"/>
  <c r="F142" i="7"/>
  <c r="E141" i="7"/>
  <c r="F141" i="7"/>
  <c r="E140" i="7"/>
  <c r="F140" i="7"/>
  <c r="E139" i="7"/>
  <c r="F139" i="7"/>
  <c r="E138" i="7"/>
  <c r="F138" i="7"/>
  <c r="E137" i="7"/>
  <c r="F137" i="7"/>
  <c r="F136" i="7"/>
  <c r="E136" i="7"/>
  <c r="E135" i="7"/>
  <c r="F135" i="7"/>
  <c r="E134" i="7"/>
  <c r="F134" i="7"/>
  <c r="E133" i="7"/>
  <c r="F133" i="7"/>
  <c r="D130" i="7"/>
  <c r="C130" i="7"/>
  <c r="E129" i="7"/>
  <c r="F129" i="7"/>
  <c r="E128" i="7"/>
  <c r="F128" i="7"/>
  <c r="E127" i="7"/>
  <c r="F127" i="7"/>
  <c r="E126" i="7"/>
  <c r="F126" i="7"/>
  <c r="F125" i="7"/>
  <c r="E125" i="7"/>
  <c r="E124" i="7"/>
  <c r="F124" i="7"/>
  <c r="D121" i="7"/>
  <c r="C121" i="7"/>
  <c r="E120" i="7"/>
  <c r="F120" i="7"/>
  <c r="E119" i="7"/>
  <c r="F119" i="7"/>
  <c r="E118" i="7"/>
  <c r="F118" i="7"/>
  <c r="E117" i="7"/>
  <c r="F117" i="7"/>
  <c r="E116" i="7"/>
  <c r="F116" i="7"/>
  <c r="E115" i="7"/>
  <c r="F115" i="7"/>
  <c r="E114" i="7"/>
  <c r="F114" i="7"/>
  <c r="E113" i="7"/>
  <c r="F113" i="7"/>
  <c r="E112" i="7"/>
  <c r="F112" i="7"/>
  <c r="E111" i="7"/>
  <c r="F111" i="7"/>
  <c r="E110" i="7"/>
  <c r="F110" i="7"/>
  <c r="E109" i="7"/>
  <c r="F109" i="7"/>
  <c r="E108" i="7"/>
  <c r="F108" i="7"/>
  <c r="E107" i="7"/>
  <c r="F107" i="7"/>
  <c r="E106" i="7"/>
  <c r="F106" i="7"/>
  <c r="E105" i="7"/>
  <c r="F105" i="7"/>
  <c r="E104" i="7"/>
  <c r="F104" i="7"/>
  <c r="E103" i="7"/>
  <c r="F103" i="7"/>
  <c r="C95" i="7"/>
  <c r="F93" i="7"/>
  <c r="E93" i="7"/>
  <c r="D90" i="7"/>
  <c r="C90" i="7"/>
  <c r="E89" i="7"/>
  <c r="F89" i="7"/>
  <c r="E88" i="7"/>
  <c r="F88" i="7"/>
  <c r="E87" i="7"/>
  <c r="F87" i="7"/>
  <c r="E86" i="7"/>
  <c r="F86" i="7"/>
  <c r="F85" i="7"/>
  <c r="E85" i="7"/>
  <c r="E84" i="7"/>
  <c r="F84" i="7"/>
  <c r="E83" i="7"/>
  <c r="F83" i="7"/>
  <c r="E82" i="7"/>
  <c r="F82" i="7"/>
  <c r="E81" i="7"/>
  <c r="F81" i="7"/>
  <c r="E80" i="7"/>
  <c r="F80" i="7"/>
  <c r="F79" i="7"/>
  <c r="E79" i="7"/>
  <c r="E78" i="7"/>
  <c r="F78" i="7"/>
  <c r="F77" i="7"/>
  <c r="E77" i="7"/>
  <c r="E76" i="7"/>
  <c r="F76" i="7"/>
  <c r="E75" i="7"/>
  <c r="F75" i="7"/>
  <c r="E74" i="7"/>
  <c r="F74" i="7"/>
  <c r="E73" i="7"/>
  <c r="F73" i="7"/>
  <c r="E72" i="7"/>
  <c r="F72" i="7"/>
  <c r="E71" i="7"/>
  <c r="F71" i="7"/>
  <c r="E70" i="7"/>
  <c r="F70" i="7"/>
  <c r="E69" i="7"/>
  <c r="F69" i="7"/>
  <c r="E68" i="7"/>
  <c r="F68" i="7"/>
  <c r="E67" i="7"/>
  <c r="F67" i="7"/>
  <c r="E66" i="7"/>
  <c r="F66" i="7"/>
  <c r="E65" i="7"/>
  <c r="F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E54" i="4"/>
  <c r="F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E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E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E111" i="22"/>
  <c r="E54" i="22"/>
  <c r="C113" i="22"/>
  <c r="C56" i="22"/>
  <c r="D45" i="22"/>
  <c r="E46" i="22"/>
  <c r="C48" i="22"/>
  <c r="D53" i="22"/>
  <c r="D108" i="22"/>
  <c r="D109" i="22"/>
  <c r="D34" i="22"/>
  <c r="D23" i="22"/>
  <c r="D29" i="22"/>
  <c r="E30" i="22"/>
  <c r="D35" i="22"/>
  <c r="E36" i="22"/>
  <c r="C38" i="22"/>
  <c r="D39" i="22"/>
  <c r="E40" i="22"/>
  <c r="C46" i="22"/>
  <c r="C54" i="22"/>
  <c r="C109" i="22"/>
  <c r="C108" i="22"/>
  <c r="E109" i="22"/>
  <c r="E108" i="22"/>
  <c r="D101" i="22"/>
  <c r="D103" i="22"/>
  <c r="E85" i="17"/>
  <c r="D192" i="17"/>
  <c r="C22" i="22"/>
  <c r="E22" i="22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E294" i="17"/>
  <c r="E295" i="17"/>
  <c r="E296" i="17"/>
  <c r="E297" i="17"/>
  <c r="E298" i="17"/>
  <c r="E299" i="17"/>
  <c r="C22" i="19"/>
  <c r="E120" i="17"/>
  <c r="C258" i="18"/>
  <c r="C100" i="18"/>
  <c r="C98" i="18"/>
  <c r="C96" i="18"/>
  <c r="C89" i="18"/>
  <c r="C87" i="18"/>
  <c r="C85" i="18"/>
  <c r="C101" i="18"/>
  <c r="C99" i="18"/>
  <c r="C97" i="18"/>
  <c r="C95" i="18"/>
  <c r="C88" i="18"/>
  <c r="C86" i="18"/>
  <c r="C84" i="18"/>
  <c r="C83" i="18"/>
  <c r="E33" i="18"/>
  <c r="D258" i="18"/>
  <c r="D101" i="18"/>
  <c r="E101" i="18"/>
  <c r="D99" i="18"/>
  <c r="D97" i="18"/>
  <c r="E97" i="18"/>
  <c r="D95" i="18"/>
  <c r="D88" i="18"/>
  <c r="E88" i="18"/>
  <c r="D86" i="18"/>
  <c r="D84" i="18"/>
  <c r="D100" i="18"/>
  <c r="E100" i="18"/>
  <c r="D98" i="18"/>
  <c r="E98" i="18"/>
  <c r="D96" i="18"/>
  <c r="D89" i="18"/>
  <c r="E89" i="18"/>
  <c r="D87" i="18"/>
  <c r="E87" i="18"/>
  <c r="D85" i="18"/>
  <c r="E85" i="18"/>
  <c r="D83" i="18"/>
  <c r="E44" i="18"/>
  <c r="D259" i="18"/>
  <c r="E43" i="18"/>
  <c r="D181" i="17"/>
  <c r="C283" i="18"/>
  <c r="E21" i="18"/>
  <c r="D22" i="18"/>
  <c r="E37" i="18"/>
  <c r="E55" i="18"/>
  <c r="D66" i="18"/>
  <c r="E65" i="18"/>
  <c r="E94" i="17"/>
  <c r="F94" i="17"/>
  <c r="E95" i="17"/>
  <c r="E100" i="17"/>
  <c r="F100" i="17"/>
  <c r="E110" i="17"/>
  <c r="E283" i="18"/>
  <c r="C294" i="18"/>
  <c r="E294" i="18"/>
  <c r="E32" i="18"/>
  <c r="D295" i="18"/>
  <c r="E36" i="18"/>
  <c r="E54" i="18"/>
  <c r="C289" i="18"/>
  <c r="C71" i="18"/>
  <c r="C76" i="18"/>
  <c r="C65" i="18"/>
  <c r="C66" i="18"/>
  <c r="C295" i="18"/>
  <c r="E60" i="18"/>
  <c r="E70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D157" i="18"/>
  <c r="E157" i="18"/>
  <c r="E156" i="18"/>
  <c r="E289" i="18"/>
  <c r="C144" i="18"/>
  <c r="E144" i="18"/>
  <c r="D145" i="18"/>
  <c r="E151" i="18"/>
  <c r="D163" i="18"/>
  <c r="E163" i="18"/>
  <c r="C175" i="18"/>
  <c r="E175" i="18"/>
  <c r="D180" i="18"/>
  <c r="C261" i="18"/>
  <c r="C189" i="18"/>
  <c r="E188" i="18"/>
  <c r="D260" i="18"/>
  <c r="E195" i="18"/>
  <c r="D234" i="18"/>
  <c r="D211" i="18"/>
  <c r="D239" i="18"/>
  <c r="E239" i="18"/>
  <c r="E215" i="18"/>
  <c r="D241" i="18"/>
  <c r="E241" i="18"/>
  <c r="E242" i="18"/>
  <c r="E243" i="18"/>
  <c r="E244" i="18"/>
  <c r="E245" i="18"/>
  <c r="D252" i="18"/>
  <c r="E302" i="18"/>
  <c r="C303" i="18"/>
  <c r="C306" i="18"/>
  <c r="C310" i="18"/>
  <c r="E139" i="18"/>
  <c r="E261" i="18"/>
  <c r="E189" i="18"/>
  <c r="C229" i="18"/>
  <c r="E229" i="18"/>
  <c r="C210" i="18"/>
  <c r="E205" i="18"/>
  <c r="C240" i="18"/>
  <c r="E240" i="18"/>
  <c r="C222" i="18"/>
  <c r="C246" i="18"/>
  <c r="E216" i="18"/>
  <c r="C253" i="18"/>
  <c r="E253" i="18"/>
  <c r="E303" i="18"/>
  <c r="D306" i="18"/>
  <c r="D320" i="18"/>
  <c r="E320" i="18"/>
  <c r="E316" i="18"/>
  <c r="E326" i="18"/>
  <c r="D330" i="18"/>
  <c r="E330" i="18"/>
  <c r="C217" i="18"/>
  <c r="C241" i="18"/>
  <c r="E219" i="18"/>
  <c r="E221" i="18"/>
  <c r="D222" i="18"/>
  <c r="D223" i="18"/>
  <c r="C252" i="18"/>
  <c r="C254" i="18"/>
  <c r="E265" i="18"/>
  <c r="E314" i="18"/>
  <c r="E218" i="18"/>
  <c r="E220" i="18"/>
  <c r="E233" i="18"/>
  <c r="E301" i="18"/>
  <c r="E324" i="18"/>
  <c r="C32" i="17"/>
  <c r="C160" i="17"/>
  <c r="C90" i="17"/>
  <c r="C61" i="17"/>
  <c r="F68" i="17"/>
  <c r="F89" i="17"/>
  <c r="E102" i="17"/>
  <c r="D103" i="17"/>
  <c r="E103" i="17"/>
  <c r="E111" i="17"/>
  <c r="F111" i="17"/>
  <c r="D32" i="17"/>
  <c r="E31" i="17"/>
  <c r="F31" i="17"/>
  <c r="D90" i="17"/>
  <c r="E90" i="17"/>
  <c r="E48" i="17"/>
  <c r="F48" i="17"/>
  <c r="D61" i="17"/>
  <c r="E60" i="17"/>
  <c r="F60" i="17"/>
  <c r="C103" i="17"/>
  <c r="F102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F85" i="17"/>
  <c r="F95" i="17"/>
  <c r="F110" i="17"/>
  <c r="F120" i="17"/>
  <c r="D124" i="17"/>
  <c r="E124" i="17"/>
  <c r="C207" i="17"/>
  <c r="C138" i="17"/>
  <c r="F172" i="17"/>
  <c r="E181" i="17"/>
  <c r="E227" i="17"/>
  <c r="E239" i="17"/>
  <c r="D21" i="17"/>
  <c r="E88" i="17"/>
  <c r="F88" i="17"/>
  <c r="E101" i="17"/>
  <c r="F101" i="17"/>
  <c r="E109" i="17"/>
  <c r="F109" i="17"/>
  <c r="C193" i="17"/>
  <c r="C282" i="17"/>
  <c r="C192" i="17"/>
  <c r="E123" i="17"/>
  <c r="F123" i="17"/>
  <c r="C124" i="17"/>
  <c r="D137" i="17"/>
  <c r="D146" i="17"/>
  <c r="E146" i="17"/>
  <c r="F146" i="17"/>
  <c r="D159" i="17"/>
  <c r="E159" i="17"/>
  <c r="D172" i="17"/>
  <c r="F227" i="17"/>
  <c r="F239" i="17"/>
  <c r="E179" i="17"/>
  <c r="C284" i="17"/>
  <c r="C279" i="17"/>
  <c r="E188" i="17"/>
  <c r="F188" i="17"/>
  <c r="C288" i="17"/>
  <c r="E189" i="17"/>
  <c r="F189" i="17"/>
  <c r="C190" i="17"/>
  <c r="E191" i="17"/>
  <c r="F191" i="17"/>
  <c r="C290" i="17"/>
  <c r="C274" i="17"/>
  <c r="C199" i="17"/>
  <c r="C200" i="17"/>
  <c r="C283" i="17"/>
  <c r="C267" i="17"/>
  <c r="C285" i="17"/>
  <c r="C269" i="17"/>
  <c r="C205" i="17"/>
  <c r="C206" i="17"/>
  <c r="C21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E277" i="17"/>
  <c r="F277" i="17"/>
  <c r="D279" i="17"/>
  <c r="E279" i="17"/>
  <c r="E278" i="17"/>
  <c r="F278" i="17"/>
  <c r="D190" i="17"/>
  <c r="E190" i="17"/>
  <c r="E280" i="17"/>
  <c r="F280" i="17"/>
  <c r="D193" i="17"/>
  <c r="D266" i="17"/>
  <c r="D290" i="17"/>
  <c r="E290" i="17"/>
  <c r="D274" i="17"/>
  <c r="E274" i="17"/>
  <c r="D199" i="17"/>
  <c r="E199" i="17"/>
  <c r="D200" i="17"/>
  <c r="E200" i="17"/>
  <c r="D283" i="17"/>
  <c r="D287" i="17"/>
  <c r="D267" i="17"/>
  <c r="D285" i="17"/>
  <c r="E285" i="17"/>
  <c r="D269" i="17"/>
  <c r="E269" i="17"/>
  <c r="D205" i="17"/>
  <c r="E205" i="17"/>
  <c r="D206" i="17"/>
  <c r="E206" i="17"/>
  <c r="D214" i="17"/>
  <c r="D215" i="17"/>
  <c r="D261" i="17"/>
  <c r="D262" i="17"/>
  <c r="D264" i="17"/>
  <c r="F294" i="17"/>
  <c r="F295" i="17"/>
  <c r="F296" i="17"/>
  <c r="F297" i="17"/>
  <c r="F298" i="17"/>
  <c r="F299" i="17"/>
  <c r="F23" i="15"/>
  <c r="F65" i="15"/>
  <c r="F75" i="15"/>
  <c r="E16" i="15"/>
  <c r="F16" i="15"/>
  <c r="E23" i="15"/>
  <c r="E30" i="15"/>
  <c r="F30" i="15"/>
  <c r="E37" i="15"/>
  <c r="E45" i="15"/>
  <c r="E50" i="15"/>
  <c r="E55" i="15"/>
  <c r="E65" i="15"/>
  <c r="E70" i="15"/>
  <c r="F70" i="15"/>
  <c r="E75" i="15"/>
  <c r="E92" i="15"/>
  <c r="F92" i="15"/>
  <c r="E100" i="15"/>
  <c r="F100" i="15"/>
  <c r="E107" i="15"/>
  <c r="F107" i="15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C21" i="13"/>
  <c r="E21" i="13"/>
  <c r="D21" i="13"/>
  <c r="D15" i="13"/>
  <c r="D48" i="13"/>
  <c r="D42" i="13"/>
  <c r="C15" i="13"/>
  <c r="E15" i="13"/>
  <c r="C48" i="13"/>
  <c r="C42" i="13"/>
  <c r="E48" i="13"/>
  <c r="E42" i="13"/>
  <c r="F17" i="12"/>
  <c r="C20" i="12"/>
  <c r="D20" i="12"/>
  <c r="E17" i="12"/>
  <c r="E15" i="12"/>
  <c r="F15" i="12"/>
  <c r="E43" i="11"/>
  <c r="F43" i="11"/>
  <c r="E41" i="11"/>
  <c r="F41" i="11"/>
  <c r="E75" i="11"/>
  <c r="F75" i="11"/>
  <c r="E65" i="11"/>
  <c r="F65" i="11"/>
  <c r="E22" i="11"/>
  <c r="F22" i="11"/>
  <c r="E38" i="11"/>
  <c r="F38" i="11"/>
  <c r="E56" i="11"/>
  <c r="F56" i="11"/>
  <c r="E61" i="11"/>
  <c r="F61" i="11"/>
  <c r="E122" i="10"/>
  <c r="E23" i="10"/>
  <c r="E24" i="10"/>
  <c r="E35" i="10"/>
  <c r="E36" i="10"/>
  <c r="E47" i="10"/>
  <c r="E48" i="10"/>
  <c r="E59" i="10"/>
  <c r="E60" i="10"/>
  <c r="E71" i="10"/>
  <c r="E72" i="10"/>
  <c r="E83" i="10"/>
  <c r="E84" i="10"/>
  <c r="E95" i="10"/>
  <c r="E96" i="10"/>
  <c r="E107" i="10"/>
  <c r="E108" i="10"/>
  <c r="E112" i="10"/>
  <c r="E113" i="10"/>
  <c r="E114" i="10"/>
  <c r="E115" i="10"/>
  <c r="E116" i="10"/>
  <c r="E117" i="10"/>
  <c r="E118" i="10"/>
  <c r="E119" i="10"/>
  <c r="E120" i="10"/>
  <c r="C121" i="10"/>
  <c r="F121" i="10"/>
  <c r="C122" i="10"/>
  <c r="F122" i="10"/>
  <c r="F75" i="9"/>
  <c r="E75" i="9"/>
  <c r="E88" i="9"/>
  <c r="E102" i="9"/>
  <c r="F102" i="9"/>
  <c r="E114" i="9"/>
  <c r="F114" i="9"/>
  <c r="E128" i="9"/>
  <c r="F128" i="9"/>
  <c r="E140" i="9"/>
  <c r="F140" i="9"/>
  <c r="E153" i="9"/>
  <c r="E166" i="9"/>
  <c r="E179" i="9"/>
  <c r="F193" i="9"/>
  <c r="E193" i="9"/>
  <c r="F199" i="9"/>
  <c r="E199" i="9"/>
  <c r="F201" i="9"/>
  <c r="E201" i="9"/>
  <c r="F203" i="9"/>
  <c r="E203" i="9"/>
  <c r="F205" i="9"/>
  <c r="E205" i="9"/>
  <c r="F207" i="9"/>
  <c r="C208" i="9"/>
  <c r="F76" i="9"/>
  <c r="E76" i="9"/>
  <c r="E89" i="9"/>
  <c r="E101" i="9"/>
  <c r="F101" i="9"/>
  <c r="E115" i="9"/>
  <c r="F115" i="9"/>
  <c r="E127" i="9"/>
  <c r="F127" i="9"/>
  <c r="E141" i="9"/>
  <c r="F141" i="9"/>
  <c r="E154" i="9"/>
  <c r="E167" i="9"/>
  <c r="E180" i="9"/>
  <c r="F192" i="9"/>
  <c r="E192" i="9"/>
  <c r="F198" i="9"/>
  <c r="E198" i="9"/>
  <c r="F200" i="9"/>
  <c r="E200" i="9"/>
  <c r="F202" i="9"/>
  <c r="E202" i="9"/>
  <c r="F204" i="9"/>
  <c r="E204" i="9"/>
  <c r="F206" i="9"/>
  <c r="E206" i="9"/>
  <c r="E21" i="8"/>
  <c r="D25" i="8"/>
  <c r="D27" i="8"/>
  <c r="D15" i="8"/>
  <c r="C24" i="8"/>
  <c r="C17" i="8"/>
  <c r="C53" i="8"/>
  <c r="C43" i="8"/>
  <c r="E53" i="8"/>
  <c r="E43" i="8"/>
  <c r="C49" i="8"/>
  <c r="E57" i="8"/>
  <c r="E62" i="8"/>
  <c r="D88" i="8"/>
  <c r="D90" i="8"/>
  <c r="D86" i="8"/>
  <c r="D77" i="8"/>
  <c r="D71" i="8"/>
  <c r="C71" i="8"/>
  <c r="C139" i="8"/>
  <c r="C137" i="8"/>
  <c r="C135" i="8"/>
  <c r="E156" i="8"/>
  <c r="E154" i="8"/>
  <c r="E152" i="8"/>
  <c r="E157" i="8"/>
  <c r="E155" i="8"/>
  <c r="E153" i="8"/>
  <c r="D157" i="8"/>
  <c r="D155" i="8"/>
  <c r="D153" i="8"/>
  <c r="D156" i="8"/>
  <c r="D154" i="8"/>
  <c r="D152" i="8"/>
  <c r="D158" i="8"/>
  <c r="E24" i="8"/>
  <c r="E20" i="8"/>
  <c r="E17" i="8"/>
  <c r="C20" i="8"/>
  <c r="E49" i="8"/>
  <c r="C57" i="8"/>
  <c r="C62" i="8"/>
  <c r="E71" i="8"/>
  <c r="C136" i="8"/>
  <c r="C140" i="8"/>
  <c r="E139" i="8"/>
  <c r="E137" i="8"/>
  <c r="E135" i="8"/>
  <c r="E141" i="8"/>
  <c r="E140" i="8"/>
  <c r="D140" i="8"/>
  <c r="D138" i="8"/>
  <c r="D136" i="8"/>
  <c r="D141" i="8"/>
  <c r="C156" i="8"/>
  <c r="C154" i="8"/>
  <c r="C152" i="8"/>
  <c r="C157" i="8"/>
  <c r="C155" i="8"/>
  <c r="C153" i="8"/>
  <c r="D49" i="8"/>
  <c r="D95" i="7"/>
  <c r="E95" i="7"/>
  <c r="F95" i="7"/>
  <c r="F167" i="7"/>
  <c r="F90" i="7"/>
  <c r="E90" i="7"/>
  <c r="F130" i="7"/>
  <c r="E121" i="7"/>
  <c r="F121" i="7"/>
  <c r="E130" i="7"/>
  <c r="E167" i="7"/>
  <c r="E183" i="7"/>
  <c r="F183" i="7"/>
  <c r="C188" i="7"/>
  <c r="E95" i="6"/>
  <c r="F95" i="6"/>
  <c r="E52" i="6"/>
  <c r="F52" i="6"/>
  <c r="E41" i="6"/>
  <c r="F41" i="6"/>
  <c r="E84" i="6"/>
  <c r="F84" i="6"/>
  <c r="C21" i="5"/>
  <c r="D21" i="5"/>
  <c r="E18" i="5"/>
  <c r="F18" i="5"/>
  <c r="E16" i="5"/>
  <c r="F16" i="5"/>
  <c r="F43" i="4"/>
  <c r="F41" i="4"/>
  <c r="F75" i="4"/>
  <c r="F65" i="4"/>
  <c r="F73" i="4"/>
  <c r="E22" i="4"/>
  <c r="F22" i="4"/>
  <c r="E38" i="4"/>
  <c r="F38" i="4"/>
  <c r="E56" i="4"/>
  <c r="F56" i="4"/>
  <c r="E61" i="4"/>
  <c r="F61" i="4"/>
  <c r="E53" i="22"/>
  <c r="E45" i="22"/>
  <c r="E39" i="22"/>
  <c r="E35" i="22"/>
  <c r="E29" i="22"/>
  <c r="E110" i="22"/>
  <c r="E113" i="22"/>
  <c r="E56" i="22"/>
  <c r="E48" i="22"/>
  <c r="E38" i="22"/>
  <c r="D54" i="22"/>
  <c r="D46" i="22"/>
  <c r="D40" i="22"/>
  <c r="D36" i="22"/>
  <c r="D30" i="22"/>
  <c r="D111" i="22"/>
  <c r="C53" i="22"/>
  <c r="C45" i="22"/>
  <c r="C39" i="22"/>
  <c r="C35" i="22"/>
  <c r="C29" i="22"/>
  <c r="C110" i="22"/>
  <c r="D112" i="22"/>
  <c r="D55" i="22"/>
  <c r="D47" i="22"/>
  <c r="D37" i="22"/>
  <c r="F39" i="20"/>
  <c r="F43" i="20"/>
  <c r="E46" i="20"/>
  <c r="F46" i="20"/>
  <c r="F41" i="20"/>
  <c r="E76" i="18"/>
  <c r="C259" i="18"/>
  <c r="C263" i="18"/>
  <c r="C77" i="18"/>
  <c r="D247" i="18"/>
  <c r="D288" i="17"/>
  <c r="E288" i="17"/>
  <c r="C223" i="18"/>
  <c r="C247" i="18"/>
  <c r="C234" i="18"/>
  <c r="C211" i="18"/>
  <c r="C235" i="18"/>
  <c r="E217" i="18"/>
  <c r="E210" i="18"/>
  <c r="E234" i="18"/>
  <c r="D129" i="18"/>
  <c r="D128" i="18"/>
  <c r="E71" i="18"/>
  <c r="E66" i="18"/>
  <c r="D284" i="18"/>
  <c r="E284" i="18"/>
  <c r="E22" i="18"/>
  <c r="D263" i="18"/>
  <c r="E263" i="18"/>
  <c r="E259" i="18"/>
  <c r="E83" i="18"/>
  <c r="E96" i="18"/>
  <c r="D102" i="18"/>
  <c r="E86" i="18"/>
  <c r="D103" i="18"/>
  <c r="E95" i="18"/>
  <c r="E99" i="18"/>
  <c r="E258" i="18"/>
  <c r="D264" i="18"/>
  <c r="C90" i="18"/>
  <c r="C102" i="18"/>
  <c r="E222" i="18"/>
  <c r="D246" i="18"/>
  <c r="E246" i="18"/>
  <c r="E306" i="18"/>
  <c r="D310" i="18"/>
  <c r="E310" i="18"/>
  <c r="D254" i="18"/>
  <c r="E254" i="18"/>
  <c r="E252" i="18"/>
  <c r="D235" i="18"/>
  <c r="E235" i="18"/>
  <c r="E211" i="18"/>
  <c r="E260" i="18"/>
  <c r="D181" i="18"/>
  <c r="D169" i="18"/>
  <c r="C180" i="18"/>
  <c r="E180" i="18"/>
  <c r="C145" i="18"/>
  <c r="E145" i="18"/>
  <c r="C168" i="18"/>
  <c r="E168" i="18"/>
  <c r="D116" i="18"/>
  <c r="E295" i="18"/>
  <c r="D90" i="18"/>
  <c r="E90" i="18"/>
  <c r="E84" i="18"/>
  <c r="C91" i="18"/>
  <c r="C103" i="18"/>
  <c r="C264" i="18"/>
  <c r="C266" i="18"/>
  <c r="C267" i="18"/>
  <c r="C281" i="17"/>
  <c r="D271" i="17"/>
  <c r="D268" i="17"/>
  <c r="D263" i="17"/>
  <c r="E261" i="17"/>
  <c r="D272" i="17"/>
  <c r="E262" i="17"/>
  <c r="D254" i="17"/>
  <c r="D216" i="17"/>
  <c r="E214" i="17"/>
  <c r="E283" i="17"/>
  <c r="D286" i="17"/>
  <c r="D284" i="17"/>
  <c r="E284" i="17"/>
  <c r="C272" i="17"/>
  <c r="F262" i="17"/>
  <c r="F214" i="17"/>
  <c r="C216" i="17"/>
  <c r="F205" i="17"/>
  <c r="F285" i="17"/>
  <c r="C286" i="17"/>
  <c r="F283" i="17"/>
  <c r="F199" i="17"/>
  <c r="F290" i="17"/>
  <c r="F190" i="17"/>
  <c r="F279" i="17"/>
  <c r="C287" i="17"/>
  <c r="E172" i="17"/>
  <c r="D173" i="17"/>
  <c r="E173" i="17"/>
  <c r="F124" i="17"/>
  <c r="C208" i="17"/>
  <c r="E192" i="17"/>
  <c r="F192" i="17"/>
  <c r="C304" i="17"/>
  <c r="C161" i="17"/>
  <c r="C126" i="17"/>
  <c r="C91" i="17"/>
  <c r="C49" i="17"/>
  <c r="F103" i="17"/>
  <c r="D174" i="17"/>
  <c r="D104" i="17"/>
  <c r="E61" i="17"/>
  <c r="F61" i="17"/>
  <c r="D160" i="17"/>
  <c r="E160" i="17"/>
  <c r="F160" i="17"/>
  <c r="E37" i="17"/>
  <c r="F37" i="17"/>
  <c r="D62" i="17"/>
  <c r="D105" i="17"/>
  <c r="E32" i="17"/>
  <c r="F32" i="17"/>
  <c r="F90" i="17"/>
  <c r="C210" i="17"/>
  <c r="C175" i="17"/>
  <c r="C140" i="17"/>
  <c r="C105" i="17"/>
  <c r="C62" i="17"/>
  <c r="D300" i="17"/>
  <c r="D265" i="17"/>
  <c r="E264" i="17"/>
  <c r="F264" i="17"/>
  <c r="D255" i="17"/>
  <c r="E255" i="17"/>
  <c r="F255" i="17"/>
  <c r="E215" i="17"/>
  <c r="F215" i="17"/>
  <c r="E267" i="17"/>
  <c r="F267" i="17"/>
  <c r="D270" i="17"/>
  <c r="D194" i="17"/>
  <c r="D196" i="17"/>
  <c r="E193" i="17"/>
  <c r="F193" i="17"/>
  <c r="E287" i="17"/>
  <c r="D291" i="17"/>
  <c r="D289" i="17"/>
  <c r="C300" i="17"/>
  <c r="C271" i="17"/>
  <c r="C268" i="17"/>
  <c r="F261" i="17"/>
  <c r="C263" i="17"/>
  <c r="F206" i="17"/>
  <c r="F269" i="17"/>
  <c r="C270" i="17"/>
  <c r="F200" i="17"/>
  <c r="F274" i="17"/>
  <c r="F288" i="17"/>
  <c r="F284" i="17"/>
  <c r="D207" i="17"/>
  <c r="E137" i="17"/>
  <c r="F137" i="17"/>
  <c r="D138" i="17"/>
  <c r="E138" i="17"/>
  <c r="F138" i="17"/>
  <c r="C194" i="17"/>
  <c r="D161" i="17"/>
  <c r="D49" i="17"/>
  <c r="D126" i="17"/>
  <c r="D91" i="17"/>
  <c r="E21" i="17"/>
  <c r="F21" i="17"/>
  <c r="D282" i="17"/>
  <c r="C266" i="17"/>
  <c r="D125" i="17"/>
  <c r="C209" i="17"/>
  <c r="C174" i="17"/>
  <c r="C139" i="17"/>
  <c r="C104" i="17"/>
  <c r="C125" i="17"/>
  <c r="G36" i="14"/>
  <c r="G38" i="14"/>
  <c r="G40" i="14"/>
  <c r="I33" i="14"/>
  <c r="I36" i="14"/>
  <c r="I38" i="14"/>
  <c r="I40" i="14"/>
  <c r="H33" i="14"/>
  <c r="H36" i="14"/>
  <c r="H38" i="14"/>
  <c r="H40" i="14"/>
  <c r="C24" i="13"/>
  <c r="C20" i="13"/>
  <c r="C17" i="13"/>
  <c r="C28" i="13"/>
  <c r="E24" i="13"/>
  <c r="E20" i="13"/>
  <c r="E17" i="13"/>
  <c r="E28" i="13"/>
  <c r="D24" i="13"/>
  <c r="D20" i="13"/>
  <c r="D17" i="13"/>
  <c r="D28" i="13"/>
  <c r="D34" i="12"/>
  <c r="E20" i="12"/>
  <c r="F20" i="12"/>
  <c r="C34" i="12"/>
  <c r="E121" i="10"/>
  <c r="E208" i="9"/>
  <c r="F208" i="9"/>
  <c r="E28" i="8"/>
  <c r="E112" i="8"/>
  <c r="E111" i="8"/>
  <c r="C141" i="8"/>
  <c r="C28" i="8"/>
  <c r="C112" i="8"/>
  <c r="C111" i="8"/>
  <c r="D24" i="8"/>
  <c r="D20" i="8"/>
  <c r="D17" i="8"/>
  <c r="C158" i="8"/>
  <c r="E158" i="8"/>
  <c r="D21" i="8"/>
  <c r="F188" i="7"/>
  <c r="E188" i="7"/>
  <c r="D35" i="5"/>
  <c r="E21" i="5"/>
  <c r="F21" i="5"/>
  <c r="C35" i="5"/>
  <c r="D175" i="17"/>
  <c r="C55" i="22"/>
  <c r="C47" i="22"/>
  <c r="C37" i="22"/>
  <c r="C112" i="22"/>
  <c r="D56" i="22"/>
  <c r="D48" i="22"/>
  <c r="D38" i="22"/>
  <c r="D113" i="22"/>
  <c r="E55" i="22"/>
  <c r="E47" i="22"/>
  <c r="E37" i="22"/>
  <c r="E112" i="22"/>
  <c r="D139" i="17"/>
  <c r="E139" i="17"/>
  <c r="F139" i="17"/>
  <c r="C105" i="18"/>
  <c r="E103" i="18"/>
  <c r="E102" i="18"/>
  <c r="D91" i="18"/>
  <c r="E247" i="18"/>
  <c r="C269" i="18"/>
  <c r="C268" i="18"/>
  <c r="C169" i="18"/>
  <c r="C181" i="18"/>
  <c r="E169" i="18"/>
  <c r="E181" i="18"/>
  <c r="E264" i="18"/>
  <c r="D266" i="18"/>
  <c r="D117" i="18"/>
  <c r="E223" i="18"/>
  <c r="C127" i="18"/>
  <c r="E127" i="18"/>
  <c r="C125" i="18"/>
  <c r="E125" i="18"/>
  <c r="C123" i="18"/>
  <c r="E123" i="18"/>
  <c r="C121" i="18"/>
  <c r="C114" i="18"/>
  <c r="E114" i="18"/>
  <c r="C112" i="18"/>
  <c r="E112" i="18"/>
  <c r="C110" i="18"/>
  <c r="C126" i="18"/>
  <c r="E126" i="18"/>
  <c r="C124" i="18"/>
  <c r="E124" i="18"/>
  <c r="C122" i="18"/>
  <c r="C115" i="18"/>
  <c r="E115" i="18"/>
  <c r="C113" i="18"/>
  <c r="E113" i="18"/>
  <c r="C111" i="18"/>
  <c r="E111" i="18"/>
  <c r="C109" i="18"/>
  <c r="E77" i="18"/>
  <c r="E282" i="17"/>
  <c r="F282" i="17"/>
  <c r="D281" i="17"/>
  <c r="E281" i="17"/>
  <c r="F281" i="17"/>
  <c r="E91" i="17"/>
  <c r="D92" i="17"/>
  <c r="D50" i="17"/>
  <c r="E49" i="17"/>
  <c r="F49" i="17"/>
  <c r="D197" i="17"/>
  <c r="C273" i="17"/>
  <c r="E194" i="17"/>
  <c r="F194" i="17"/>
  <c r="D195" i="17"/>
  <c r="C63" i="17"/>
  <c r="C106" i="17"/>
  <c r="D176" i="17"/>
  <c r="E176" i="17"/>
  <c r="E175" i="17"/>
  <c r="F175" i="17"/>
  <c r="E125" i="17"/>
  <c r="F125" i="17"/>
  <c r="E126" i="17"/>
  <c r="F126" i="17"/>
  <c r="D127" i="17"/>
  <c r="E161" i="17"/>
  <c r="D162" i="17"/>
  <c r="C195" i="17"/>
  <c r="D208" i="17"/>
  <c r="E207" i="17"/>
  <c r="F207" i="17"/>
  <c r="C265" i="17"/>
  <c r="D305" i="17"/>
  <c r="E270" i="17"/>
  <c r="F270" i="17"/>
  <c r="E300" i="17"/>
  <c r="F300" i="17"/>
  <c r="C141" i="17"/>
  <c r="E105" i="17"/>
  <c r="F105" i="17"/>
  <c r="D106" i="17"/>
  <c r="E106" i="17"/>
  <c r="D140" i="17"/>
  <c r="E104" i="17"/>
  <c r="F104" i="17"/>
  <c r="E174" i="17"/>
  <c r="F174" i="17"/>
  <c r="C127" i="17"/>
  <c r="C196" i="17"/>
  <c r="C291" i="17"/>
  <c r="C289" i="17"/>
  <c r="F287" i="17"/>
  <c r="E286" i="17"/>
  <c r="F286" i="17"/>
  <c r="E254" i="17"/>
  <c r="F254" i="17"/>
  <c r="E272" i="17"/>
  <c r="F272" i="17"/>
  <c r="E263" i="17"/>
  <c r="F263" i="17"/>
  <c r="E271" i="17"/>
  <c r="F271" i="17"/>
  <c r="D304" i="17"/>
  <c r="D273" i="17"/>
  <c r="E273" i="17"/>
  <c r="C176" i="17"/>
  <c r="F176" i="17"/>
  <c r="D63" i="17"/>
  <c r="E63" i="17"/>
  <c r="E62" i="17"/>
  <c r="F62" i="17"/>
  <c r="C50" i="17"/>
  <c r="C92" i="17"/>
  <c r="F91" i="17"/>
  <c r="C162" i="17"/>
  <c r="F161" i="17"/>
  <c r="E216" i="17"/>
  <c r="F216" i="17"/>
  <c r="E268" i="17"/>
  <c r="F268" i="17"/>
  <c r="E266" i="17"/>
  <c r="F266" i="17"/>
  <c r="D70" i="13"/>
  <c r="D72" i="13"/>
  <c r="D69" i="13"/>
  <c r="D22" i="13"/>
  <c r="E70" i="13"/>
  <c r="E72" i="13"/>
  <c r="E69" i="13"/>
  <c r="E22" i="13"/>
  <c r="C70" i="13"/>
  <c r="C72" i="13"/>
  <c r="C69" i="13"/>
  <c r="C22" i="13"/>
  <c r="D42" i="12"/>
  <c r="E34" i="12"/>
  <c r="F34" i="12"/>
  <c r="C42" i="12"/>
  <c r="C99" i="8"/>
  <c r="C101" i="8"/>
  <c r="C98" i="8"/>
  <c r="C22" i="8"/>
  <c r="D112" i="8"/>
  <c r="D111" i="8"/>
  <c r="D28" i="8"/>
  <c r="E99" i="8"/>
  <c r="E101" i="8"/>
  <c r="E98" i="8"/>
  <c r="E22" i="8"/>
  <c r="D43" i="5"/>
  <c r="E35" i="5"/>
  <c r="F35" i="5"/>
  <c r="C43" i="5"/>
  <c r="C116" i="18"/>
  <c r="E116" i="18"/>
  <c r="E110" i="18"/>
  <c r="E266" i="18"/>
  <c r="D267" i="18"/>
  <c r="C271" i="18"/>
  <c r="E91" i="18"/>
  <c r="D105" i="18"/>
  <c r="E105" i="18"/>
  <c r="E109" i="18"/>
  <c r="C128" i="18"/>
  <c r="E128" i="18"/>
  <c r="E122" i="18"/>
  <c r="C129" i="18"/>
  <c r="E129" i="18"/>
  <c r="E121" i="18"/>
  <c r="D131" i="18"/>
  <c r="C323" i="17"/>
  <c r="F323" i="17"/>
  <c r="C183" i="17"/>
  <c r="F183" i="17"/>
  <c r="F162" i="17"/>
  <c r="C305" i="17"/>
  <c r="C197" i="17"/>
  <c r="C148" i="17"/>
  <c r="C70" i="17"/>
  <c r="E265" i="17"/>
  <c r="F265" i="17"/>
  <c r="E304" i="17"/>
  <c r="F304" i="17"/>
  <c r="E140" i="17"/>
  <c r="F140" i="17"/>
  <c r="D141" i="17"/>
  <c r="D148" i="17"/>
  <c r="E148" i="17"/>
  <c r="D309" i="17"/>
  <c r="D310" i="17"/>
  <c r="E305" i="17"/>
  <c r="E208" i="17"/>
  <c r="F208" i="17"/>
  <c r="D209" i="17"/>
  <c r="E209" i="17"/>
  <c r="F209" i="17"/>
  <c r="D210" i="17"/>
  <c r="F63" i="17"/>
  <c r="E195" i="17"/>
  <c r="F195" i="17"/>
  <c r="E289" i="17"/>
  <c r="F289" i="17"/>
  <c r="F273" i="17"/>
  <c r="E197" i="17"/>
  <c r="D70" i="17"/>
  <c r="E70" i="17"/>
  <c r="E50" i="17"/>
  <c r="F50" i="17"/>
  <c r="C324" i="17"/>
  <c r="C113" i="17"/>
  <c r="C322" i="17"/>
  <c r="C211" i="17"/>
  <c r="E291" i="17"/>
  <c r="F291" i="17"/>
  <c r="D323" i="17"/>
  <c r="E323" i="17"/>
  <c r="D183" i="17"/>
  <c r="E183" i="17"/>
  <c r="E162" i="17"/>
  <c r="E127" i="17"/>
  <c r="F127" i="17"/>
  <c r="F106" i="17"/>
  <c r="E196" i="17"/>
  <c r="F196" i="17"/>
  <c r="D324" i="17"/>
  <c r="E92" i="17"/>
  <c r="F92" i="17"/>
  <c r="D113" i="17"/>
  <c r="E113" i="17"/>
  <c r="D49" i="12"/>
  <c r="E49" i="12"/>
  <c r="E42" i="12"/>
  <c r="F42" i="12"/>
  <c r="C49" i="12"/>
  <c r="D99" i="8"/>
  <c r="D101" i="8"/>
  <c r="D98" i="8"/>
  <c r="D22" i="8"/>
  <c r="D50" i="5"/>
  <c r="E50" i="5"/>
  <c r="E43" i="5"/>
  <c r="F43" i="5"/>
  <c r="C50" i="5"/>
  <c r="C117" i="18"/>
  <c r="D269" i="18"/>
  <c r="E269" i="18"/>
  <c r="E267" i="18"/>
  <c r="D268" i="18"/>
  <c r="D312" i="17"/>
  <c r="C325" i="17"/>
  <c r="F113" i="17"/>
  <c r="D322" i="17"/>
  <c r="E322" i="17"/>
  <c r="F322" i="17"/>
  <c r="E141" i="17"/>
  <c r="F141" i="17"/>
  <c r="F197" i="17"/>
  <c r="C309" i="17"/>
  <c r="F305" i="17"/>
  <c r="E324" i="17"/>
  <c r="F324" i="17"/>
  <c r="D211" i="17"/>
  <c r="E211" i="17"/>
  <c r="F211" i="17"/>
  <c r="E210" i="17"/>
  <c r="F210" i="17"/>
  <c r="E309" i="17"/>
  <c r="F70" i="17"/>
  <c r="F148" i="17"/>
  <c r="F49" i="12"/>
  <c r="F50" i="5"/>
  <c r="D271" i="18"/>
  <c r="E271" i="18"/>
  <c r="E268" i="18"/>
  <c r="C131" i="18"/>
  <c r="E131" i="18"/>
  <c r="E117" i="18"/>
  <c r="D325" i="17"/>
  <c r="E325" i="17"/>
  <c r="F325" i="17"/>
  <c r="F309" i="17"/>
  <c r="C310" i="17"/>
  <c r="D313" i="17"/>
  <c r="D315" i="17"/>
  <c r="D314" i="17"/>
  <c r="D251" i="17"/>
  <c r="D256" i="17"/>
  <c r="C312" i="17"/>
  <c r="E310" i="17"/>
  <c r="F310" i="17"/>
  <c r="C313" i="17"/>
  <c r="E312" i="17"/>
  <c r="F312" i="17"/>
  <c r="D257" i="17"/>
  <c r="D318" i="17"/>
  <c r="F313" i="17"/>
  <c r="C314" i="17"/>
  <c r="C251" i="17"/>
  <c r="C315" i="17"/>
  <c r="C256" i="17"/>
  <c r="E313" i="17"/>
  <c r="C257" i="17"/>
  <c r="E256" i="17"/>
  <c r="F256" i="17"/>
  <c r="E251" i="17"/>
  <c r="F251" i="17"/>
  <c r="E315" i="17"/>
  <c r="F315" i="17"/>
  <c r="C318" i="17"/>
  <c r="E314" i="17"/>
  <c r="F314" i="17"/>
  <c r="F318" i="17"/>
  <c r="E318" i="17"/>
  <c r="F257" i="17"/>
  <c r="E257" i="17"/>
</calcChain>
</file>

<file path=xl/sharedStrings.xml><?xml version="1.0" encoding="utf-8"?>
<sst xmlns="http://schemas.openxmlformats.org/spreadsheetml/2006/main" count="2333" uniqueCount="1008">
  <si>
    <t>BRISTOL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</si>
  <si>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</si>
  <si>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</si>
  <si>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</si>
  <si>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</si>
  <si>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</si>
  <si>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</si>
  <si>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</si>
  <si>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</si>
  <si>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</si>
  <si>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</si>
  <si>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</si>
  <si>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</si>
  <si>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</si>
  <si>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</si>
  <si>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</si>
  <si>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</si>
  <si>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</si>
  <si>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</si>
  <si>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</si>
  <si>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</si>
  <si>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</si>
  <si>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</si>
  <si>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</si>
  <si>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</si>
  <si>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</si>
  <si>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</si>
  <si>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</si>
  <si>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</si>
  <si>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</si>
  <si>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</si>
  <si>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</si>
  <si>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</si>
  <si>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</si>
  <si>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</si>
  <si>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</si>
  <si>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</si>
  <si>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</si>
  <si>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</si>
  <si>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</si>
  <si>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</si>
  <si>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</si>
  <si>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</si>
  <si>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</si>
  <si>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</si>
  <si>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</si>
  <si>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</si>
  <si>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</si>
  <si>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</si>
  <si>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</si>
  <si>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</si>
  <si>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</si>
  <si>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</si>
  <si>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</si>
  <si>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</si>
  <si>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</si>
  <si>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</si>
  <si>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</si>
  <si>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</si>
  <si>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</si>
  <si>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</si>
  <si>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</si>
  <si>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</si>
  <si>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</si>
  <si>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</si>
  <si>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</si>
  <si>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</si>
  <si>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</si>
  <si>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</si>
  <si>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</si>
  <si>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</si>
  <si>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</si>
  <si>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</si>
  <si>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</si>
  <si>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</si>
  <si>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</si>
  <si>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</si>
  <si>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</si>
  <si>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</si>
  <si>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</si>
  <si>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</si>
  <si>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</si>
  <si>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</si>
  <si>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</si>
  <si>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</si>
  <si>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</si>
  <si>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</si>
  <si>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</si>
  <si>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</si>
  <si>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</si>
  <si>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</si>
  <si>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</si>
  <si>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</si>
  <si>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</si>
  <si>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</si>
  <si>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</si>
  <si>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</si>
  <si>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</si>
  <si>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</si>
  <si>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</si>
  <si>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</si>
  <si>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</si>
  <si>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</si>
  <si>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</si>
  <si>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</si>
  <si>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</si>
  <si>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</si>
  <si>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</si>
  <si>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</si>
  <si>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</si>
  <si>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</si>
  <si>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</si>
  <si>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</si>
  <si>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</si>
  <si>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</si>
  <si>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</si>
  <si>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</si>
  <si>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</si>
  <si>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</si>
  <si>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</si>
  <si>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</si>
  <si>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</si>
  <si>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</si>
  <si>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</si>
  <si>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</si>
  <si>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</si>
  <si>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</si>
  <si>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</si>
  <si>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</si>
  <si>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</si>
  <si>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</si>
  <si>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</si>
  <si>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</si>
  <si>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</si>
  <si>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</si>
  <si>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</si>
  <si>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</si>
  <si>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</si>
  <si>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</si>
  <si>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</si>
  <si>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</si>
  <si>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</si>
  <si>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</si>
  <si>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</si>
  <si>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</si>
  <si>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</si>
  <si>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</si>
  <si>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</si>
  <si>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</si>
  <si>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</si>
  <si>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</si>
  <si>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</si>
  <si>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</si>
  <si>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</si>
  <si>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</si>
  <si>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</si>
  <si>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</si>
  <si>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</si>
  <si>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</si>
  <si>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</si>
  <si>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</si>
  <si>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</si>
  <si>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</si>
  <si>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</si>
  <si>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</si>
  <si>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</si>
  <si>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</si>
  <si>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</si>
  <si>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</si>
  <si>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</si>
  <si>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</si>
  <si>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</si>
  <si>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</si>
  <si>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</si>
  <si>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</si>
  <si>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</si>
  <si>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</si>
  <si>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</si>
  <si>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</si>
  <si>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</si>
  <si>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</si>
  <si>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</si>
  <si>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</si>
  <si>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</si>
  <si>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</si>
  <si>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</si>
  <si>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</si>
  <si>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</si>
  <si>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</si>
  <si>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</si>
  <si>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</si>
  <si>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</si>
  <si>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</si>
  <si>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</si>
  <si>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</si>
  <si>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</si>
  <si>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</si>
  <si>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</si>
  <si>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</si>
  <si>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</si>
  <si>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</si>
  <si>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</si>
  <si>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</si>
  <si>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</si>
  <si>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</si>
  <si>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</si>
  <si>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</si>
  <si>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</si>
  <si>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</si>
  <si>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</si>
  <si>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</si>
  <si>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</si>
  <si>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</si>
  <si>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</si>
  <si>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</si>
  <si>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</si>
  <si>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</si>
  <si>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</si>
  <si>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</si>
  <si>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</si>
  <si>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</si>
  <si>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</si>
  <si>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</si>
  <si>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</si>
  <si>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</si>
  <si>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</si>
  <si>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</si>
  <si>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</si>
  <si>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</si>
  <si>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</si>
  <si>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</si>
  <si>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</si>
  <si>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</si>
  <si>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</si>
  <si>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</si>
  <si>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</si>
  <si>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</si>
  <si>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</si>
  <si>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</si>
  <si>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</si>
  <si>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</si>
  <si>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</si>
  <si>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</si>
  <si>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</si>
  <si>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</si>
  <si>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</si>
  <si>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</si>
  <si>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</si>
  <si>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</si>
  <si>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</si>
  <si>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</si>
  <si>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</si>
  <si>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</si>
  <si>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</si>
  <si>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</si>
  <si>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</si>
  <si>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</si>
  <si>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</si>
  <si>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</si>
  <si>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</si>
  <si>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</si>
  <si>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</si>
  <si>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</si>
  <si>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</si>
  <si>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</si>
  <si>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</si>
  <si>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</si>
  <si>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</si>
  <si>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</si>
  <si>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</si>
  <si>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</si>
  <si>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</si>
  <si>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</si>
  <si>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</si>
  <si>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</si>
  <si>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</si>
  <si>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</si>
  <si>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</si>
  <si>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</si>
  <si>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</si>
  <si>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</si>
  <si>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</si>
  <si>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</si>
  <si>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</si>
  <si>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</si>
  <si>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</si>
  <si>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</si>
  <si>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</si>
  <si>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</si>
  <si>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</si>
  <si>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</si>
  <si>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</si>
  <si>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</si>
  <si>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</si>
  <si>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</si>
  <si>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</si>
  <si>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</si>
  <si>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</si>
  <si>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</si>
  <si>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</si>
  <si>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</si>
  <si>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</si>
  <si>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</si>
  <si>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</si>
  <si>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</si>
  <si>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</si>
  <si>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</si>
  <si>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</si>
  <si>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</si>
  <si>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</si>
  <si>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</si>
  <si>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</si>
  <si>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</si>
  <si>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</si>
  <si>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</si>
  <si>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</si>
  <si>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</si>
  <si>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</si>
  <si>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</si>
  <si>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</si>
  <si>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</si>
  <si>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</si>
  <si>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</si>
  <si>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</si>
  <si>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</si>
  <si>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</si>
  <si>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</si>
  <si>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</si>
  <si>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</si>
  <si>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</si>
  <si>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</si>
  <si>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</si>
  <si>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</si>
  <si>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</si>
  <si>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</si>
  <si>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</si>
  <si>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</si>
  <si>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</si>
  <si>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</si>
  <si>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</si>
  <si>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</si>
  <si>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</si>
  <si>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</si>
  <si>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</si>
  <si>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</si>
  <si>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</si>
  <si>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</si>
  <si>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</si>
  <si>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</si>
  <si>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</si>
  <si>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</si>
  <si>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</si>
  <si>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</si>
  <si>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</si>
  <si>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</si>
  <si>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</si>
  <si>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</si>
  <si>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</si>
  <si>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</si>
  <si>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</si>
  <si>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</si>
  <si>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</si>
  <si>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</si>
  <si>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</si>
  <si>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</si>
  <si>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</si>
  <si>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</si>
  <si>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</si>
  <si>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</si>
  <si>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</si>
  <si>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</si>
  <si>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</si>
  <si>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</si>
  <si>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</si>
  <si>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</si>
  <si>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</si>
  <si>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</si>
  <si>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</si>
  <si>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</si>
  <si>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</si>
  <si>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</si>
  <si>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</si>
  <si>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</si>
  <si>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</si>
  <si>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</si>
  <si>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</si>
  <si>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</si>
  <si>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</si>
  <si>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</si>
  <si>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</si>
  <si>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</si>
  <si>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</si>
  <si>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</si>
  <si>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</si>
  <si>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</si>
  <si>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</si>
  <si>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</si>
  <si>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</si>
  <si>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</si>
  <si>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</si>
  <si>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</si>
  <si>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</si>
  <si>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</si>
  <si>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</si>
  <si>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</si>
  <si>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</si>
  <si>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</si>
  <si>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</si>
  <si>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</si>
  <si>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</si>
  <si>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</si>
  <si>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</si>
  <si>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</si>
  <si>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</si>
  <si>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</si>
  <si>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</si>
  <si>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</si>
  <si>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</si>
  <si>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</si>
  <si>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</si>
  <si>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</si>
  <si>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</si>
  <si>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</si>
  <si>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</si>
  <si>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</si>
  <si>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</si>
  <si>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</si>
  <si>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</si>
  <si>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</si>
  <si>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</si>
  <si>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</si>
  <si>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</si>
  <si>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</si>
  <si>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</si>
  <si>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</si>
  <si>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</si>
  <si>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</si>
  <si>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</si>
  <si>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</si>
  <si>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</si>
  <si>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</si>
  <si>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</si>
  <si>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</si>
  <si>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</si>
  <si>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</si>
  <si>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</si>
  <si>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</si>
  <si>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</si>
  <si>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</si>
  <si>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</si>
  <si>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</si>
  <si>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</si>
  <si>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</si>
  <si>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</si>
  <si>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</si>
  <si>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</si>
  <si>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</si>
  <si>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</si>
  <si>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</si>
  <si>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</si>
  <si>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</si>
  <si>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</si>
  <si>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</si>
  <si>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</si>
  <si>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</si>
  <si>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</si>
  <si>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</si>
  <si>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</si>
  <si>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</si>
  <si>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</si>
  <si>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</si>
  <si>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</si>
  <si>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</si>
  <si>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</si>
  <si>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</si>
  <si>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</si>
  <si>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</si>
  <si>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</si>
  <si>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</si>
  <si>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</si>
  <si>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</si>
  <si>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</si>
  <si>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</si>
  <si>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</si>
  <si>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</si>
  <si>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</si>
  <si>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</si>
  <si>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</si>
  <si>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</si>
  <si>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</si>
  <si>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</si>
  <si>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</si>
  <si>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</si>
  <si>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</si>
  <si>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</si>
  <si>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</si>
  <si>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</si>
  <si>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</si>
  <si>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</si>
  <si>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</si>
  <si>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BRISTOL HOSPITAL &amp; HEALTH CARE GROUP,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</si>
  <si>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</si>
  <si>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</si>
  <si>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</si>
  <si>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</si>
  <si>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</si>
  <si>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</si>
  <si>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</si>
  <si>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</si>
  <si>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</si>
  <si>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</si>
  <si>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</si>
  <si>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</si>
  <si>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</si>
  <si>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</si>
  <si>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</si>
  <si>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</si>
  <si>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</si>
  <si>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</si>
  <si>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</si>
  <si>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</si>
  <si>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</si>
  <si>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</si>
  <si>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</si>
  <si>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</si>
  <si>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</si>
  <si>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</si>
  <si>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</si>
  <si>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</si>
  <si>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</si>
  <si>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</si>
  <si>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</si>
  <si>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</si>
  <si>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</si>
  <si>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</si>
  <si>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</si>
  <si>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</si>
  <si>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</si>
  <si>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</si>
  <si>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</si>
  <si>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</si>
  <si>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</si>
  <si>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</si>
  <si>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</si>
  <si>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</si>
  <si>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</si>
  <si>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</si>
  <si>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</si>
  <si>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</si>
  <si>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</si>
  <si>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</si>
  <si>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</si>
  <si>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</si>
  <si>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</si>
  <si>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</si>
  <si>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</si>
  <si>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</si>
  <si>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</si>
  <si>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</si>
  <si>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</si>
  <si>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</si>
  <si>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</si>
  <si>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</si>
  <si>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</si>
  <si>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</si>
  <si>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</si>
  <si>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</si>
  <si>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</si>
  <si>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</si>
  <si>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</si>
  <si>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</si>
  <si>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</si>
  <si>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</si>
  <si>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</si>
  <si>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</si>
  <si>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</si>
  <si>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</si>
  <si>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</si>
  <si>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</si>
  <si>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</si>
  <si>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</si>
  <si>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</si>
  <si>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</si>
  <si>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</si>
  <si>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</si>
  <si>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</si>
  <si>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</si>
  <si>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</si>
  <si>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</si>
  <si>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</si>
  <si>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</si>
  <si>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</si>
  <si>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</si>
  <si>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</si>
  <si>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</si>
  <si>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</si>
  <si>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</si>
  <si>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</si>
  <si>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</si>
  <si>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</si>
  <si>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</si>
  <si>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</si>
  <si>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</si>
  <si>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</si>
  <si>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</si>
  <si>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</si>
  <si>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</si>
  <si>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</si>
  <si>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</si>
  <si>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</si>
  <si>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</si>
  <si>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</si>
  <si>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</si>
  <si>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</si>
  <si>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</si>
  <si>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</si>
  <si>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</si>
  <si>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</si>
  <si>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</si>
  <si>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</si>
  <si>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</si>
  <si>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Bristol Hospital Campus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</si>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</sst>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12810191</v>
      </c>
      <c r="D13" s="22">
        <v>13617245</v>
      </c>
      <c r="E13" s="22">
        <f t="shared" ref="E13:E22" si="0">D13-C13</f>
        <v>807054</v>
      </c>
      <c r="F13" s="23">
        <f t="shared" ref="F13:F22" si="1">IF(C13=0,0,E13/C13)</f>
        <v>6.3000934178108661E-2</v>
      </c>
    </row>
    <row r="14" spans="1:8" ht="24" customHeight="1" x14ac:dyDescent="0.2">
      <c r="A14" s="20">
        <v>2</v>
      </c>
      <c r="B14" s="21" t="s">
        <v>17</v>
      </c>
      <c r="C14" s="22">
        <v>96526</v>
      </c>
      <c r="D14" s="22">
        <v>96550</v>
      </c>
      <c r="E14" s="22">
        <f t="shared" si="0"/>
        <v>24</v>
      </c>
      <c r="F14" s="23">
        <f t="shared" si="1"/>
        <v>2.4863767275138304E-4</v>
      </c>
    </row>
    <row r="15" spans="1:8" ht="24" customHeight="1" x14ac:dyDescent="0.2">
      <c r="A15" s="20">
        <v>3</v>
      </c>
      <c r="B15" s="21" t="s">
        <v>18</v>
      </c>
      <c r="C15" s="22">
        <v>16887452</v>
      </c>
      <c r="D15" s="22">
        <v>17715144</v>
      </c>
      <c r="E15" s="22">
        <f t="shared" si="0"/>
        <v>827692</v>
      </c>
      <c r="F15" s="23">
        <f t="shared" si="1"/>
        <v>4.9012248857909411E-2</v>
      </c>
    </row>
    <row r="16" spans="1:8" ht="24" customHeight="1" x14ac:dyDescent="0.2">
      <c r="A16" s="20">
        <v>4</v>
      </c>
      <c r="B16" s="21" t="s">
        <v>19</v>
      </c>
      <c r="C16" s="22">
        <v>444904</v>
      </c>
      <c r="D16" s="22">
        <v>394825</v>
      </c>
      <c r="E16" s="22">
        <f t="shared" si="0"/>
        <v>-50079</v>
      </c>
      <c r="F16" s="23">
        <f t="shared" si="1"/>
        <v>-0.11256136155215507</v>
      </c>
    </row>
    <row r="17" spans="1:11" ht="24" customHeight="1" x14ac:dyDescent="0.2">
      <c r="A17" s="20">
        <v>5</v>
      </c>
      <c r="B17" s="21" t="s">
        <v>20</v>
      </c>
      <c r="C17" s="22">
        <v>1022462</v>
      </c>
      <c r="D17" s="22">
        <v>0</v>
      </c>
      <c r="E17" s="22">
        <f t="shared" si="0"/>
        <v>-1022462</v>
      </c>
      <c r="F17" s="23">
        <f t="shared" si="1"/>
        <v>-1</v>
      </c>
    </row>
    <row r="18" spans="1:11" ht="24" customHeight="1" x14ac:dyDescent="0.2">
      <c r="A18" s="20">
        <v>6</v>
      </c>
      <c r="B18" s="21" t="s">
        <v>21</v>
      </c>
      <c r="C18" s="22">
        <v>2757898</v>
      </c>
      <c r="D18" s="22">
        <v>581194</v>
      </c>
      <c r="E18" s="22">
        <f t="shared" si="0"/>
        <v>-2176704</v>
      </c>
      <c r="F18" s="23">
        <f t="shared" si="1"/>
        <v>-0.78926196690377959</v>
      </c>
    </row>
    <row r="19" spans="1:11" ht="24" customHeight="1" x14ac:dyDescent="0.2">
      <c r="A19" s="20">
        <v>7</v>
      </c>
      <c r="B19" s="21" t="s">
        <v>22</v>
      </c>
      <c r="C19" s="22">
        <v>1445186</v>
      </c>
      <c r="D19" s="22">
        <v>1413639</v>
      </c>
      <c r="E19" s="22">
        <f t="shared" si="0"/>
        <v>-31547</v>
      </c>
      <c r="F19" s="23">
        <f t="shared" si="1"/>
        <v>-2.1829024084097134E-2</v>
      </c>
    </row>
    <row r="20" spans="1:11" ht="24" customHeight="1" x14ac:dyDescent="0.2">
      <c r="A20" s="20">
        <v>8</v>
      </c>
      <c r="B20" s="21" t="s">
        <v>23</v>
      </c>
      <c r="C20" s="22">
        <v>808566</v>
      </c>
      <c r="D20" s="22">
        <v>947594</v>
      </c>
      <c r="E20" s="22">
        <f t="shared" si="0"/>
        <v>139028</v>
      </c>
      <c r="F20" s="23">
        <f t="shared" si="1"/>
        <v>0.1719439105774915</v>
      </c>
    </row>
    <row r="21" spans="1:11" ht="24" customHeight="1" x14ac:dyDescent="0.2">
      <c r="A21" s="20">
        <v>9</v>
      </c>
      <c r="B21" s="21" t="s">
        <v>24</v>
      </c>
      <c r="C21" s="22">
        <v>2653347</v>
      </c>
      <c r="D21" s="22">
        <v>2785093</v>
      </c>
      <c r="E21" s="22">
        <f t="shared" si="0"/>
        <v>131746</v>
      </c>
      <c r="F21" s="23">
        <f t="shared" si="1"/>
        <v>4.9652759326239651E-2</v>
      </c>
    </row>
    <row r="22" spans="1:11" ht="24" customHeight="1" x14ac:dyDescent="0.25">
      <c r="A22" s="24"/>
      <c r="B22" s="25" t="s">
        <v>25</v>
      </c>
      <c r="C22" s="26">
        <f>SUM(C13:C21)</f>
        <v>38926532</v>
      </c>
      <c r="D22" s="26">
        <f>SUM(D13:D21)</f>
        <v>37551284</v>
      </c>
      <c r="E22" s="26">
        <f t="shared" si="0"/>
        <v>-1375248</v>
      </c>
      <c r="F22" s="27">
        <f t="shared" si="1"/>
        <v>-3.5329322427181543E-2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6966473</v>
      </c>
      <c r="D26" s="22">
        <v>6835761</v>
      </c>
      <c r="E26" s="22">
        <f>D26-C26</f>
        <v>-130712</v>
      </c>
      <c r="F26" s="23">
        <f>IF(C26=0,0,E26/C26)</f>
        <v>-1.8763009631990249E-2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13815840</v>
      </c>
      <c r="D28" s="22">
        <v>12530053</v>
      </c>
      <c r="E28" s="22">
        <f>D28-C28</f>
        <v>-1285787</v>
      </c>
      <c r="F28" s="23">
        <f>IF(C28=0,0,E28/C28)</f>
        <v>-9.3066147262851909E-2</v>
      </c>
    </row>
    <row r="29" spans="1:11" ht="24" customHeight="1" x14ac:dyDescent="0.25">
      <c r="A29" s="24"/>
      <c r="B29" s="25" t="s">
        <v>32</v>
      </c>
      <c r="C29" s="26">
        <f>SUM(C25:C28)</f>
        <v>20782313</v>
      </c>
      <c r="D29" s="26">
        <f>SUM(D25:D28)</f>
        <v>19365814</v>
      </c>
      <c r="E29" s="26">
        <f>D29-C29</f>
        <v>-1416499</v>
      </c>
      <c r="F29" s="27">
        <f>IF(C29=0,0,E29/C29)</f>
        <v>-6.8158871440344493E-2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6180143</v>
      </c>
      <c r="D31" s="22">
        <v>6665478</v>
      </c>
      <c r="E31" s="22">
        <f>D31-C31</f>
        <v>485335</v>
      </c>
      <c r="F31" s="23">
        <f>IF(C31=0,0,E31/C31)</f>
        <v>7.8531354371573603E-2</v>
      </c>
    </row>
    <row r="32" spans="1:11" ht="24" customHeight="1" x14ac:dyDescent="0.2">
      <c r="A32" s="20">
        <v>6</v>
      </c>
      <c r="B32" s="21" t="s">
        <v>34</v>
      </c>
      <c r="C32" s="22">
        <v>6800181</v>
      </c>
      <c r="D32" s="22">
        <v>6665386</v>
      </c>
      <c r="E32" s="22">
        <f>D32-C32</f>
        <v>-134795</v>
      </c>
      <c r="F32" s="23">
        <f>IF(C32=0,0,E32/C32)</f>
        <v>-1.9822266495553575E-2</v>
      </c>
    </row>
    <row r="33" spans="1:8" ht="24" customHeight="1" x14ac:dyDescent="0.2">
      <c r="A33" s="20">
        <v>7</v>
      </c>
      <c r="B33" s="21" t="s">
        <v>35</v>
      </c>
      <c r="C33" s="22">
        <v>2483304</v>
      </c>
      <c r="D33" s="22">
        <v>5018587</v>
      </c>
      <c r="E33" s="22">
        <f>D33-C33</f>
        <v>2535283</v>
      </c>
      <c r="F33" s="23">
        <f>IF(C33=0,0,E33/C33)</f>
        <v>1.0209313881828403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147266902</v>
      </c>
      <c r="D36" s="22">
        <v>155451420</v>
      </c>
      <c r="E36" s="22">
        <f>D36-C36</f>
        <v>8184518</v>
      </c>
      <c r="F36" s="23">
        <f>IF(C36=0,0,E36/C36)</f>
        <v>5.5576085928663047E-2</v>
      </c>
    </row>
    <row r="37" spans="1:8" ht="24" customHeight="1" x14ac:dyDescent="0.2">
      <c r="A37" s="20">
        <v>2</v>
      </c>
      <c r="B37" s="21" t="s">
        <v>39</v>
      </c>
      <c r="C37" s="22">
        <v>111762978</v>
      </c>
      <c r="D37" s="22">
        <v>118322799</v>
      </c>
      <c r="E37" s="22">
        <f>D37-C37</f>
        <v>6559821</v>
      </c>
      <c r="F37" s="23">
        <f>IF(C37=0,0,E37/C37)</f>
        <v>5.8694042673057618E-2</v>
      </c>
    </row>
    <row r="38" spans="1:8" ht="24" customHeight="1" x14ac:dyDescent="0.25">
      <c r="A38" s="24"/>
      <c r="B38" s="25" t="s">
        <v>40</v>
      </c>
      <c r="C38" s="26">
        <f>C36-C37</f>
        <v>35503924</v>
      </c>
      <c r="D38" s="26">
        <f>D36-D37</f>
        <v>37128621</v>
      </c>
      <c r="E38" s="26">
        <f>D38-C38</f>
        <v>1624697</v>
      </c>
      <c r="F38" s="27">
        <f>IF(C38=0,0,E38/C38)</f>
        <v>4.5761054468232865E-2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3256357</v>
      </c>
      <c r="D40" s="22">
        <v>1942559</v>
      </c>
      <c r="E40" s="22">
        <f>D40-C40</f>
        <v>-1313798</v>
      </c>
      <c r="F40" s="23">
        <f>IF(C40=0,0,E40/C40)</f>
        <v>-0.40345637778658788</v>
      </c>
    </row>
    <row r="41" spans="1:8" ht="24" customHeight="1" x14ac:dyDescent="0.25">
      <c r="A41" s="24"/>
      <c r="B41" s="25" t="s">
        <v>42</v>
      </c>
      <c r="C41" s="26">
        <f>+C38+C40</f>
        <v>38760281</v>
      </c>
      <c r="D41" s="26">
        <f>+D38+D40</f>
        <v>39071180</v>
      </c>
      <c r="E41" s="26">
        <f>D41-C41</f>
        <v>310899</v>
      </c>
      <c r="F41" s="27">
        <f>IF(C41=0,0,E41/C41)</f>
        <v>8.0210718802580412E-3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113932754</v>
      </c>
      <c r="D43" s="26">
        <f>D22+D29+D31+D32+D33+D41</f>
        <v>114337729</v>
      </c>
      <c r="E43" s="26">
        <f>D43-C43</f>
        <v>404975</v>
      </c>
      <c r="F43" s="27">
        <f>IF(C43=0,0,E43/C43)</f>
        <v>3.554509004495757E-3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12607684</v>
      </c>
      <c r="D49" s="22">
        <v>12409451</v>
      </c>
      <c r="E49" s="22">
        <f t="shared" ref="E49:E56" si="2">D49-C49</f>
        <v>-198233</v>
      </c>
      <c r="F49" s="23">
        <f t="shared" ref="F49:F56" si="3">IF(C49=0,0,E49/C49)</f>
        <v>-1.572318912815391E-2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10500617</v>
      </c>
      <c r="D50" s="22">
        <v>11289636</v>
      </c>
      <c r="E50" s="22">
        <f t="shared" si="2"/>
        <v>789019</v>
      </c>
      <c r="F50" s="23">
        <f t="shared" si="3"/>
        <v>7.514025128237703E-2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654266</v>
      </c>
      <c r="D53" s="22">
        <v>676115</v>
      </c>
      <c r="E53" s="22">
        <f t="shared" si="2"/>
        <v>21849</v>
      </c>
      <c r="F53" s="23">
        <f t="shared" si="3"/>
        <v>3.339467433734903E-2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8226</v>
      </c>
      <c r="D54" s="22">
        <v>8648</v>
      </c>
      <c r="E54" s="22">
        <f t="shared" si="2"/>
        <v>422</v>
      </c>
      <c r="F54" s="23">
        <f t="shared" si="3"/>
        <v>5.1300753707755893E-2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3125000</v>
      </c>
      <c r="D55" s="22">
        <v>2900000</v>
      </c>
      <c r="E55" s="22">
        <f t="shared" si="2"/>
        <v>-225000</v>
      </c>
      <c r="F55" s="23">
        <f t="shared" si="3"/>
        <v>-7.1999999999999995E-2</v>
      </c>
    </row>
    <row r="56" spans="1:6" ht="24" customHeight="1" x14ac:dyDescent="0.25">
      <c r="A56" s="24"/>
      <c r="B56" s="25" t="s">
        <v>54</v>
      </c>
      <c r="C56" s="26">
        <f>SUM(C49:C55)</f>
        <v>26895793</v>
      </c>
      <c r="D56" s="26">
        <f>SUM(D49:D55)</f>
        <v>27283850</v>
      </c>
      <c r="E56" s="26">
        <f t="shared" si="2"/>
        <v>388057</v>
      </c>
      <c r="F56" s="27">
        <f t="shared" si="3"/>
        <v>1.4428167260210546E-2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26016613</v>
      </c>
      <c r="D59" s="22">
        <v>25303397</v>
      </c>
      <c r="E59" s="22">
        <f>D59-C59</f>
        <v>-713216</v>
      </c>
      <c r="F59" s="23">
        <f>IF(C59=0,0,E59/C59)</f>
        <v>-2.7413868207979263E-2</v>
      </c>
    </row>
    <row r="60" spans="1:6" ht="24" customHeight="1" x14ac:dyDescent="0.2">
      <c r="A60" s="20">
        <v>2</v>
      </c>
      <c r="B60" s="21" t="s">
        <v>57</v>
      </c>
      <c r="C60" s="22">
        <v>281910</v>
      </c>
      <c r="D60" s="22">
        <v>273261</v>
      </c>
      <c r="E60" s="22">
        <f>D60-C60</f>
        <v>-8649</v>
      </c>
      <c r="F60" s="23">
        <f>IF(C60=0,0,E60/C60)</f>
        <v>-3.0680004256677662E-2</v>
      </c>
    </row>
    <row r="61" spans="1:6" ht="24" customHeight="1" x14ac:dyDescent="0.25">
      <c r="A61" s="24"/>
      <c r="B61" s="25" t="s">
        <v>58</v>
      </c>
      <c r="C61" s="26">
        <f>SUM(C59:C60)</f>
        <v>26298523</v>
      </c>
      <c r="D61" s="26">
        <f>SUM(D59:D60)</f>
        <v>25576658</v>
      </c>
      <c r="E61" s="26">
        <f>D61-C61</f>
        <v>-721865</v>
      </c>
      <c r="F61" s="27">
        <f>IF(C61=0,0,E61/C61)</f>
        <v>-2.7448879923788874E-2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18682813</v>
      </c>
      <c r="D63" s="22">
        <v>23468844</v>
      </c>
      <c r="E63" s="22">
        <f>D63-C63</f>
        <v>4786031</v>
      </c>
      <c r="F63" s="23">
        <f>IF(C63=0,0,E63/C63)</f>
        <v>0.25617293284474879</v>
      </c>
    </row>
    <row r="64" spans="1:6" ht="24" customHeight="1" x14ac:dyDescent="0.2">
      <c r="A64" s="20">
        <v>4</v>
      </c>
      <c r="B64" s="21" t="s">
        <v>60</v>
      </c>
      <c r="C64" s="22">
        <v>15583354</v>
      </c>
      <c r="D64" s="22">
        <v>9581422</v>
      </c>
      <c r="E64" s="22">
        <f>D64-C64</f>
        <v>-6001932</v>
      </c>
      <c r="F64" s="23">
        <f>IF(C64=0,0,E64/C64)</f>
        <v>-0.3851502057901014</v>
      </c>
    </row>
    <row r="65" spans="1:6" ht="24" customHeight="1" x14ac:dyDescent="0.25">
      <c r="A65" s="24"/>
      <c r="B65" s="25" t="s">
        <v>61</v>
      </c>
      <c r="C65" s="26">
        <f>SUM(C61:C64)</f>
        <v>60564690</v>
      </c>
      <c r="D65" s="26">
        <f>SUM(D61:D64)</f>
        <v>58626924</v>
      </c>
      <c r="E65" s="26">
        <f>D65-C65</f>
        <v>-1937766</v>
      </c>
      <c r="F65" s="27">
        <f>IF(C65=0,0,E65/C65)</f>
        <v>-3.1994979252762623E-2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15896282</v>
      </c>
      <c r="D70" s="22">
        <v>17633376</v>
      </c>
      <c r="E70" s="22">
        <f>D70-C70</f>
        <v>1737094</v>
      </c>
      <c r="F70" s="23">
        <f>IF(C70=0,0,E70/C70)</f>
        <v>0.10927674785839858</v>
      </c>
    </row>
    <row r="71" spans="1:6" ht="24" customHeight="1" x14ac:dyDescent="0.2">
      <c r="A71" s="20">
        <v>2</v>
      </c>
      <c r="B71" s="21" t="s">
        <v>65</v>
      </c>
      <c r="C71" s="22">
        <v>3555410</v>
      </c>
      <c r="D71" s="22">
        <v>3708091</v>
      </c>
      <c r="E71" s="22">
        <f>D71-C71</f>
        <v>152681</v>
      </c>
      <c r="F71" s="23">
        <f>IF(C71=0,0,E71/C71)</f>
        <v>4.29432892409033E-2</v>
      </c>
    </row>
    <row r="72" spans="1:6" ht="24" customHeight="1" x14ac:dyDescent="0.2">
      <c r="A72" s="20">
        <v>3</v>
      </c>
      <c r="B72" s="21" t="s">
        <v>66</v>
      </c>
      <c r="C72" s="22">
        <v>7020579</v>
      </c>
      <c r="D72" s="22">
        <v>7085488</v>
      </c>
      <c r="E72" s="22">
        <f>D72-C72</f>
        <v>64909</v>
      </c>
      <c r="F72" s="23">
        <f>IF(C72=0,0,E72/C72)</f>
        <v>9.2455337373171069E-3</v>
      </c>
    </row>
    <row r="73" spans="1:6" ht="24" customHeight="1" x14ac:dyDescent="0.25">
      <c r="A73" s="20"/>
      <c r="B73" s="25" t="s">
        <v>67</v>
      </c>
      <c r="C73" s="26">
        <f>SUM(C70:C72)</f>
        <v>26472271</v>
      </c>
      <c r="D73" s="26">
        <f>SUM(D70:D72)</f>
        <v>28426955</v>
      </c>
      <c r="E73" s="26">
        <f>D73-C73</f>
        <v>1954684</v>
      </c>
      <c r="F73" s="27">
        <f>IF(C73=0,0,E73/C73)</f>
        <v>7.3838923755351407E-2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113932754</v>
      </c>
      <c r="D75" s="26">
        <f>D56+D65+D67+D73</f>
        <v>114337729</v>
      </c>
      <c r="E75" s="26">
        <f>D75-C75</f>
        <v>404975</v>
      </c>
      <c r="F75" s="27">
        <f>IF(C75=0,0,E75/C75)</f>
        <v>3.554509004495757E-3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160223250</v>
      </c>
      <c r="D11" s="76">
        <v>155469099</v>
      </c>
      <c r="E11" s="76">
        <v>168232406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7071296</v>
      </c>
      <c r="D12" s="185">
        <v>6651756</v>
      </c>
      <c r="E12" s="185">
        <v>7836353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167294546</v>
      </c>
      <c r="D13" s="76">
        <f>+D11+D12</f>
        <v>162120855</v>
      </c>
      <c r="E13" s="76">
        <f>+E11+E12</f>
        <v>176068759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167392904</v>
      </c>
      <c r="D14" s="185">
        <v>161783218</v>
      </c>
      <c r="E14" s="185">
        <v>175386378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-98358</v>
      </c>
      <c r="D15" s="76">
        <f>+D13-D14</f>
        <v>337637</v>
      </c>
      <c r="E15" s="76">
        <f>+E13-E14</f>
        <v>682381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1298723</v>
      </c>
      <c r="D16" s="185">
        <v>857803</v>
      </c>
      <c r="E16" s="185">
        <v>1478569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1200365</v>
      </c>
      <c r="D17" s="76">
        <f>D15+D16</f>
        <v>1195440</v>
      </c>
      <c r="E17" s="76">
        <f>E15+E16</f>
        <v>2160950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-5.8340407409740653E-4</v>
      </c>
      <c r="D20" s="189">
        <f>IF(+D27=0,0,+D24/+D27)</f>
        <v>2.0716638862003636E-3</v>
      </c>
      <c r="E20" s="189">
        <f>IF(+E27=0,0,+E24/+E27)</f>
        <v>3.8433752154242501E-3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7.7032909303158476E-3</v>
      </c>
      <c r="D21" s="189">
        <f>IF(+D27=0,0,+D26/+D27)</f>
        <v>5.2632842270673259E-3</v>
      </c>
      <c r="E21" s="189">
        <f>IF(+E27=0,0,+E26/+E27)</f>
        <v>8.3277457152157192E-3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7.1198868562184414E-3</v>
      </c>
      <c r="D22" s="189">
        <f>IF(+D27=0,0,+D28/+D27)</f>
        <v>7.3349481132676895E-3</v>
      </c>
      <c r="E22" s="189">
        <f>IF(+E27=0,0,+E28/+E27)</f>
        <v>1.217112093063997E-2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-98358</v>
      </c>
      <c r="D24" s="76">
        <f>+D15</f>
        <v>337637</v>
      </c>
      <c r="E24" s="76">
        <f>+E15</f>
        <v>682381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167294546</v>
      </c>
      <c r="D25" s="76">
        <f>+D13</f>
        <v>162120855</v>
      </c>
      <c r="E25" s="76">
        <f>+E13</f>
        <v>176068759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1298723</v>
      </c>
      <c r="D26" s="76">
        <f>+D16</f>
        <v>857803</v>
      </c>
      <c r="E26" s="76">
        <f>+E16</f>
        <v>1478569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168593269</v>
      </c>
      <c r="D27" s="76">
        <f>SUM(D25:D26)</f>
        <v>162978658</v>
      </c>
      <c r="E27" s="76">
        <f>SUM(E25:E26)</f>
        <v>177547328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1200365</v>
      </c>
      <c r="D28" s="76">
        <f>+D17</f>
        <v>1195440</v>
      </c>
      <c r="E28" s="76">
        <f>+E17</f>
        <v>2160950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1127653</v>
      </c>
      <c r="D31" s="76">
        <v>18001943</v>
      </c>
      <c r="E31" s="76">
        <v>18611817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11405827</v>
      </c>
      <c r="D32" s="76">
        <v>28607725</v>
      </c>
      <c r="E32" s="76">
        <v>29431435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-89587</v>
      </c>
      <c r="D33" s="76">
        <f>+D32-C32</f>
        <v>17201898</v>
      </c>
      <c r="E33" s="76">
        <f>+E32-D32</f>
        <v>823710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0.99219999999999997</v>
      </c>
      <c r="D34" s="193">
        <f>IF(C32=0,0,+D33/C32)</f>
        <v>1.5081675357692168</v>
      </c>
      <c r="E34" s="193">
        <f>IF(D32=0,0,+E33/D32)</f>
        <v>2.8793271747403891E-2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1.4812989374392491</v>
      </c>
      <c r="D38" s="338">
        <f>IF(+D40=0,0,+D39/+D40)</f>
        <v>1.4797937603041773</v>
      </c>
      <c r="E38" s="338">
        <f>IF(+E40=0,0,+E39/+E40)</f>
        <v>1.4582781201553805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44529831</v>
      </c>
      <c r="D39" s="341">
        <v>45488801</v>
      </c>
      <c r="E39" s="341">
        <v>46812673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30061340</v>
      </c>
      <c r="D40" s="341">
        <v>30739960</v>
      </c>
      <c r="E40" s="341">
        <v>32101334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29.641726050842021</v>
      </c>
      <c r="D42" s="343">
        <f>IF((D48/365)=0,0,+D45/(D48/365))</f>
        <v>38.761949659413716</v>
      </c>
      <c r="E42" s="343">
        <f>IF((E48/365)=0,0,+E45/(E48/365))</f>
        <v>40.574296524282069</v>
      </c>
    </row>
    <row r="43" spans="1:14" ht="24" customHeight="1" x14ac:dyDescent="0.2">
      <c r="A43" s="339">
        <v>5</v>
      </c>
      <c r="B43" s="344" t="s">
        <v>16</v>
      </c>
      <c r="C43" s="345">
        <v>12928177</v>
      </c>
      <c r="D43" s="345">
        <v>16318029</v>
      </c>
      <c r="E43" s="345">
        <v>18575899</v>
      </c>
    </row>
    <row r="44" spans="1:14" ht="24" customHeight="1" x14ac:dyDescent="0.2">
      <c r="A44" s="339">
        <v>6</v>
      </c>
      <c r="B44" s="346" t="s">
        <v>17</v>
      </c>
      <c r="C44" s="345">
        <v>96452</v>
      </c>
      <c r="D44" s="345">
        <v>96526</v>
      </c>
      <c r="E44" s="345">
        <v>96550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13024629</v>
      </c>
      <c r="D45" s="341">
        <f>+D43+D44</f>
        <v>16414555</v>
      </c>
      <c r="E45" s="341">
        <f>+E43+E44</f>
        <v>18672449</v>
      </c>
    </row>
    <row r="46" spans="1:14" ht="24" customHeight="1" x14ac:dyDescent="0.2">
      <c r="A46" s="339">
        <v>8</v>
      </c>
      <c r="B46" s="340" t="s">
        <v>334</v>
      </c>
      <c r="C46" s="341">
        <f>+C14</f>
        <v>167392904</v>
      </c>
      <c r="D46" s="341">
        <f>+D14</f>
        <v>161783218</v>
      </c>
      <c r="E46" s="341">
        <f>+E14</f>
        <v>175386378</v>
      </c>
    </row>
    <row r="47" spans="1:14" ht="24" customHeight="1" x14ac:dyDescent="0.2">
      <c r="A47" s="339">
        <v>9</v>
      </c>
      <c r="B47" s="340" t="s">
        <v>356</v>
      </c>
      <c r="C47" s="341">
        <v>7011232</v>
      </c>
      <c r="D47" s="341">
        <v>7216365</v>
      </c>
      <c r="E47" s="341">
        <v>7411959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160381672</v>
      </c>
      <c r="D48" s="341">
        <f>+D46-D47</f>
        <v>154566853</v>
      </c>
      <c r="E48" s="341">
        <f>+E46-E47</f>
        <v>167974419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51.120534535406073</v>
      </c>
      <c r="D50" s="350">
        <f>IF((D55/365)=0,0,+D54/(D55/365))</f>
        <v>54.688635295943925</v>
      </c>
      <c r="E50" s="350">
        <f>IF((E55/365)=0,0,+E54/(E55/365))</f>
        <v>45.951499796061881</v>
      </c>
    </row>
    <row r="51" spans="1:5" ht="24" customHeight="1" x14ac:dyDescent="0.2">
      <c r="A51" s="339">
        <v>12</v>
      </c>
      <c r="B51" s="344" t="s">
        <v>359</v>
      </c>
      <c r="C51" s="351">
        <v>20476194</v>
      </c>
      <c r="D51" s="351">
        <v>20536329</v>
      </c>
      <c r="E51" s="351">
        <v>20598344</v>
      </c>
    </row>
    <row r="52" spans="1:5" ht="24" customHeight="1" x14ac:dyDescent="0.2">
      <c r="A52" s="339">
        <v>13</v>
      </c>
      <c r="B52" s="344" t="s">
        <v>21</v>
      </c>
      <c r="C52" s="341">
        <v>1964075</v>
      </c>
      <c r="D52" s="341">
        <v>2757898</v>
      </c>
      <c r="E52" s="341">
        <v>581194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22440269</v>
      </c>
      <c r="D54" s="352">
        <f>+D51+D52-D53</f>
        <v>23294227</v>
      </c>
      <c r="E54" s="352">
        <f>+E51+E52-E53</f>
        <v>21179538</v>
      </c>
    </row>
    <row r="55" spans="1:5" ht="24" customHeight="1" x14ac:dyDescent="0.2">
      <c r="A55" s="339">
        <v>16</v>
      </c>
      <c r="B55" s="340" t="s">
        <v>75</v>
      </c>
      <c r="C55" s="341">
        <f>+C11</f>
        <v>160223250</v>
      </c>
      <c r="D55" s="341">
        <f>+D11</f>
        <v>155469099</v>
      </c>
      <c r="E55" s="341">
        <f>+E11</f>
        <v>168232406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68.414233142550103</v>
      </c>
      <c r="D57" s="355">
        <f>IF((D61/365)=0,0,+D58/(D61/365))</f>
        <v>72.59050166467452</v>
      </c>
      <c r="E57" s="355">
        <f>IF((E61/365)=0,0,+E58/(E61/365))</f>
        <v>69.754591084491267</v>
      </c>
    </row>
    <row r="58" spans="1:5" ht="24" customHeight="1" x14ac:dyDescent="0.2">
      <c r="A58" s="339">
        <v>18</v>
      </c>
      <c r="B58" s="340" t="s">
        <v>54</v>
      </c>
      <c r="C58" s="353">
        <f>+C40</f>
        <v>30061340</v>
      </c>
      <c r="D58" s="353">
        <f>+D40</f>
        <v>30739960</v>
      </c>
      <c r="E58" s="353">
        <f>+E40</f>
        <v>32101334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167392904</v>
      </c>
      <c r="D59" s="353">
        <f t="shared" si="0"/>
        <v>161783218</v>
      </c>
      <c r="E59" s="353">
        <f t="shared" si="0"/>
        <v>175386378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7011232</v>
      </c>
      <c r="D60" s="356">
        <f t="shared" si="0"/>
        <v>7216365</v>
      </c>
      <c r="E60" s="356">
        <f t="shared" si="0"/>
        <v>7411959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160381672</v>
      </c>
      <c r="D61" s="353">
        <f>+D59-D60</f>
        <v>154566853</v>
      </c>
      <c r="E61" s="353">
        <f>+E59-E60</f>
        <v>167974419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9.3010632591085649</v>
      </c>
      <c r="D65" s="357">
        <f>IF(D67=0,0,(D66/D67)*100)</f>
        <v>22.7706142144092</v>
      </c>
      <c r="E65" s="357">
        <f>IF(E67=0,0,(E66/E67)*100)</f>
        <v>23.515457007734721</v>
      </c>
    </row>
    <row r="66" spans="1:5" ht="24" customHeight="1" x14ac:dyDescent="0.2">
      <c r="A66" s="339">
        <v>2</v>
      </c>
      <c r="B66" s="340" t="s">
        <v>67</v>
      </c>
      <c r="C66" s="353">
        <f>+C32</f>
        <v>11405827</v>
      </c>
      <c r="D66" s="353">
        <f>+D32</f>
        <v>28607725</v>
      </c>
      <c r="E66" s="353">
        <f>+E32</f>
        <v>29431435</v>
      </c>
    </row>
    <row r="67" spans="1:5" ht="24" customHeight="1" x14ac:dyDescent="0.2">
      <c r="A67" s="339">
        <v>3</v>
      </c>
      <c r="B67" s="340" t="s">
        <v>43</v>
      </c>
      <c r="C67" s="353">
        <v>122629281</v>
      </c>
      <c r="D67" s="353">
        <v>125634402</v>
      </c>
      <c r="E67" s="353">
        <v>125157827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13.59439528485091</v>
      </c>
      <c r="D69" s="357">
        <f>IF(D75=0,0,(D72/D75)*100)</f>
        <v>13.826481718886516</v>
      </c>
      <c r="E69" s="357">
        <f>IF(E75=0,0,(E72/E75)*100)</f>
        <v>15.712173808855558</v>
      </c>
    </row>
    <row r="70" spans="1:5" ht="24" customHeight="1" x14ac:dyDescent="0.2">
      <c r="A70" s="339">
        <v>5</v>
      </c>
      <c r="B70" s="340" t="s">
        <v>366</v>
      </c>
      <c r="C70" s="353">
        <f>+C28</f>
        <v>1200365</v>
      </c>
      <c r="D70" s="353">
        <f>+D28</f>
        <v>1195440</v>
      </c>
      <c r="E70" s="353">
        <f>+E28</f>
        <v>2160950</v>
      </c>
    </row>
    <row r="71" spans="1:5" ht="24" customHeight="1" x14ac:dyDescent="0.2">
      <c r="A71" s="339">
        <v>6</v>
      </c>
      <c r="B71" s="340" t="s">
        <v>356</v>
      </c>
      <c r="C71" s="356">
        <f>+C47</f>
        <v>7011232</v>
      </c>
      <c r="D71" s="356">
        <f>+D47</f>
        <v>7216365</v>
      </c>
      <c r="E71" s="356">
        <f>+E47</f>
        <v>7411959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8211597</v>
      </c>
      <c r="D72" s="353">
        <f>+D70+D71</f>
        <v>8411805</v>
      </c>
      <c r="E72" s="353">
        <f>+E70+E71</f>
        <v>9572909</v>
      </c>
    </row>
    <row r="73" spans="1:5" ht="24" customHeight="1" x14ac:dyDescent="0.2">
      <c r="A73" s="339">
        <v>8</v>
      </c>
      <c r="B73" s="340" t="s">
        <v>54</v>
      </c>
      <c r="C73" s="341">
        <f>+C40</f>
        <v>30061340</v>
      </c>
      <c r="D73" s="341">
        <f>+D40</f>
        <v>30739960</v>
      </c>
      <c r="E73" s="341">
        <f>+E40</f>
        <v>32101334</v>
      </c>
    </row>
    <row r="74" spans="1:5" ht="24" customHeight="1" x14ac:dyDescent="0.2">
      <c r="A74" s="339">
        <v>9</v>
      </c>
      <c r="B74" s="340" t="s">
        <v>58</v>
      </c>
      <c r="C74" s="353">
        <v>30342943</v>
      </c>
      <c r="D74" s="353">
        <v>30098402</v>
      </c>
      <c r="E74" s="353">
        <v>28825366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60404283</v>
      </c>
      <c r="D75" s="341">
        <f>+D73+D74</f>
        <v>60838362</v>
      </c>
      <c r="E75" s="341">
        <f>+E73+E74</f>
        <v>60926700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72.679849011120567</v>
      </c>
      <c r="D77" s="359">
        <f>IF(D80=0,0,(D78/D80)*100)</f>
        <v>51.269609388471494</v>
      </c>
      <c r="E77" s="359">
        <f>IF(E80=0,0,(E78/E80)*100)</f>
        <v>49.479829831370246</v>
      </c>
    </row>
    <row r="78" spans="1:5" ht="24" customHeight="1" x14ac:dyDescent="0.2">
      <c r="A78" s="339">
        <v>12</v>
      </c>
      <c r="B78" s="340" t="s">
        <v>58</v>
      </c>
      <c r="C78" s="341">
        <f>+C74</f>
        <v>30342943</v>
      </c>
      <c r="D78" s="341">
        <f>+D74</f>
        <v>30098402</v>
      </c>
      <c r="E78" s="341">
        <f>+E74</f>
        <v>28825366</v>
      </c>
    </row>
    <row r="79" spans="1:5" ht="24" customHeight="1" x14ac:dyDescent="0.2">
      <c r="A79" s="339">
        <v>13</v>
      </c>
      <c r="B79" s="340" t="s">
        <v>67</v>
      </c>
      <c r="C79" s="341">
        <f>+C32</f>
        <v>11405827</v>
      </c>
      <c r="D79" s="341">
        <f>+D32</f>
        <v>28607725</v>
      </c>
      <c r="E79" s="341">
        <f>+E32</f>
        <v>29431435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41748770</v>
      </c>
      <c r="D80" s="341">
        <f>+D78+D79</f>
        <v>58706127</v>
      </c>
      <c r="E80" s="341">
        <f>+E78+E79</f>
        <v>58256801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FILING&amp;R&amp;8BRISTOL HOSPITAL &amp;AMP; HEALTH CARE GROUP,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19629</v>
      </c>
      <c r="D11" s="376">
        <v>5168</v>
      </c>
      <c r="E11" s="376">
        <v>5158</v>
      </c>
      <c r="F11" s="377">
        <v>65</v>
      </c>
      <c r="G11" s="377">
        <v>86</v>
      </c>
      <c r="H11" s="378">
        <f>IF(F11=0,0,$C11/(F11*365))</f>
        <v>0.82735511064278189</v>
      </c>
      <c r="I11" s="378">
        <f>IF(G11=0,0,$C11/(G11*365))</f>
        <v>0.62532653711373054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2966</v>
      </c>
      <c r="D13" s="376">
        <v>343</v>
      </c>
      <c r="E13" s="376">
        <v>0</v>
      </c>
      <c r="F13" s="377">
        <v>14</v>
      </c>
      <c r="G13" s="377">
        <v>14</v>
      </c>
      <c r="H13" s="378">
        <f>IF(F13=0,0,$C13/(F13*365))</f>
        <v>0.58043052837573383</v>
      </c>
      <c r="I13" s="378">
        <f>IF(G13=0,0,$C13/(G13*365))</f>
        <v>0.58043052837573383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4007</v>
      </c>
      <c r="D16" s="376">
        <v>935</v>
      </c>
      <c r="E16" s="376">
        <v>945</v>
      </c>
      <c r="F16" s="377">
        <v>14</v>
      </c>
      <c r="G16" s="377">
        <v>16</v>
      </c>
      <c r="H16" s="378">
        <f t="shared" si="0"/>
        <v>0.78414872798434443</v>
      </c>
      <c r="I16" s="378">
        <f t="shared" si="0"/>
        <v>0.68613013698630132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4007</v>
      </c>
      <c r="D17" s="381">
        <f>SUM(D15:D16)</f>
        <v>935</v>
      </c>
      <c r="E17" s="381">
        <f>SUM(E15:E16)</f>
        <v>945</v>
      </c>
      <c r="F17" s="381">
        <f>SUM(F15:F16)</f>
        <v>14</v>
      </c>
      <c r="G17" s="381">
        <f>SUM(G15:G16)</f>
        <v>16</v>
      </c>
      <c r="H17" s="382">
        <f t="shared" si="0"/>
        <v>0.78414872798434443</v>
      </c>
      <c r="I17" s="382">
        <f t="shared" si="0"/>
        <v>0.68613013698630132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1526</v>
      </c>
      <c r="D21" s="376">
        <v>591</v>
      </c>
      <c r="E21" s="376">
        <v>590</v>
      </c>
      <c r="F21" s="377">
        <v>11</v>
      </c>
      <c r="G21" s="377">
        <v>15</v>
      </c>
      <c r="H21" s="378">
        <f>IF(F21=0,0,$C21/(F21*365))</f>
        <v>0.3800747198007472</v>
      </c>
      <c r="I21" s="378">
        <f>IF(G21=0,0,$C21/(G21*365))</f>
        <v>0.27872146118721464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1650</v>
      </c>
      <c r="D23" s="376">
        <v>652</v>
      </c>
      <c r="E23" s="376">
        <v>652</v>
      </c>
      <c r="F23" s="377">
        <v>8</v>
      </c>
      <c r="G23" s="377">
        <v>20</v>
      </c>
      <c r="H23" s="378">
        <f>IF(F23=0,0,$C23/(F23*365))</f>
        <v>0.56506849315068497</v>
      </c>
      <c r="I23" s="378">
        <f>IF(G23=0,0,$C23/(G23*365))</f>
        <v>0.22602739726027396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52</v>
      </c>
      <c r="D27" s="376">
        <v>3</v>
      </c>
      <c r="E27" s="376">
        <v>3</v>
      </c>
      <c r="F27" s="377">
        <v>3</v>
      </c>
      <c r="G27" s="377">
        <v>3</v>
      </c>
      <c r="H27" s="378">
        <f>IF(F27=0,0,$C27/(F27*365))</f>
        <v>4.7488584474885846E-2</v>
      </c>
      <c r="I27" s="378">
        <f>IF(G27=0,0,$C27/(G27*365))</f>
        <v>4.7488584474885846E-2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28180</v>
      </c>
      <c r="D31" s="384">
        <f>SUM(D10:D29)-D13-D17-D23</f>
        <v>6697</v>
      </c>
      <c r="E31" s="384">
        <f>SUM(E10:E29)-E17-E23</f>
        <v>6696</v>
      </c>
      <c r="F31" s="384">
        <f>SUM(F10:F29)-F17-F23</f>
        <v>107</v>
      </c>
      <c r="G31" s="384">
        <f>SUM(G10:G29)-G17-G23</f>
        <v>134</v>
      </c>
      <c r="H31" s="385">
        <f>IF(F31=0,0,$C31/(F31*365))</f>
        <v>0.72154653693509152</v>
      </c>
      <c r="I31" s="385">
        <f>IF(G31=0,0,$C31/(G31*365))</f>
        <v>0.5761602944183194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29830</v>
      </c>
      <c r="D33" s="384">
        <f>SUM(D10:D29)-D13-D17</f>
        <v>7349</v>
      </c>
      <c r="E33" s="384">
        <f>SUM(E10:E29)-E17</f>
        <v>7348</v>
      </c>
      <c r="F33" s="384">
        <f>SUM(F10:F29)-F17</f>
        <v>115</v>
      </c>
      <c r="G33" s="384">
        <f>SUM(G10:G29)-G17</f>
        <v>154</v>
      </c>
      <c r="H33" s="385">
        <f>IF(F33=0,0,$C33/(F33*365))</f>
        <v>0.71066110780226321</v>
      </c>
      <c r="I33" s="385">
        <f>IF(G33=0,0,$C33/(G33*365))</f>
        <v>0.53068848959259918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29830</v>
      </c>
      <c r="D36" s="384">
        <f t="shared" si="1"/>
        <v>7349</v>
      </c>
      <c r="E36" s="384">
        <f t="shared" si="1"/>
        <v>7348</v>
      </c>
      <c r="F36" s="384">
        <f t="shared" si="1"/>
        <v>115</v>
      </c>
      <c r="G36" s="384">
        <f t="shared" si="1"/>
        <v>154</v>
      </c>
      <c r="H36" s="387">
        <f t="shared" si="1"/>
        <v>0.71066110780226321</v>
      </c>
      <c r="I36" s="387">
        <f t="shared" si="1"/>
        <v>0.53068848959259918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29710</v>
      </c>
      <c r="D37" s="384">
        <v>7448</v>
      </c>
      <c r="E37" s="384">
        <v>7458</v>
      </c>
      <c r="F37" s="386">
        <v>115</v>
      </c>
      <c r="G37" s="386">
        <v>154</v>
      </c>
      <c r="H37" s="385">
        <f>IF(F37=0,0,$C37/(F37*365))</f>
        <v>0.70780226325193563</v>
      </c>
      <c r="I37" s="385">
        <f>IF(G37=0,0,$C37/(G37*365))</f>
        <v>0.52855363814267919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120</v>
      </c>
      <c r="D38" s="384">
        <f t="shared" si="2"/>
        <v>-99</v>
      </c>
      <c r="E38" s="384">
        <f t="shared" si="2"/>
        <v>-110</v>
      </c>
      <c r="F38" s="384">
        <f t="shared" si="2"/>
        <v>0</v>
      </c>
      <c r="G38" s="384">
        <f t="shared" si="2"/>
        <v>0</v>
      </c>
      <c r="H38" s="387">
        <f t="shared" si="2"/>
        <v>2.8588445503275883E-3</v>
      </c>
      <c r="I38" s="387">
        <f t="shared" si="2"/>
        <v>2.1348514499199833E-3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4.0390440928980142E-3</v>
      </c>
      <c r="D40" s="389">
        <f t="shared" si="3"/>
        <v>-1.3292158968850698E-2</v>
      </c>
      <c r="E40" s="389">
        <f t="shared" si="3"/>
        <v>-1.4749262536873156E-2</v>
      </c>
      <c r="F40" s="389">
        <f t="shared" si="3"/>
        <v>0</v>
      </c>
      <c r="G40" s="389">
        <f t="shared" si="3"/>
        <v>0</v>
      </c>
      <c r="H40" s="389">
        <f t="shared" si="3"/>
        <v>4.0390440928980316E-3</v>
      </c>
      <c r="I40" s="389">
        <f t="shared" si="3"/>
        <v>4.0390440928980906E-3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FILING&amp;RBRISTOL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3443</v>
      </c>
      <c r="D12" s="409">
        <v>3239</v>
      </c>
      <c r="E12" s="409">
        <f>+D12-C12</f>
        <v>-204</v>
      </c>
      <c r="F12" s="410">
        <f>IF(C12=0,0,+E12/C12)</f>
        <v>-5.9250653499854776E-2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3466</v>
      </c>
      <c r="D13" s="409">
        <v>3937</v>
      </c>
      <c r="E13" s="409">
        <f>+D13-C13</f>
        <v>471</v>
      </c>
      <c r="F13" s="410">
        <f>IF(C13=0,0,+E13/C13)</f>
        <v>0.13589151759953838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4419</v>
      </c>
      <c r="D14" s="409">
        <v>4829</v>
      </c>
      <c r="E14" s="409">
        <f>+D14-C14</f>
        <v>410</v>
      </c>
      <c r="F14" s="410">
        <f>IF(C14=0,0,+E14/C14)</f>
        <v>9.2781172210907439E-2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11328</v>
      </c>
      <c r="D16" s="401">
        <f>SUM(D12:D15)</f>
        <v>12005</v>
      </c>
      <c r="E16" s="401">
        <f>+D16-C16</f>
        <v>677</v>
      </c>
      <c r="F16" s="402">
        <f>IF(C16=0,0,+E16/C16)</f>
        <v>5.9763418079096048E-2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415</v>
      </c>
      <c r="D19" s="409">
        <v>358</v>
      </c>
      <c r="E19" s="409">
        <f>+D19-C19</f>
        <v>-57</v>
      </c>
      <c r="F19" s="410">
        <f>IF(C19=0,0,+E19/C19)</f>
        <v>-0.13734939759036144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2471</v>
      </c>
      <c r="D20" s="409">
        <v>2658</v>
      </c>
      <c r="E20" s="409">
        <f>+D20-C20</f>
        <v>187</v>
      </c>
      <c r="F20" s="410">
        <f>IF(C20=0,0,+E20/C20)</f>
        <v>7.567786321327398E-2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88</v>
      </c>
      <c r="D21" s="409">
        <v>89</v>
      </c>
      <c r="E21" s="409">
        <f>+D21-C21</f>
        <v>1</v>
      </c>
      <c r="F21" s="410">
        <f>IF(C21=0,0,+E21/C21)</f>
        <v>1.1363636363636364E-2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2974</v>
      </c>
      <c r="D23" s="401">
        <f>SUM(D19:D22)</f>
        <v>3105</v>
      </c>
      <c r="E23" s="401">
        <f>+D23-C23</f>
        <v>131</v>
      </c>
      <c r="F23" s="402">
        <f>IF(C23=0,0,+E23/C23)</f>
        <v>4.4048419636852722E-2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</v>
      </c>
      <c r="D26" s="409">
        <v>0</v>
      </c>
      <c r="E26" s="409">
        <f>+D26-C26</f>
        <v>-1</v>
      </c>
      <c r="F26" s="410">
        <f>IF(C26=0,0,+E26/C26)</f>
        <v>-1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194</v>
      </c>
      <c r="D27" s="409">
        <v>211</v>
      </c>
      <c r="E27" s="409">
        <f>+D27-C27</f>
        <v>17</v>
      </c>
      <c r="F27" s="410">
        <f>IF(C27=0,0,+E27/C27)</f>
        <v>8.7628865979381437E-2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195</v>
      </c>
      <c r="D30" s="401">
        <f>SUM(D26:D29)</f>
        <v>211</v>
      </c>
      <c r="E30" s="401">
        <f>+D30-C30</f>
        <v>16</v>
      </c>
      <c r="F30" s="402">
        <f>IF(C30=0,0,+E30/C30)</f>
        <v>8.2051282051282051E-2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1173</v>
      </c>
      <c r="D63" s="409">
        <v>1272</v>
      </c>
      <c r="E63" s="409">
        <f>+D63-C63</f>
        <v>99</v>
      </c>
      <c r="F63" s="410">
        <f>IF(C63=0,0,+E63/C63)</f>
        <v>8.4398976982097182E-2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3464</v>
      </c>
      <c r="D64" s="409">
        <v>3385</v>
      </c>
      <c r="E64" s="409">
        <f>+D64-C64</f>
        <v>-79</v>
      </c>
      <c r="F64" s="410">
        <f>IF(C64=0,0,+E64/C64)</f>
        <v>-2.2806004618937645E-2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4637</v>
      </c>
      <c r="D65" s="401">
        <f>SUM(D63:D64)</f>
        <v>4657</v>
      </c>
      <c r="E65" s="401">
        <f>+D65-C65</f>
        <v>20</v>
      </c>
      <c r="F65" s="402">
        <f>IF(C65=0,0,+E65/C65)</f>
        <v>4.3131334914815614E-3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456</v>
      </c>
      <c r="D68" s="409">
        <v>412</v>
      </c>
      <c r="E68" s="409">
        <f>+D68-C68</f>
        <v>-44</v>
      </c>
      <c r="F68" s="410">
        <f>IF(C68=0,0,+E68/C68)</f>
        <v>-9.6491228070175433E-2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1719</v>
      </c>
      <c r="D69" s="409">
        <v>1732</v>
      </c>
      <c r="E69" s="409">
        <f>+D69-C69</f>
        <v>13</v>
      </c>
      <c r="F69" s="412">
        <f>IF(C69=0,0,+E69/C69)</f>
        <v>7.5625363583478765E-3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2175</v>
      </c>
      <c r="D70" s="401">
        <f>SUM(D68:D69)</f>
        <v>2144</v>
      </c>
      <c r="E70" s="401">
        <f>+D70-C70</f>
        <v>-31</v>
      </c>
      <c r="F70" s="402">
        <f>IF(C70=0,0,+E70/C70)</f>
        <v>-1.4252873563218391E-2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5771</v>
      </c>
      <c r="D73" s="376">
        <v>5323</v>
      </c>
      <c r="E73" s="409">
        <f>+D73-C73</f>
        <v>-448</v>
      </c>
      <c r="F73" s="410">
        <f>IF(C73=0,0,+E73/C73)</f>
        <v>-7.7629526945070179E-2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32582</v>
      </c>
      <c r="D74" s="376">
        <v>33489</v>
      </c>
      <c r="E74" s="409">
        <f>+D74-C74</f>
        <v>907</v>
      </c>
      <c r="F74" s="410">
        <f>IF(C74=0,0,+E74/C74)</f>
        <v>2.7837456264194954E-2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38353</v>
      </c>
      <c r="D75" s="401">
        <f>SUM(D73:D74)</f>
        <v>38812</v>
      </c>
      <c r="E75" s="401">
        <f>SUM(E73:E74)</f>
        <v>459</v>
      </c>
      <c r="F75" s="402">
        <f>IF(C75=0,0,+E75/C75)</f>
        <v>1.1967773055562798E-2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30233</v>
      </c>
      <c r="D81" s="376">
        <v>28802</v>
      </c>
      <c r="E81" s="409">
        <f t="shared" si="0"/>
        <v>-1431</v>
      </c>
      <c r="F81" s="410">
        <f t="shared" si="1"/>
        <v>-4.733238514206331E-2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30233</v>
      </c>
      <c r="D92" s="381">
        <f>SUM(D79:D91)</f>
        <v>28802</v>
      </c>
      <c r="E92" s="401">
        <f t="shared" si="0"/>
        <v>-1431</v>
      </c>
      <c r="F92" s="402">
        <f t="shared" si="1"/>
        <v>-4.733238514206331E-2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77429</v>
      </c>
      <c r="D95" s="414">
        <v>88038</v>
      </c>
      <c r="E95" s="415">
        <f t="shared" ref="E95:E100" si="2">+D95-C95</f>
        <v>10609</v>
      </c>
      <c r="F95" s="412">
        <f t="shared" ref="F95:F100" si="3">IF(C95=0,0,+E95/C95)</f>
        <v>0.13701584677575585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3597</v>
      </c>
      <c r="D96" s="414">
        <v>3584</v>
      </c>
      <c r="E96" s="409">
        <f t="shared" si="2"/>
        <v>-13</v>
      </c>
      <c r="F96" s="410">
        <f t="shared" si="3"/>
        <v>-3.6141228801779262E-3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9259</v>
      </c>
      <c r="D97" s="414">
        <v>10441</v>
      </c>
      <c r="E97" s="409">
        <f t="shared" si="2"/>
        <v>1182</v>
      </c>
      <c r="F97" s="410">
        <f t="shared" si="3"/>
        <v>0.1276595744680851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1128</v>
      </c>
      <c r="D98" s="414">
        <v>1239</v>
      </c>
      <c r="E98" s="409">
        <f t="shared" si="2"/>
        <v>111</v>
      </c>
      <c r="F98" s="410">
        <f t="shared" si="3"/>
        <v>9.8404255319148939E-2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2967</v>
      </c>
      <c r="D99" s="414">
        <v>3816</v>
      </c>
      <c r="E99" s="409">
        <f t="shared" si="2"/>
        <v>849</v>
      </c>
      <c r="F99" s="410">
        <f t="shared" si="3"/>
        <v>0.28614762386248738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94380</v>
      </c>
      <c r="D100" s="381">
        <f>SUM(D95:D99)</f>
        <v>107118</v>
      </c>
      <c r="E100" s="401">
        <f t="shared" si="2"/>
        <v>12738</v>
      </c>
      <c r="F100" s="402">
        <f t="shared" si="3"/>
        <v>0.13496503496503495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226</v>
      </c>
      <c r="D104" s="416">
        <v>235.5</v>
      </c>
      <c r="E104" s="417">
        <f>+D104-C104</f>
        <v>9.5</v>
      </c>
      <c r="F104" s="410">
        <f>IF(C104=0,0,+E104/C104)</f>
        <v>4.2035398230088498E-2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1.6</v>
      </c>
      <c r="D105" s="416">
        <v>1.2</v>
      </c>
      <c r="E105" s="417">
        <f>+D105-C105</f>
        <v>-0.40000000000000013</v>
      </c>
      <c r="F105" s="410">
        <f>IF(C105=0,0,+E105/C105)</f>
        <v>-0.25000000000000006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627.4</v>
      </c>
      <c r="D106" s="416">
        <v>659.2</v>
      </c>
      <c r="E106" s="417">
        <f>+D106-C106</f>
        <v>31.800000000000068</v>
      </c>
      <c r="F106" s="410">
        <f>IF(C106=0,0,+E106/C106)</f>
        <v>5.0685368186165237E-2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855</v>
      </c>
      <c r="D107" s="418">
        <f>SUM(D104:D106)</f>
        <v>895.90000000000009</v>
      </c>
      <c r="E107" s="418">
        <f>+D107-C107</f>
        <v>40.900000000000091</v>
      </c>
      <c r="F107" s="402">
        <f>IF(C107=0,0,+E107/C107)</f>
        <v>4.7836257309941628E-2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FILING&amp;RBRISTOL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3464</v>
      </c>
      <c r="D12" s="409">
        <v>3385</v>
      </c>
      <c r="E12" s="409">
        <f>+D12-C12</f>
        <v>-79</v>
      </c>
      <c r="F12" s="410">
        <f>IF(C12=0,0,+E12/C12)</f>
        <v>-2.2806004618937645E-2</v>
      </c>
    </row>
    <row r="13" spans="1:6" ht="15.75" customHeight="1" x14ac:dyDescent="0.25">
      <c r="A13" s="374"/>
      <c r="B13" s="399" t="s">
        <v>622</v>
      </c>
      <c r="C13" s="401">
        <f>SUM(C11:C12)</f>
        <v>3464</v>
      </c>
      <c r="D13" s="401">
        <f>SUM(D11:D12)</f>
        <v>3385</v>
      </c>
      <c r="E13" s="401">
        <f>+D13-C13</f>
        <v>-79</v>
      </c>
      <c r="F13" s="402">
        <f>IF(C13=0,0,+E13/C13)</f>
        <v>-2.2806004618937645E-2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1719</v>
      </c>
      <c r="D16" s="409">
        <v>1732</v>
      </c>
      <c r="E16" s="409">
        <f>+D16-C16</f>
        <v>13</v>
      </c>
      <c r="F16" s="410">
        <f>IF(C16=0,0,+E16/C16)</f>
        <v>7.5625363583478765E-3</v>
      </c>
    </row>
    <row r="17" spans="1:6" ht="15.75" customHeight="1" x14ac:dyDescent="0.25">
      <c r="A17" s="374"/>
      <c r="B17" s="399" t="s">
        <v>623</v>
      </c>
      <c r="C17" s="401">
        <f>SUM(C15:C16)</f>
        <v>1719</v>
      </c>
      <c r="D17" s="401">
        <f>SUM(D15:D16)</f>
        <v>1732</v>
      </c>
      <c r="E17" s="401">
        <f>+D17-C17</f>
        <v>13</v>
      </c>
      <c r="F17" s="402">
        <f>IF(C17=0,0,+E17/C17)</f>
        <v>7.5625363583478765E-3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32582</v>
      </c>
      <c r="D20" s="409">
        <v>33489</v>
      </c>
      <c r="E20" s="409">
        <f>+D20-C20</f>
        <v>907</v>
      </c>
      <c r="F20" s="410">
        <f>IF(C20=0,0,+E20/C20)</f>
        <v>2.7837456264194954E-2</v>
      </c>
    </row>
    <row r="21" spans="1:6" ht="15.75" customHeight="1" x14ac:dyDescent="0.25">
      <c r="A21" s="374"/>
      <c r="B21" s="399" t="s">
        <v>625</v>
      </c>
      <c r="C21" s="401">
        <f>SUM(C19:C20)</f>
        <v>32582</v>
      </c>
      <c r="D21" s="401">
        <f>SUM(D19:D20)</f>
        <v>33489</v>
      </c>
      <c r="E21" s="401">
        <f>+D21-C21</f>
        <v>907</v>
      </c>
      <c r="F21" s="402">
        <f>IF(C21=0,0,+E21/C21)</f>
        <v>2.7837456264194954E-2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FILING&amp;RBRISTOL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88728635</v>
      </c>
      <c r="D15" s="448">
        <v>92227399</v>
      </c>
      <c r="E15" s="448">
        <f t="shared" ref="E15:E24" si="0">D15-C15</f>
        <v>3498764</v>
      </c>
      <c r="F15" s="449">
        <f t="shared" ref="F15:F24" si="1">IF(C15=0,0,E15/C15)</f>
        <v>3.9432185562191954E-2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29984757</v>
      </c>
      <c r="D16" s="448">
        <v>31043356</v>
      </c>
      <c r="E16" s="448">
        <f t="shared" si="0"/>
        <v>1058599</v>
      </c>
      <c r="F16" s="449">
        <f t="shared" si="1"/>
        <v>3.5304571586156262E-2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0.3379377694697997</v>
      </c>
      <c r="D17" s="453">
        <f>IF(LN_IA1=0,0,LN_IA2/LN_IA1)</f>
        <v>0.33659580923452043</v>
      </c>
      <c r="E17" s="454">
        <f t="shared" si="0"/>
        <v>-1.3419602352792714E-3</v>
      </c>
      <c r="F17" s="449">
        <f t="shared" si="1"/>
        <v>-3.9710276758490523E-3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3584</v>
      </c>
      <c r="D18" s="456">
        <v>3410</v>
      </c>
      <c r="E18" s="456">
        <f t="shared" si="0"/>
        <v>-174</v>
      </c>
      <c r="F18" s="449">
        <f t="shared" si="1"/>
        <v>-4.8549107142857144E-2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1.2511000000000001</v>
      </c>
      <c r="D19" s="459">
        <v>1.3064</v>
      </c>
      <c r="E19" s="460">
        <f t="shared" si="0"/>
        <v>5.5299999999999905E-2</v>
      </c>
      <c r="F19" s="449">
        <f t="shared" si="1"/>
        <v>4.4201103029334103E-2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4483.9423999999999</v>
      </c>
      <c r="D20" s="463">
        <f>LN_IA4*LN_IA5</f>
        <v>4454.8239999999996</v>
      </c>
      <c r="E20" s="463">
        <f t="shared" si="0"/>
        <v>-29.118400000000292</v>
      </c>
      <c r="F20" s="449">
        <f t="shared" si="1"/>
        <v>-6.493928200326635E-3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6687.1414316116106</v>
      </c>
      <c r="D21" s="465">
        <f>IF(LN_IA6=0,0,LN_IA2/LN_IA6)</f>
        <v>6968.4809096835261</v>
      </c>
      <c r="E21" s="465">
        <f t="shared" si="0"/>
        <v>281.33947807191544</v>
      </c>
      <c r="F21" s="449">
        <f t="shared" si="1"/>
        <v>4.207171045343245E-2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16506</v>
      </c>
      <c r="D22" s="456">
        <v>16245</v>
      </c>
      <c r="E22" s="456">
        <f t="shared" si="0"/>
        <v>-261</v>
      </c>
      <c r="F22" s="449">
        <f t="shared" si="1"/>
        <v>-1.5812431842966195E-2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1816.59741912032</v>
      </c>
      <c r="D23" s="465">
        <f>IF(LN_IA8=0,0,LN_IA2/LN_IA8)</f>
        <v>1910.9483533394891</v>
      </c>
      <c r="E23" s="465">
        <f t="shared" si="0"/>
        <v>94.350934219169176</v>
      </c>
      <c r="F23" s="449">
        <f t="shared" si="1"/>
        <v>5.1938273844327178E-2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4.60546875</v>
      </c>
      <c r="D24" s="466">
        <f>IF(LN_IA4=0,0,LN_IA8/LN_IA4)</f>
        <v>4.7639296187683282</v>
      </c>
      <c r="E24" s="466">
        <f t="shared" si="0"/>
        <v>0.15846086876832821</v>
      </c>
      <c r="F24" s="449">
        <f t="shared" si="1"/>
        <v>3.4407109758008501E-2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107030797</v>
      </c>
      <c r="D27" s="448">
        <v>115155887</v>
      </c>
      <c r="E27" s="448">
        <f t="shared" ref="E27:E32" si="2">D27-C27</f>
        <v>8125090</v>
      </c>
      <c r="F27" s="449">
        <f t="shared" ref="F27:F32" si="3">IF(C27=0,0,E27/C27)</f>
        <v>7.5913570932299043E-2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17909657</v>
      </c>
      <c r="D28" s="448">
        <v>20899377</v>
      </c>
      <c r="E28" s="448">
        <f t="shared" si="2"/>
        <v>2989720</v>
      </c>
      <c r="F28" s="449">
        <f t="shared" si="3"/>
        <v>0.16693340358221265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0.16733181011442902</v>
      </c>
      <c r="D29" s="453">
        <f>IF(LN_IA11=0,0,LN_IA12/LN_IA11)</f>
        <v>0.18148769936529602</v>
      </c>
      <c r="E29" s="454">
        <f t="shared" si="2"/>
        <v>1.4155889250866999E-2</v>
      </c>
      <c r="F29" s="449">
        <f t="shared" si="3"/>
        <v>8.4597717799063818E-2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1.2062711998217936</v>
      </c>
      <c r="D30" s="453">
        <f>IF(LN_IA1=0,0,LN_IA11/LN_IA1)</f>
        <v>1.2486082037291326</v>
      </c>
      <c r="E30" s="454">
        <f t="shared" si="2"/>
        <v>4.2337003907338966E-2</v>
      </c>
      <c r="F30" s="449">
        <f t="shared" si="3"/>
        <v>3.5097417490854085E-2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4323.2759801613083</v>
      </c>
      <c r="D31" s="463">
        <f>LN_IA14*LN_IA4</f>
        <v>4257.7539747163419</v>
      </c>
      <c r="E31" s="463">
        <f t="shared" si="2"/>
        <v>-65.522005444966453</v>
      </c>
      <c r="F31" s="449">
        <f t="shared" si="3"/>
        <v>-1.5155637934204174E-2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4142.6124730838401</v>
      </c>
      <c r="D32" s="465">
        <f>IF(LN_IA15=0,0,LN_IA12/LN_IA15)</f>
        <v>4908.5450037991795</v>
      </c>
      <c r="E32" s="465">
        <f t="shared" si="2"/>
        <v>765.93253071533945</v>
      </c>
      <c r="F32" s="449">
        <f t="shared" si="3"/>
        <v>0.18489118537925045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195759432</v>
      </c>
      <c r="D35" s="448">
        <f>LN_IA1+LN_IA11</f>
        <v>207383286</v>
      </c>
      <c r="E35" s="448">
        <f>D35-C35</f>
        <v>11623854</v>
      </c>
      <c r="F35" s="449">
        <f>IF(C35=0,0,E35/C35)</f>
        <v>5.9378257697437535E-2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47894414</v>
      </c>
      <c r="D36" s="448">
        <f>LN_IA2+LN_IA12</f>
        <v>51942733</v>
      </c>
      <c r="E36" s="448">
        <f>D36-C36</f>
        <v>4048319</v>
      </c>
      <c r="F36" s="449">
        <f>IF(C36=0,0,E36/C36)</f>
        <v>8.452591151861677E-2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147865018</v>
      </c>
      <c r="D37" s="448">
        <f>LN_IA17-LN_IA18</f>
        <v>155440553</v>
      </c>
      <c r="E37" s="448">
        <f>D37-C37</f>
        <v>7575535</v>
      </c>
      <c r="F37" s="449">
        <f>IF(C37=0,0,E37/C37)</f>
        <v>5.1232773663883097E-2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44140043</v>
      </c>
      <c r="D42" s="448">
        <v>42111049</v>
      </c>
      <c r="E42" s="448">
        <f t="shared" ref="E42:E53" si="4">D42-C42</f>
        <v>-2028994</v>
      </c>
      <c r="F42" s="449">
        <f t="shared" ref="F42:F53" si="5">IF(C42=0,0,E42/C42)</f>
        <v>-4.5967195818091978E-2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21278054</v>
      </c>
      <c r="D43" s="448">
        <v>20870629</v>
      </c>
      <c r="E43" s="448">
        <f t="shared" si="4"/>
        <v>-407425</v>
      </c>
      <c r="F43" s="449">
        <f t="shared" si="5"/>
        <v>-1.9147662657496782E-2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0.48205784484623182</v>
      </c>
      <c r="D44" s="453">
        <f>IF(LN_IB1=0,0,LN_IB2/LN_IB1)</f>
        <v>0.49560933521271339</v>
      </c>
      <c r="E44" s="454">
        <f t="shared" si="4"/>
        <v>1.3551490366481567E-2</v>
      </c>
      <c r="F44" s="449">
        <f t="shared" si="5"/>
        <v>2.8111751548829705E-2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2202</v>
      </c>
      <c r="D45" s="456">
        <v>2116</v>
      </c>
      <c r="E45" s="456">
        <f t="shared" si="4"/>
        <v>-86</v>
      </c>
      <c r="F45" s="449">
        <f t="shared" si="5"/>
        <v>-3.9055404178019983E-2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1.024</v>
      </c>
      <c r="D46" s="459">
        <v>1.0463</v>
      </c>
      <c r="E46" s="460">
        <f t="shared" si="4"/>
        <v>2.2299999999999986E-2</v>
      </c>
      <c r="F46" s="449">
        <f t="shared" si="5"/>
        <v>2.1777343749999987E-2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2254.848</v>
      </c>
      <c r="D47" s="463">
        <f>LN_IB4*LN_IB5</f>
        <v>2213.9708000000001</v>
      </c>
      <c r="E47" s="463">
        <f t="shared" si="4"/>
        <v>-40.877199999999903</v>
      </c>
      <c r="F47" s="449">
        <f t="shared" si="5"/>
        <v>-1.8128583390099866E-2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9436.5802040758408</v>
      </c>
      <c r="D48" s="465">
        <f>IF(LN_IB6=0,0,LN_IB2/LN_IB6)</f>
        <v>9426.7860262655668</v>
      </c>
      <c r="E48" s="465">
        <f t="shared" si="4"/>
        <v>-9.79417781027405</v>
      </c>
      <c r="F48" s="449">
        <f t="shared" si="5"/>
        <v>-1.0378948303797339E-3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-2749.4387724642302</v>
      </c>
      <c r="D49" s="465">
        <f>LN_IA7-LN_IB7</f>
        <v>-2458.3051165820407</v>
      </c>
      <c r="E49" s="465">
        <f t="shared" si="4"/>
        <v>291.13365588218949</v>
      </c>
      <c r="F49" s="449">
        <f t="shared" si="5"/>
        <v>-0.10588839395076112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-6199566.5172134247</v>
      </c>
      <c r="D50" s="479">
        <f>LN_IB8*LN_IB6</f>
        <v>-5442615.7456032336</v>
      </c>
      <c r="E50" s="479">
        <f t="shared" si="4"/>
        <v>756950.77161019109</v>
      </c>
      <c r="F50" s="449">
        <f t="shared" si="5"/>
        <v>-0.12209737076108099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7164</v>
      </c>
      <c r="D51" s="456">
        <v>6986</v>
      </c>
      <c r="E51" s="456">
        <f t="shared" si="4"/>
        <v>-178</v>
      </c>
      <c r="F51" s="449">
        <f t="shared" si="5"/>
        <v>-2.4846454494695702E-2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2970.1359575656056</v>
      </c>
      <c r="D52" s="465">
        <f>IF(LN_IB10=0,0,LN_IB2/LN_IB10)</f>
        <v>2987.493415402233</v>
      </c>
      <c r="E52" s="465">
        <f t="shared" si="4"/>
        <v>17.357457836627418</v>
      </c>
      <c r="F52" s="449">
        <f t="shared" si="5"/>
        <v>5.8439943775684955E-3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3.2534059945504086</v>
      </c>
      <c r="D53" s="466">
        <f>IF(LN_IB4=0,0,LN_IB10/LN_IB4)</f>
        <v>3.3015122873345937</v>
      </c>
      <c r="E53" s="466">
        <f t="shared" si="4"/>
        <v>4.8106292784185101E-2</v>
      </c>
      <c r="F53" s="449">
        <f t="shared" si="5"/>
        <v>1.4786440076881015E-2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105052147</v>
      </c>
      <c r="D56" s="448">
        <v>112105411</v>
      </c>
      <c r="E56" s="448">
        <f t="shared" ref="E56:E63" si="6">D56-C56</f>
        <v>7053264</v>
      </c>
      <c r="F56" s="449">
        <f t="shared" ref="F56:F63" si="7">IF(C56=0,0,E56/C56)</f>
        <v>6.7140598278300781E-2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38805772</v>
      </c>
      <c r="D57" s="448">
        <v>43163596</v>
      </c>
      <c r="E57" s="448">
        <f t="shared" si="6"/>
        <v>4357824</v>
      </c>
      <c r="F57" s="449">
        <f t="shared" si="7"/>
        <v>0.11229834572032223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0.36939532516170281</v>
      </c>
      <c r="D58" s="453">
        <f>IF(LN_IB13=0,0,LN_IB14/LN_IB13)</f>
        <v>0.38502687439413608</v>
      </c>
      <c r="E58" s="454">
        <f t="shared" si="6"/>
        <v>1.5631549232433262E-2</v>
      </c>
      <c r="F58" s="449">
        <f t="shared" si="7"/>
        <v>4.231658650685563E-2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2.3799738255805507</v>
      </c>
      <c r="D59" s="453">
        <f>IF(LN_IB1=0,0,LN_IB13/LN_IB1)</f>
        <v>2.6621376969260488</v>
      </c>
      <c r="E59" s="454">
        <f t="shared" si="6"/>
        <v>0.28216387134549814</v>
      </c>
      <c r="F59" s="449">
        <f t="shared" si="7"/>
        <v>0.11855755231958043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5240.7023639283725</v>
      </c>
      <c r="D60" s="463">
        <f>LN_IB16*LN_IB4</f>
        <v>5633.0833666955195</v>
      </c>
      <c r="E60" s="463">
        <f t="shared" si="6"/>
        <v>392.38100276714704</v>
      </c>
      <c r="F60" s="449">
        <f t="shared" si="7"/>
        <v>7.4871835017362554E-2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7404.689162868548</v>
      </c>
      <c r="D61" s="465">
        <f>IF(LN_IB17=0,0,LN_IB14/LN_IB17)</f>
        <v>7662.5168118753827</v>
      </c>
      <c r="E61" s="465">
        <f t="shared" si="6"/>
        <v>257.82764900683469</v>
      </c>
      <c r="F61" s="449">
        <f t="shared" si="7"/>
        <v>3.4819510088247005E-2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-3262.0766897847079</v>
      </c>
      <c r="D62" s="465">
        <f>LN_IA16-LN_IB18</f>
        <v>-2753.9718080762032</v>
      </c>
      <c r="E62" s="465">
        <f t="shared" si="6"/>
        <v>508.10488170850476</v>
      </c>
      <c r="F62" s="449">
        <f t="shared" si="7"/>
        <v>-0.15576116996257341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-17095573.01947036</v>
      </c>
      <c r="D63" s="448">
        <f>LN_IB19*LN_IB17</f>
        <v>-15513352.784422446</v>
      </c>
      <c r="E63" s="448">
        <f t="shared" si="6"/>
        <v>1582220.2350479141</v>
      </c>
      <c r="F63" s="449">
        <f t="shared" si="7"/>
        <v>-9.2551459564760061E-2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149192190</v>
      </c>
      <c r="D66" s="448">
        <f>LN_IB1+LN_IB13</f>
        <v>154216460</v>
      </c>
      <c r="E66" s="448">
        <f>D66-C66</f>
        <v>5024270</v>
      </c>
      <c r="F66" s="449">
        <f>IF(C66=0,0,E66/C66)</f>
        <v>3.3676494728041732E-2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60083826</v>
      </c>
      <c r="D67" s="448">
        <f>LN_IB2+LN_IB14</f>
        <v>64034225</v>
      </c>
      <c r="E67" s="448">
        <f>D67-C67</f>
        <v>3950399</v>
      </c>
      <c r="F67" s="449">
        <f>IF(C67=0,0,E67/C67)</f>
        <v>6.5748126625624667E-2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89108364</v>
      </c>
      <c r="D68" s="448">
        <f>LN_IB21-LN_IB22</f>
        <v>90182235</v>
      </c>
      <c r="E68" s="448">
        <f>D68-C68</f>
        <v>1073871</v>
      </c>
      <c r="F68" s="449">
        <f>IF(C68=0,0,E68/C68)</f>
        <v>1.205129296280201E-2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-23295139.536683783</v>
      </c>
      <c r="D70" s="441">
        <f>LN_IB9+LN_IB20</f>
        <v>-20955968.53002568</v>
      </c>
      <c r="E70" s="448">
        <f>D70-C70</f>
        <v>2339171.0066581033</v>
      </c>
      <c r="F70" s="449">
        <f>IF(C70=0,0,E70/C70)</f>
        <v>-0.10041455227063645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135913793</v>
      </c>
      <c r="D73" s="488">
        <v>142326436</v>
      </c>
      <c r="E73" s="488">
        <f>D73-C73</f>
        <v>6412643</v>
      </c>
      <c r="F73" s="489">
        <f>IF(C73=0,0,E73/C73)</f>
        <v>4.7181694061028817E-2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64368275</v>
      </c>
      <c r="D74" s="488">
        <v>68862450</v>
      </c>
      <c r="E74" s="488">
        <f>D74-C74</f>
        <v>4494175</v>
      </c>
      <c r="F74" s="489">
        <f>IF(C74=0,0,E74/C74)</f>
        <v>6.981972097279289E-2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71545518</v>
      </c>
      <c r="D76" s="441">
        <f>LN_IB32-LN_IB33</f>
        <v>73463986</v>
      </c>
      <c r="E76" s="488">
        <f>D76-C76</f>
        <v>1918468</v>
      </c>
      <c r="F76" s="489">
        <f>IF(E76=0,0,E76/C76)</f>
        <v>2.6814649661212879E-2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0.52640365941372858</v>
      </c>
      <c r="D77" s="453">
        <f>IF(LN_IB32=0,0,LN_IB34/LN_IB32)</f>
        <v>0.51616542973084778</v>
      </c>
      <c r="E77" s="493">
        <f>D77-C77</f>
        <v>-1.0238229682880795E-2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2026235</v>
      </c>
      <c r="D83" s="448">
        <v>1460013</v>
      </c>
      <c r="E83" s="448">
        <f t="shared" ref="E83:E95" si="8">D83-C83</f>
        <v>-566222</v>
      </c>
      <c r="F83" s="449">
        <f t="shared" ref="F83:F95" si="9">IF(C83=0,0,E83/C83)</f>
        <v>-0.2794453752896382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10370</v>
      </c>
      <c r="D84" s="448">
        <v>0</v>
      </c>
      <c r="E84" s="448">
        <f t="shared" si="8"/>
        <v>-10370</v>
      </c>
      <c r="F84" s="449">
        <f t="shared" si="9"/>
        <v>-1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5.1178663876598716E-3</v>
      </c>
      <c r="D85" s="453">
        <f>IF(LN_IC1=0,0,LN_IC2/LN_IC1)</f>
        <v>0</v>
      </c>
      <c r="E85" s="454">
        <f t="shared" si="8"/>
        <v>-5.1178663876598716E-3</v>
      </c>
      <c r="F85" s="449">
        <f t="shared" si="9"/>
        <v>-1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132</v>
      </c>
      <c r="D86" s="456">
        <v>113</v>
      </c>
      <c r="E86" s="456">
        <f t="shared" si="8"/>
        <v>-19</v>
      </c>
      <c r="F86" s="449">
        <f t="shared" si="9"/>
        <v>-0.14393939393939395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1.0887</v>
      </c>
      <c r="D87" s="459">
        <v>1.1759999999999999</v>
      </c>
      <c r="E87" s="460">
        <f t="shared" si="8"/>
        <v>8.7299999999999933E-2</v>
      </c>
      <c r="F87" s="449">
        <f t="shared" si="9"/>
        <v>8.0187379443372772E-2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143.70840000000001</v>
      </c>
      <c r="D88" s="463">
        <f>LN_IC4*LN_IC5</f>
        <v>132.88800000000001</v>
      </c>
      <c r="E88" s="463">
        <f t="shared" si="8"/>
        <v>-10.820400000000006</v>
      </c>
      <c r="F88" s="449">
        <f t="shared" si="9"/>
        <v>-7.5294137294688451E-2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72.160012915041847</v>
      </c>
      <c r="D89" s="465">
        <f>IF(LN_IC6=0,0,LN_IC2/LN_IC6)</f>
        <v>0</v>
      </c>
      <c r="E89" s="465">
        <f t="shared" si="8"/>
        <v>-72.160012915041847</v>
      </c>
      <c r="F89" s="449">
        <f t="shared" si="9"/>
        <v>-1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9364.4201911607997</v>
      </c>
      <c r="D90" s="465">
        <f>LN_IB7-LN_IC7</f>
        <v>9426.7860262655668</v>
      </c>
      <c r="E90" s="465">
        <f t="shared" si="8"/>
        <v>62.365835104767029</v>
      </c>
      <c r="F90" s="449">
        <f t="shared" si="9"/>
        <v>6.6598714956890726E-3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6614.9814186965687</v>
      </c>
      <c r="D91" s="465">
        <f>LN_IA7-LN_IC7</f>
        <v>6968.4809096835261</v>
      </c>
      <c r="E91" s="465">
        <f t="shared" si="8"/>
        <v>353.49949098695743</v>
      </c>
      <c r="F91" s="449">
        <f t="shared" si="9"/>
        <v>5.3439226599764474E-2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950628.39571061404</v>
      </c>
      <c r="D92" s="441">
        <f>LN_IC9*LN_IC6</f>
        <v>926027.4911260244</v>
      </c>
      <c r="E92" s="441">
        <f t="shared" si="8"/>
        <v>-24600.904584589647</v>
      </c>
      <c r="F92" s="449">
        <f t="shared" si="9"/>
        <v>-2.5878571159448662E-2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368</v>
      </c>
      <c r="D93" s="456">
        <v>375</v>
      </c>
      <c r="E93" s="456">
        <f t="shared" si="8"/>
        <v>7</v>
      </c>
      <c r="F93" s="449">
        <f t="shared" si="9"/>
        <v>1.9021739130434784E-2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28.179347826086957</v>
      </c>
      <c r="D94" s="499">
        <f>IF(LN_IC11=0,0,LN_IC2/LN_IC11)</f>
        <v>0</v>
      </c>
      <c r="E94" s="499">
        <f t="shared" si="8"/>
        <v>-28.179347826086957</v>
      </c>
      <c r="F94" s="449">
        <f t="shared" si="9"/>
        <v>-1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2.7878787878787881</v>
      </c>
      <c r="D95" s="466">
        <f>IF(LN_IC4=0,0,LN_IC11/LN_IC4)</f>
        <v>3.3185840707964602</v>
      </c>
      <c r="E95" s="466">
        <f t="shared" si="8"/>
        <v>0.53070528291767216</v>
      </c>
      <c r="F95" s="449">
        <f t="shared" si="9"/>
        <v>0.19036167756829545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6665563</v>
      </c>
      <c r="D98" s="448">
        <v>5851418</v>
      </c>
      <c r="E98" s="448">
        <f t="shared" ref="E98:E106" si="10">D98-C98</f>
        <v>-814145</v>
      </c>
      <c r="F98" s="449">
        <f t="shared" ref="F98:F106" si="11">IF(C98=0,0,E98/C98)</f>
        <v>-0.12214197060323337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75205</v>
      </c>
      <c r="D99" s="448">
        <v>67919</v>
      </c>
      <c r="E99" s="448">
        <f t="shared" si="10"/>
        <v>-7286</v>
      </c>
      <c r="F99" s="449">
        <f t="shared" si="11"/>
        <v>-9.6881856259557211E-2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1.1282617837382979E-2</v>
      </c>
      <c r="D100" s="453">
        <f>IF(LN_IC14=0,0,LN_IC15/LN_IC14)</f>
        <v>1.1607271946731544E-2</v>
      </c>
      <c r="E100" s="454">
        <f t="shared" si="10"/>
        <v>3.2465410934856553E-4</v>
      </c>
      <c r="F100" s="449">
        <f t="shared" si="11"/>
        <v>2.8774714700774584E-2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3.2896297813432303</v>
      </c>
      <c r="D101" s="453">
        <f>IF(LN_IC1=0,0,LN_IC14/LN_IC1)</f>
        <v>4.0077848621895829</v>
      </c>
      <c r="E101" s="454">
        <f t="shared" si="10"/>
        <v>0.7181550808463526</v>
      </c>
      <c r="F101" s="449">
        <f t="shared" si="11"/>
        <v>0.21830878505517226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434.23113113730642</v>
      </c>
      <c r="D102" s="463">
        <f>LN_IC17*LN_IC4</f>
        <v>452.87968942742287</v>
      </c>
      <c r="E102" s="463">
        <f t="shared" si="10"/>
        <v>18.648558290116455</v>
      </c>
      <c r="F102" s="449">
        <f t="shared" si="11"/>
        <v>4.2946156903291378E-2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173.19117540704318</v>
      </c>
      <c r="D103" s="465">
        <f>IF(LN_IC18=0,0,LN_IC15/LN_IC18)</f>
        <v>149.97139767047224</v>
      </c>
      <c r="E103" s="465">
        <f t="shared" si="10"/>
        <v>-23.219777736570933</v>
      </c>
      <c r="F103" s="449">
        <f t="shared" si="11"/>
        <v>-0.13407021276920472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7231.4979874615046</v>
      </c>
      <c r="D104" s="465">
        <f>LN_IB18-LN_IC19</f>
        <v>7512.5454142049102</v>
      </c>
      <c r="E104" s="465">
        <f t="shared" si="10"/>
        <v>281.04742674340559</v>
      </c>
      <c r="F104" s="449">
        <f t="shared" si="11"/>
        <v>3.8864344183004128E-2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3969.4212976767967</v>
      </c>
      <c r="D105" s="465">
        <f>LN_IA16-LN_IC19</f>
        <v>4758.5736061287071</v>
      </c>
      <c r="E105" s="465">
        <f t="shared" si="10"/>
        <v>789.15230845191036</v>
      </c>
      <c r="F105" s="449">
        <f t="shared" si="11"/>
        <v>0.19880789900376197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1723646.3000507101</v>
      </c>
      <c r="D106" s="448">
        <f>LN_IC21*LN_IC18</f>
        <v>2155061.3368611005</v>
      </c>
      <c r="E106" s="448">
        <f t="shared" si="10"/>
        <v>431415.03681039042</v>
      </c>
      <c r="F106" s="449">
        <f t="shared" si="11"/>
        <v>0.25029209113128259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8691798</v>
      </c>
      <c r="D109" s="448">
        <f>LN_IC1+LN_IC14</f>
        <v>7311431</v>
      </c>
      <c r="E109" s="448">
        <f>D109-C109</f>
        <v>-1380367</v>
      </c>
      <c r="F109" s="449">
        <f>IF(C109=0,0,E109/C109)</f>
        <v>-0.15881259550670643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85575</v>
      </c>
      <c r="D110" s="448">
        <f>LN_IC2+LN_IC15</f>
        <v>67919</v>
      </c>
      <c r="E110" s="448">
        <f>D110-C110</f>
        <v>-17656</v>
      </c>
      <c r="F110" s="449">
        <f>IF(C110=0,0,E110/C110)</f>
        <v>-0.20632193981887234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8606223</v>
      </c>
      <c r="D111" s="448">
        <f>LN_IC23-LN_IC24</f>
        <v>7243512</v>
      </c>
      <c r="E111" s="448">
        <f>D111-C111</f>
        <v>-1362711</v>
      </c>
      <c r="F111" s="449">
        <f>IF(C111=0,0,E111/C111)</f>
        <v>-0.15834019174264949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2674274.6957613239</v>
      </c>
      <c r="D113" s="448">
        <f>LN_IC10+LN_IC22</f>
        <v>3081088.8279871251</v>
      </c>
      <c r="E113" s="448">
        <f>D113-C113</f>
        <v>406814.13222580124</v>
      </c>
      <c r="F113" s="449">
        <f>IF(C113=0,0,E113/C113)</f>
        <v>0.15212129586784565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28359389</v>
      </c>
      <c r="D118" s="448">
        <v>30033754</v>
      </c>
      <c r="E118" s="448">
        <f t="shared" ref="E118:E130" si="12">D118-C118</f>
        <v>1674365</v>
      </c>
      <c r="F118" s="449">
        <f t="shared" ref="F118:F130" si="13">IF(C118=0,0,E118/C118)</f>
        <v>5.9040940550588027E-2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6716915</v>
      </c>
      <c r="D119" s="448">
        <v>6607478</v>
      </c>
      <c r="E119" s="448">
        <f t="shared" si="12"/>
        <v>-109437</v>
      </c>
      <c r="F119" s="449">
        <f t="shared" si="13"/>
        <v>-1.629274748898862E-2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0.23684977839261628</v>
      </c>
      <c r="D120" s="453">
        <f>IF(LN_ID1=0,0,LN_1D2/LN_ID1)</f>
        <v>0.22000173538079856</v>
      </c>
      <c r="E120" s="454">
        <f t="shared" si="12"/>
        <v>-1.684804301181772E-2</v>
      </c>
      <c r="F120" s="449">
        <f t="shared" si="13"/>
        <v>-7.1133877034452619E-2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1646</v>
      </c>
      <c r="D121" s="456">
        <v>1797</v>
      </c>
      <c r="E121" s="456">
        <f t="shared" si="12"/>
        <v>151</v>
      </c>
      <c r="F121" s="449">
        <f t="shared" si="13"/>
        <v>9.1737545565006073E-2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0.94910000000000005</v>
      </c>
      <c r="D122" s="459">
        <v>0.94320000000000004</v>
      </c>
      <c r="E122" s="460">
        <f t="shared" si="12"/>
        <v>-5.9000000000000163E-3</v>
      </c>
      <c r="F122" s="449">
        <f t="shared" si="13"/>
        <v>-6.2164155515751929E-3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1562.2186000000002</v>
      </c>
      <c r="D123" s="463">
        <f>LN_ID4*LN_ID5</f>
        <v>1694.9304</v>
      </c>
      <c r="E123" s="463">
        <f t="shared" si="12"/>
        <v>132.71179999999981</v>
      </c>
      <c r="F123" s="449">
        <f t="shared" si="13"/>
        <v>8.4950851308517136E-2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4299.5999407509289</v>
      </c>
      <c r="D124" s="465">
        <f>IF(LN_ID6=0,0,LN_1D2/LN_ID6)</f>
        <v>3898.3771841014832</v>
      </c>
      <c r="E124" s="465">
        <f t="shared" si="12"/>
        <v>-401.22275664944573</v>
      </c>
      <c r="F124" s="449">
        <f t="shared" si="13"/>
        <v>-9.3316299697262489E-2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5136.9802633249119</v>
      </c>
      <c r="D125" s="465">
        <f>LN_IB7-LN_ID7</f>
        <v>5528.4088421640836</v>
      </c>
      <c r="E125" s="465">
        <f t="shared" si="12"/>
        <v>391.42857883917168</v>
      </c>
      <c r="F125" s="449">
        <f t="shared" si="13"/>
        <v>7.6198186244503779E-2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2387.5414908606817</v>
      </c>
      <c r="D126" s="465">
        <f>LN_IA7-LN_ID7</f>
        <v>3070.1037255820429</v>
      </c>
      <c r="E126" s="465">
        <f t="shared" si="12"/>
        <v>682.56223472136116</v>
      </c>
      <c r="F126" s="449">
        <f t="shared" si="13"/>
        <v>0.28588497302943422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3729861.7252942873</v>
      </c>
      <c r="D127" s="479">
        <f>LN_ID9*LN_ID6</f>
        <v>5203612.1356422622</v>
      </c>
      <c r="E127" s="479">
        <f t="shared" si="12"/>
        <v>1473750.4103479749</v>
      </c>
      <c r="F127" s="449">
        <f t="shared" si="13"/>
        <v>0.39512199617311428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5997</v>
      </c>
      <c r="D128" s="456">
        <v>6529</v>
      </c>
      <c r="E128" s="456">
        <f t="shared" si="12"/>
        <v>532</v>
      </c>
      <c r="F128" s="449">
        <f t="shared" si="13"/>
        <v>8.8711022177755547E-2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1120.045856261464</v>
      </c>
      <c r="D129" s="465">
        <f>IF(LN_ID11=0,0,LN_1D2/LN_ID11)</f>
        <v>1012.0199111655691</v>
      </c>
      <c r="E129" s="465">
        <f t="shared" si="12"/>
        <v>-108.02594509589494</v>
      </c>
      <c r="F129" s="449">
        <f t="shared" si="13"/>
        <v>-9.6447787822249054E-2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3.643377885783718</v>
      </c>
      <c r="D130" s="466">
        <f>IF(LN_ID4=0,0,LN_ID11/LN_ID4)</f>
        <v>3.6332776850306066</v>
      </c>
      <c r="E130" s="466">
        <f t="shared" si="12"/>
        <v>-1.0100200753111466E-2</v>
      </c>
      <c r="F130" s="449">
        <f t="shared" si="13"/>
        <v>-2.7722078438588414E-3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53507154</v>
      </c>
      <c r="D133" s="448">
        <v>59919782</v>
      </c>
      <c r="E133" s="448">
        <f t="shared" ref="E133:E141" si="14">D133-C133</f>
        <v>6412628</v>
      </c>
      <c r="F133" s="449">
        <f t="shared" ref="F133:F141" si="15">IF(C133=0,0,E133/C133)</f>
        <v>0.11984617982111327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11283345</v>
      </c>
      <c r="D134" s="448">
        <v>13100657</v>
      </c>
      <c r="E134" s="448">
        <f t="shared" si="14"/>
        <v>1817312</v>
      </c>
      <c r="F134" s="449">
        <f t="shared" si="15"/>
        <v>0.16106145828209631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0.21087544667391578</v>
      </c>
      <c r="D135" s="453">
        <f>IF(LN_ID14=0,0,LN_ID15/LN_ID14)</f>
        <v>0.21863659317051587</v>
      </c>
      <c r="E135" s="454">
        <f t="shared" si="14"/>
        <v>7.7611464966000909E-3</v>
      </c>
      <c r="F135" s="449">
        <f t="shared" si="15"/>
        <v>3.6804410466057855E-2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1.8867527082476989</v>
      </c>
      <c r="D136" s="453">
        <f>IF(LN_ID1=0,0,LN_ID14/LN_ID1)</f>
        <v>1.9950813341548979</v>
      </c>
      <c r="E136" s="454">
        <f t="shared" si="14"/>
        <v>0.10832862590719894</v>
      </c>
      <c r="F136" s="449">
        <f t="shared" si="15"/>
        <v>5.7415381164502462E-2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3105.5949577757124</v>
      </c>
      <c r="D137" s="463">
        <f>LN_ID17*LN_ID4</f>
        <v>3585.1611574763515</v>
      </c>
      <c r="E137" s="463">
        <f t="shared" si="14"/>
        <v>479.56619970063912</v>
      </c>
      <c r="F137" s="449">
        <f t="shared" si="15"/>
        <v>0.15442007287521931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3633.2313625603488</v>
      </c>
      <c r="D138" s="465">
        <f>IF(LN_ID18=0,0,LN_ID15/LN_ID18)</f>
        <v>3654.1333637625785</v>
      </c>
      <c r="E138" s="465">
        <f t="shared" si="14"/>
        <v>20.902001202229712</v>
      </c>
      <c r="F138" s="449">
        <f t="shared" si="15"/>
        <v>5.7530058277103528E-3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3771.4578003081992</v>
      </c>
      <c r="D139" s="465">
        <f>LN_IB18-LN_ID19</f>
        <v>4008.3834481128042</v>
      </c>
      <c r="E139" s="465">
        <f t="shared" si="14"/>
        <v>236.92564780460498</v>
      </c>
      <c r="F139" s="449">
        <f t="shared" si="15"/>
        <v>6.2820707628027467E-2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509.38111052349132</v>
      </c>
      <c r="D140" s="465">
        <f>LN_IA16-LN_ID19</f>
        <v>1254.4116400366011</v>
      </c>
      <c r="E140" s="465">
        <f t="shared" si="14"/>
        <v>745.03052951310974</v>
      </c>
      <c r="F140" s="449">
        <f t="shared" si="15"/>
        <v>1.4626190766034519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1581931.4084279474</v>
      </c>
      <c r="D141" s="441">
        <f>LN_ID21*LN_ID18</f>
        <v>4497267.8873454286</v>
      </c>
      <c r="E141" s="441">
        <f t="shared" si="14"/>
        <v>2915336.4789174814</v>
      </c>
      <c r="F141" s="449">
        <f t="shared" si="15"/>
        <v>1.8428968938764623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81866543</v>
      </c>
      <c r="D144" s="448">
        <f>LN_ID1+LN_ID14</f>
        <v>89953536</v>
      </c>
      <c r="E144" s="448">
        <f>D144-C144</f>
        <v>8086993</v>
      </c>
      <c r="F144" s="449">
        <f>IF(C144=0,0,E144/C144)</f>
        <v>9.8782637004716317E-2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18000260</v>
      </c>
      <c r="D145" s="448">
        <f>LN_1D2+LN_ID15</f>
        <v>19708135</v>
      </c>
      <c r="E145" s="448">
        <f>D145-C145</f>
        <v>1707875</v>
      </c>
      <c r="F145" s="449">
        <f>IF(C145=0,0,E145/C145)</f>
        <v>9.4880573947265207E-2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63866283</v>
      </c>
      <c r="D146" s="448">
        <f>LN_ID23-LN_ID24</f>
        <v>70245401</v>
      </c>
      <c r="E146" s="448">
        <f>D146-C146</f>
        <v>6379118</v>
      </c>
      <c r="F146" s="449">
        <f>IF(C146=0,0,E146/C146)</f>
        <v>9.9882405869776383E-2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5311793.1337222345</v>
      </c>
      <c r="D148" s="448">
        <f>LN_ID10+LN_ID22</f>
        <v>9700880.0229876898</v>
      </c>
      <c r="E148" s="448">
        <f>D148-C148</f>
        <v>4389086.8892654553</v>
      </c>
      <c r="F148" s="503">
        <f>IF(C148=0,0,E148/C148)</f>
        <v>0.8262910054612399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9436.5802040758408</v>
      </c>
      <c r="D160" s="465">
        <f>LN_IB7-LN_IE7</f>
        <v>9426.7860262655668</v>
      </c>
      <c r="E160" s="465">
        <f t="shared" si="16"/>
        <v>-9.79417781027405</v>
      </c>
      <c r="F160" s="449">
        <f t="shared" si="17"/>
        <v>-1.0378948303797339E-3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6687.1414316116106</v>
      </c>
      <c r="D161" s="465">
        <f>LN_IA7-LN_IE7</f>
        <v>6968.4809096835261</v>
      </c>
      <c r="E161" s="465">
        <f t="shared" si="16"/>
        <v>281.33947807191544</v>
      </c>
      <c r="F161" s="449">
        <f t="shared" si="17"/>
        <v>4.207171045343245E-2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7404.689162868548</v>
      </c>
      <c r="D174" s="465">
        <f>LN_IB18-LN_IE19</f>
        <v>7662.5168118753827</v>
      </c>
      <c r="E174" s="465">
        <f t="shared" si="18"/>
        <v>257.82764900683469</v>
      </c>
      <c r="F174" s="449">
        <f t="shared" si="19"/>
        <v>3.4819510088247005E-2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4142.6124730838401</v>
      </c>
      <c r="D175" s="465">
        <f>LN_IA16-LN_IE19</f>
        <v>4908.5450037991795</v>
      </c>
      <c r="E175" s="465">
        <f t="shared" si="18"/>
        <v>765.93253071533945</v>
      </c>
      <c r="F175" s="449">
        <f t="shared" si="19"/>
        <v>0.18489118537925045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28359389</v>
      </c>
      <c r="D188" s="448">
        <f>LN_ID1+LN_IE1</f>
        <v>30033754</v>
      </c>
      <c r="E188" s="448">
        <f t="shared" ref="E188:E200" si="20">D188-C188</f>
        <v>1674365</v>
      </c>
      <c r="F188" s="449">
        <f t="shared" ref="F188:F200" si="21">IF(C188=0,0,E188/C188)</f>
        <v>5.9040940550588027E-2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6716915</v>
      </c>
      <c r="D189" s="448">
        <f>LN_1D2+LN_IE2</f>
        <v>6607478</v>
      </c>
      <c r="E189" s="448">
        <f t="shared" si="20"/>
        <v>-109437</v>
      </c>
      <c r="F189" s="449">
        <f t="shared" si="21"/>
        <v>-1.629274748898862E-2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0.23684977839261628</v>
      </c>
      <c r="D190" s="453">
        <f>IF(LN_IF1=0,0,LN_IF2/LN_IF1)</f>
        <v>0.22000173538079856</v>
      </c>
      <c r="E190" s="454">
        <f t="shared" si="20"/>
        <v>-1.684804301181772E-2</v>
      </c>
      <c r="F190" s="449">
        <f t="shared" si="21"/>
        <v>-7.1133877034452619E-2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1646</v>
      </c>
      <c r="D191" s="456">
        <f>LN_ID4+LN_IE4</f>
        <v>1797</v>
      </c>
      <c r="E191" s="456">
        <f t="shared" si="20"/>
        <v>151</v>
      </c>
      <c r="F191" s="449">
        <f t="shared" si="21"/>
        <v>9.1737545565006073E-2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0.94910000000000005</v>
      </c>
      <c r="D192" s="459">
        <f>IF((LN_ID4+LN_IE4)=0,0,(LN_ID6+LN_IE6)/(LN_ID4+LN_IE4))</f>
        <v>0.94319999999999993</v>
      </c>
      <c r="E192" s="460">
        <f t="shared" si="20"/>
        <v>-5.9000000000001274E-3</v>
      </c>
      <c r="F192" s="449">
        <f t="shared" si="21"/>
        <v>-6.21641555157531E-3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1562.2186000000002</v>
      </c>
      <c r="D193" s="463">
        <f>LN_IF4*LN_IF5</f>
        <v>1694.9304</v>
      </c>
      <c r="E193" s="463">
        <f t="shared" si="20"/>
        <v>132.71179999999981</v>
      </c>
      <c r="F193" s="449">
        <f t="shared" si="21"/>
        <v>8.4950851308517136E-2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4299.5999407509289</v>
      </c>
      <c r="D194" s="465">
        <f>IF(LN_IF6=0,0,LN_IF2/LN_IF6)</f>
        <v>3898.3771841014832</v>
      </c>
      <c r="E194" s="465">
        <f t="shared" si="20"/>
        <v>-401.22275664944573</v>
      </c>
      <c r="F194" s="449">
        <f t="shared" si="21"/>
        <v>-9.3316299697262489E-2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5136.9802633249119</v>
      </c>
      <c r="D195" s="465">
        <f>LN_IB7-LN_IF7</f>
        <v>5528.4088421640836</v>
      </c>
      <c r="E195" s="465">
        <f t="shared" si="20"/>
        <v>391.42857883917168</v>
      </c>
      <c r="F195" s="449">
        <f t="shared" si="21"/>
        <v>7.6198186244503779E-2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2387.5414908606817</v>
      </c>
      <c r="D196" s="465">
        <f>LN_IA7-LN_IF7</f>
        <v>3070.1037255820429</v>
      </c>
      <c r="E196" s="465">
        <f t="shared" si="20"/>
        <v>682.56223472136116</v>
      </c>
      <c r="F196" s="449">
        <f t="shared" si="21"/>
        <v>0.28588497302943422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3729861.7252942873</v>
      </c>
      <c r="D197" s="479">
        <f>LN_IF9*LN_IF6</f>
        <v>5203612.1356422622</v>
      </c>
      <c r="E197" s="479">
        <f t="shared" si="20"/>
        <v>1473750.4103479749</v>
      </c>
      <c r="F197" s="449">
        <f t="shared" si="21"/>
        <v>0.39512199617311428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5997</v>
      </c>
      <c r="D198" s="456">
        <f>LN_ID11+LN_IE11</f>
        <v>6529</v>
      </c>
      <c r="E198" s="456">
        <f t="shared" si="20"/>
        <v>532</v>
      </c>
      <c r="F198" s="449">
        <f t="shared" si="21"/>
        <v>8.8711022177755547E-2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1120.045856261464</v>
      </c>
      <c r="D199" s="519">
        <f>IF(LN_IF11=0,0,LN_IF2/LN_IF11)</f>
        <v>1012.0199111655691</v>
      </c>
      <c r="E199" s="519">
        <f t="shared" si="20"/>
        <v>-108.02594509589494</v>
      </c>
      <c r="F199" s="449">
        <f t="shared" si="21"/>
        <v>-9.6447787822249054E-2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3.643377885783718</v>
      </c>
      <c r="D200" s="466">
        <f>IF(LN_IF4=0,0,LN_IF11/LN_IF4)</f>
        <v>3.6332776850306066</v>
      </c>
      <c r="E200" s="466">
        <f t="shared" si="20"/>
        <v>-1.0100200753111466E-2</v>
      </c>
      <c r="F200" s="449">
        <f t="shared" si="21"/>
        <v>-2.7722078438588414E-3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53507154</v>
      </c>
      <c r="D203" s="448">
        <f>LN_ID14+LN_IE14</f>
        <v>59919782</v>
      </c>
      <c r="E203" s="448">
        <f t="shared" ref="E203:E211" si="22">D203-C203</f>
        <v>6412628</v>
      </c>
      <c r="F203" s="449">
        <f t="shared" ref="F203:F211" si="23">IF(C203=0,0,E203/C203)</f>
        <v>0.11984617982111327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11283345</v>
      </c>
      <c r="D204" s="448">
        <f>LN_ID15+LN_IE15</f>
        <v>13100657</v>
      </c>
      <c r="E204" s="448">
        <f t="shared" si="22"/>
        <v>1817312</v>
      </c>
      <c r="F204" s="449">
        <f t="shared" si="23"/>
        <v>0.16106145828209631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0.21087544667391578</v>
      </c>
      <c r="D205" s="453">
        <f>IF(LN_IF14=0,0,LN_IF15/LN_IF14)</f>
        <v>0.21863659317051587</v>
      </c>
      <c r="E205" s="454">
        <f t="shared" si="22"/>
        <v>7.7611464966000909E-3</v>
      </c>
      <c r="F205" s="449">
        <f t="shared" si="23"/>
        <v>3.6804410466057855E-2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1.8867527082476989</v>
      </c>
      <c r="D206" s="453">
        <f>IF(LN_IF1=0,0,LN_IF14/LN_IF1)</f>
        <v>1.9950813341548979</v>
      </c>
      <c r="E206" s="454">
        <f t="shared" si="22"/>
        <v>0.10832862590719894</v>
      </c>
      <c r="F206" s="449">
        <f t="shared" si="23"/>
        <v>5.7415381164502462E-2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3105.5949577757124</v>
      </c>
      <c r="D207" s="463">
        <f>LN_ID18+LN_IE18</f>
        <v>3585.1611574763515</v>
      </c>
      <c r="E207" s="463">
        <f t="shared" si="22"/>
        <v>479.56619970063912</v>
      </c>
      <c r="F207" s="449">
        <f t="shared" si="23"/>
        <v>0.15442007287521931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3633.2313625603488</v>
      </c>
      <c r="D208" s="465">
        <f>IF(LN_IF18=0,0,LN_IF15/LN_IF18)</f>
        <v>3654.1333637625785</v>
      </c>
      <c r="E208" s="465">
        <f t="shared" si="22"/>
        <v>20.902001202229712</v>
      </c>
      <c r="F208" s="449">
        <f t="shared" si="23"/>
        <v>5.7530058277103528E-3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3771.4578003081992</v>
      </c>
      <c r="D209" s="465">
        <f>LN_IB18-LN_IF19</f>
        <v>4008.3834481128042</v>
      </c>
      <c r="E209" s="465">
        <f t="shared" si="22"/>
        <v>236.92564780460498</v>
      </c>
      <c r="F209" s="449">
        <f t="shared" si="23"/>
        <v>6.2820707628027467E-2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509.38111052349132</v>
      </c>
      <c r="D210" s="465">
        <f>LN_IA16-LN_IF19</f>
        <v>1254.4116400366011</v>
      </c>
      <c r="E210" s="465">
        <f t="shared" si="22"/>
        <v>745.03052951310974</v>
      </c>
      <c r="F210" s="449">
        <f t="shared" si="23"/>
        <v>1.4626190766034519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1581931.4084279474</v>
      </c>
      <c r="D211" s="441">
        <f>LN_IF21*LN_IF18</f>
        <v>4497267.8873454286</v>
      </c>
      <c r="E211" s="441">
        <f t="shared" si="22"/>
        <v>2915336.4789174814</v>
      </c>
      <c r="F211" s="449">
        <f t="shared" si="23"/>
        <v>1.8428968938764623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81866543</v>
      </c>
      <c r="D214" s="448">
        <f>LN_IF1+LN_IF14</f>
        <v>89953536</v>
      </c>
      <c r="E214" s="448">
        <f>D214-C214</f>
        <v>8086993</v>
      </c>
      <c r="F214" s="449">
        <f>IF(C214=0,0,E214/C214)</f>
        <v>9.8782637004716317E-2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18000260</v>
      </c>
      <c r="D215" s="448">
        <f>LN_IF2+LN_IF15</f>
        <v>19708135</v>
      </c>
      <c r="E215" s="448">
        <f>D215-C215</f>
        <v>1707875</v>
      </c>
      <c r="F215" s="449">
        <f>IF(C215=0,0,E215/C215)</f>
        <v>9.4880573947265207E-2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63866283</v>
      </c>
      <c r="D216" s="448">
        <f>LN_IF23-LN_IF24</f>
        <v>70245401</v>
      </c>
      <c r="E216" s="448">
        <f>D216-C216</f>
        <v>6379118</v>
      </c>
      <c r="F216" s="449">
        <f>IF(C216=0,0,E216/C216)</f>
        <v>9.9882405869776383E-2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214150</v>
      </c>
      <c r="D221" s="448">
        <v>432011</v>
      </c>
      <c r="E221" s="448">
        <f t="shared" ref="E221:E230" si="24">D221-C221</f>
        <v>217861</v>
      </c>
      <c r="F221" s="449">
        <f t="shared" ref="F221:F230" si="25">IF(C221=0,0,E221/C221)</f>
        <v>1.0173289750175112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70785</v>
      </c>
      <c r="D222" s="448">
        <v>160387</v>
      </c>
      <c r="E222" s="448">
        <f t="shared" si="24"/>
        <v>89602</v>
      </c>
      <c r="F222" s="449">
        <f t="shared" si="25"/>
        <v>1.2658331567422476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0.33053934158300258</v>
      </c>
      <c r="D223" s="453">
        <f>IF(LN_IG1=0,0,LN_IG2/LN_IG1)</f>
        <v>0.37125675040681833</v>
      </c>
      <c r="E223" s="454">
        <f t="shared" si="24"/>
        <v>4.0717408823815748E-2</v>
      </c>
      <c r="F223" s="449">
        <f t="shared" si="25"/>
        <v>0.12318475806484626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16</v>
      </c>
      <c r="D224" s="456">
        <v>26</v>
      </c>
      <c r="E224" s="456">
        <f t="shared" si="24"/>
        <v>10</v>
      </c>
      <c r="F224" s="449">
        <f t="shared" si="25"/>
        <v>0.625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0.74550000000000005</v>
      </c>
      <c r="D225" s="459">
        <v>1.0066999999999999</v>
      </c>
      <c r="E225" s="460">
        <f t="shared" si="24"/>
        <v>0.26119999999999988</v>
      </c>
      <c r="F225" s="449">
        <f t="shared" si="25"/>
        <v>0.35036887994634452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11.928000000000001</v>
      </c>
      <c r="D226" s="463">
        <f>LN_IG3*LN_IG4</f>
        <v>26.174199999999999</v>
      </c>
      <c r="E226" s="463">
        <f t="shared" si="24"/>
        <v>14.246199999999998</v>
      </c>
      <c r="F226" s="449">
        <f t="shared" si="25"/>
        <v>1.1943494299128099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5934.3561368209248</v>
      </c>
      <c r="D227" s="465">
        <f>IF(LN_IG5=0,0,LN_IG2/LN_IG5)</f>
        <v>6127.6753444231344</v>
      </c>
      <c r="E227" s="465">
        <f t="shared" si="24"/>
        <v>193.31920760220964</v>
      </c>
      <c r="F227" s="449">
        <f t="shared" si="25"/>
        <v>3.2576273338689794E-2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43</v>
      </c>
      <c r="D228" s="456">
        <v>70</v>
      </c>
      <c r="E228" s="456">
        <f t="shared" si="24"/>
        <v>27</v>
      </c>
      <c r="F228" s="449">
        <f t="shared" si="25"/>
        <v>0.62790697674418605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1646.1627906976744</v>
      </c>
      <c r="D229" s="465">
        <f>IF(LN_IG6=0,0,LN_IG2/LN_IG6)</f>
        <v>2291.2428571428572</v>
      </c>
      <c r="E229" s="465">
        <f t="shared" si="24"/>
        <v>645.08006644518287</v>
      </c>
      <c r="F229" s="449">
        <f t="shared" si="25"/>
        <v>0.39186893914166648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2.6875</v>
      </c>
      <c r="D230" s="466">
        <f>IF(LN_IG3=0,0,LN_IG6/LN_IG3)</f>
        <v>2.6923076923076925</v>
      </c>
      <c r="E230" s="466">
        <f t="shared" si="24"/>
        <v>4.8076923076925127E-3</v>
      </c>
      <c r="F230" s="449">
        <f t="shared" si="25"/>
        <v>1.788908765653028E-3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672300</v>
      </c>
      <c r="D233" s="448">
        <v>1106845</v>
      </c>
      <c r="E233" s="448">
        <f>D233-C233</f>
        <v>434545</v>
      </c>
      <c r="F233" s="449">
        <f>IF(C233=0,0,E233/C233)</f>
        <v>0.64635579354454853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205727</v>
      </c>
      <c r="D234" s="448">
        <v>123430</v>
      </c>
      <c r="E234" s="448">
        <f>D234-C234</f>
        <v>-82297</v>
      </c>
      <c r="F234" s="449">
        <f>IF(C234=0,0,E234/C234)</f>
        <v>-0.40003013702625323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886450</v>
      </c>
      <c r="D237" s="448">
        <f>LN_IG1+LN_IG9</f>
        <v>1538856</v>
      </c>
      <c r="E237" s="448">
        <f>D237-C237</f>
        <v>652406</v>
      </c>
      <c r="F237" s="449">
        <f>IF(C237=0,0,E237/C237)</f>
        <v>0.73597608438152184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276512</v>
      </c>
      <c r="D238" s="448">
        <f>LN_IG2+LN_IG10</f>
        <v>283817</v>
      </c>
      <c r="E238" s="448">
        <f>D238-C238</f>
        <v>7305</v>
      </c>
      <c r="F238" s="449">
        <f>IF(C238=0,0,E238/C238)</f>
        <v>2.6418383288971184E-2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609938</v>
      </c>
      <c r="D239" s="448">
        <f>LN_IG13-LN_IG14</f>
        <v>1255039</v>
      </c>
      <c r="E239" s="448">
        <f>D239-C239</f>
        <v>645101</v>
      </c>
      <c r="F239" s="449">
        <f>IF(C239=0,0,E239/C239)</f>
        <v>1.05765012181566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4242269</v>
      </c>
      <c r="D243" s="448">
        <v>4301391</v>
      </c>
      <c r="E243" s="441">
        <f>D243-C243</f>
        <v>59122</v>
      </c>
      <c r="F243" s="503">
        <f>IF(C243=0,0,E243/C243)</f>
        <v>1.3936409973059229E-2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129703674</v>
      </c>
      <c r="D244" s="448">
        <v>141228949</v>
      </c>
      <c r="E244" s="441">
        <f>D244-C244</f>
        <v>11525275</v>
      </c>
      <c r="F244" s="503">
        <f>IF(C244=0,0,E244/C244)</f>
        <v>8.8858508356517332E-2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5306456</v>
      </c>
      <c r="D248" s="441">
        <v>4530623</v>
      </c>
      <c r="E248" s="441">
        <f>D248-C248</f>
        <v>-775833</v>
      </c>
      <c r="F248" s="449">
        <f>IF(C248=0,0,E248/C248)</f>
        <v>-0.14620549006719363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4909425</v>
      </c>
      <c r="D249" s="441">
        <v>4007799</v>
      </c>
      <c r="E249" s="441">
        <f>D249-C249</f>
        <v>-901626</v>
      </c>
      <c r="F249" s="449">
        <f>IF(C249=0,0,E249/C249)</f>
        <v>-0.18365205701278664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10215881</v>
      </c>
      <c r="D250" s="441">
        <f>LN_IH4+LN_IH5</f>
        <v>8538422</v>
      </c>
      <c r="E250" s="441">
        <f>D250-C250</f>
        <v>-1677459</v>
      </c>
      <c r="F250" s="449">
        <f>IF(C250=0,0,E250/C250)</f>
        <v>-0.16420111001684534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3099756.5155229177</v>
      </c>
      <c r="D251" s="441">
        <f>LN_IH6*LN_III10</f>
        <v>2602198.9058584417</v>
      </c>
      <c r="E251" s="441">
        <f>D251-C251</f>
        <v>-497557.60966447601</v>
      </c>
      <c r="F251" s="449">
        <f>IF(C251=0,0,E251/C251)</f>
        <v>-0.1605150621259489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81866543</v>
      </c>
      <c r="D254" s="441">
        <f>LN_IF23</f>
        <v>89953536</v>
      </c>
      <c r="E254" s="441">
        <f>D254-C254</f>
        <v>8086993</v>
      </c>
      <c r="F254" s="449">
        <f>IF(C254=0,0,E254/C254)</f>
        <v>9.8782637004716317E-2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18000260</v>
      </c>
      <c r="D255" s="441">
        <f>LN_IF24</f>
        <v>19708135</v>
      </c>
      <c r="E255" s="441">
        <f>D255-C255</f>
        <v>1707875</v>
      </c>
      <c r="F255" s="449">
        <f>IF(C255=0,0,E255/C255)</f>
        <v>9.4880573947265207E-2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24840378.433106955</v>
      </c>
      <c r="D256" s="441">
        <f>LN_IH8*LN_III10</f>
        <v>27414549.545255311</v>
      </c>
      <c r="E256" s="441">
        <f>D256-C256</f>
        <v>2574171.1121483557</v>
      </c>
      <c r="F256" s="449">
        <f>IF(C256=0,0,E256/C256)</f>
        <v>0.10362849821633682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6840118.4331069551</v>
      </c>
      <c r="D257" s="441">
        <f>LN_IH10-LN_IH9</f>
        <v>7706414.5452553108</v>
      </c>
      <c r="E257" s="441">
        <f>D257-C257</f>
        <v>866296.11214835569</v>
      </c>
      <c r="F257" s="449">
        <f>IF(C257=0,0,E257/C257)</f>
        <v>0.12664928547952964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161442217</v>
      </c>
      <c r="D261" s="448">
        <f>LN_IA1+LN_IB1+LN_IF1+LN_IG1</f>
        <v>164804213</v>
      </c>
      <c r="E261" s="448">
        <f t="shared" ref="E261:E274" si="26">D261-C261</f>
        <v>3361996</v>
      </c>
      <c r="F261" s="503">
        <f t="shared" ref="F261:F274" si="27">IF(C261=0,0,E261/C261)</f>
        <v>2.0824763574697442E-2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58050511</v>
      </c>
      <c r="D262" s="448">
        <f>+LN_IA2+LN_IB2+LN_IF2+LN_IG2</f>
        <v>58681850</v>
      </c>
      <c r="E262" s="448">
        <f t="shared" si="26"/>
        <v>631339</v>
      </c>
      <c r="F262" s="503">
        <f t="shared" si="27"/>
        <v>1.0875683764437491E-2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0.35957454053049831</v>
      </c>
      <c r="D263" s="453">
        <f>IF(LN_IIA1=0,0,LN_IIA2/LN_IIA1)</f>
        <v>0.35607008420349062</v>
      </c>
      <c r="E263" s="454">
        <f t="shared" si="26"/>
        <v>-3.5044563270076878E-3</v>
      </c>
      <c r="F263" s="458">
        <f t="shared" si="27"/>
        <v>-9.7461191825132781E-3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7448</v>
      </c>
      <c r="D264" s="456">
        <f>LN_IA4+LN_IB4+LN_IF4+LN_IG3</f>
        <v>7349</v>
      </c>
      <c r="E264" s="456">
        <f t="shared" si="26"/>
        <v>-99</v>
      </c>
      <c r="F264" s="503">
        <f t="shared" si="27"/>
        <v>-1.3292158968850698E-2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1.1161301020408163</v>
      </c>
      <c r="D265" s="525">
        <f>IF(LN_IIA4=0,0,LN_IIA6/LN_IIA4)</f>
        <v>1.141638236494761</v>
      </c>
      <c r="E265" s="525">
        <f t="shared" si="26"/>
        <v>2.5508134453944731E-2</v>
      </c>
      <c r="F265" s="503">
        <f t="shared" si="27"/>
        <v>2.2854086998732259E-2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8312.9369999999999</v>
      </c>
      <c r="D266" s="463">
        <f>LN_IA6+LN_IB6+LN_IF6+LN_IG5</f>
        <v>8389.8993999999984</v>
      </c>
      <c r="E266" s="463">
        <f t="shared" si="26"/>
        <v>76.962399999998524</v>
      </c>
      <c r="F266" s="503">
        <f t="shared" si="27"/>
        <v>9.2581478724064106E-3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266262398</v>
      </c>
      <c r="D267" s="448">
        <f>LN_IA11+LN_IB13+LN_IF14+LN_IG9</f>
        <v>288287925</v>
      </c>
      <c r="E267" s="448">
        <f t="shared" si="26"/>
        <v>22025527</v>
      </c>
      <c r="F267" s="503">
        <f t="shared" si="27"/>
        <v>8.2721132106682221E-2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1.6492736717063294</v>
      </c>
      <c r="D268" s="453">
        <f>IF(LN_IIA1=0,0,LN_IIA7/LN_IIA1)</f>
        <v>1.7492752142204036</v>
      </c>
      <c r="E268" s="454">
        <f t="shared" si="26"/>
        <v>0.10000154251407412</v>
      </c>
      <c r="F268" s="458">
        <f t="shared" si="27"/>
        <v>6.0633686349102434E-2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68204501</v>
      </c>
      <c r="D269" s="448">
        <f>LN_IA12+LN_IB14+LN_IF15+LN_IG10</f>
        <v>77287060</v>
      </c>
      <c r="E269" s="448">
        <f t="shared" si="26"/>
        <v>9082559</v>
      </c>
      <c r="F269" s="503">
        <f t="shared" si="27"/>
        <v>0.1331665633034981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0.2561552119725144</v>
      </c>
      <c r="D270" s="453">
        <f>IF(LN_IIA7=0,0,LN_IIA9/LN_IIA7)</f>
        <v>0.2680898272100713</v>
      </c>
      <c r="E270" s="454">
        <f t="shared" si="26"/>
        <v>1.19346152375569E-2</v>
      </c>
      <c r="F270" s="458">
        <f t="shared" si="27"/>
        <v>4.6591342591293793E-2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427704615</v>
      </c>
      <c r="D271" s="441">
        <f>LN_IIA1+LN_IIA7</f>
        <v>453092138</v>
      </c>
      <c r="E271" s="441">
        <f t="shared" si="26"/>
        <v>25387523</v>
      </c>
      <c r="F271" s="503">
        <f t="shared" si="27"/>
        <v>5.9357608287673023E-2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126255012</v>
      </c>
      <c r="D272" s="441">
        <f>LN_IIA2+LN_IIA9</f>
        <v>135968910</v>
      </c>
      <c r="E272" s="441">
        <f t="shared" si="26"/>
        <v>9713898</v>
      </c>
      <c r="F272" s="503">
        <f t="shared" si="27"/>
        <v>7.6938711945946356E-2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0.29519207315544166</v>
      </c>
      <c r="D273" s="453">
        <f>IF(LN_IIA11=0,0,LN_IIA12/LN_IIA11)</f>
        <v>0.30009108213658742</v>
      </c>
      <c r="E273" s="454">
        <f t="shared" si="26"/>
        <v>4.8990089811457582E-3</v>
      </c>
      <c r="F273" s="458">
        <f t="shared" si="27"/>
        <v>1.659600452267581E-2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29710</v>
      </c>
      <c r="D274" s="508">
        <f>LN_IA8+LN_IB10+LN_IF11+LN_IG6</f>
        <v>29830</v>
      </c>
      <c r="E274" s="528">
        <f t="shared" si="26"/>
        <v>120</v>
      </c>
      <c r="F274" s="458">
        <f t="shared" si="27"/>
        <v>4.0390440928980142E-3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117302174</v>
      </c>
      <c r="D277" s="448">
        <f>LN_IA1+LN_IF1+LN_IG1</f>
        <v>122693164</v>
      </c>
      <c r="E277" s="448">
        <f t="shared" ref="E277:E291" si="28">D277-C277</f>
        <v>5390990</v>
      </c>
      <c r="F277" s="503">
        <f t="shared" ref="F277:F291" si="29">IF(C277=0,0,E277/C277)</f>
        <v>4.5958142259153699E-2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36772457</v>
      </c>
      <c r="D278" s="448">
        <f>LN_IA2+LN_IF2+LN_IG2</f>
        <v>37811221</v>
      </c>
      <c r="E278" s="448">
        <f t="shared" si="28"/>
        <v>1038764</v>
      </c>
      <c r="F278" s="503">
        <f t="shared" si="29"/>
        <v>2.8248425173221358E-2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0.31348487198540753</v>
      </c>
      <c r="D279" s="453">
        <f>IF(D277=0,0,LN_IIB2/D277)</f>
        <v>0.30817707985752163</v>
      </c>
      <c r="E279" s="454">
        <f t="shared" si="28"/>
        <v>-5.3077921278859019E-3</v>
      </c>
      <c r="F279" s="458">
        <f t="shared" si="29"/>
        <v>-1.6931573425760002E-2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5246</v>
      </c>
      <c r="D280" s="456">
        <f>LN_IA4+LN_IF4+LN_IG3</f>
        <v>5233</v>
      </c>
      <c r="E280" s="456">
        <f t="shared" si="28"/>
        <v>-13</v>
      </c>
      <c r="F280" s="503">
        <f t="shared" si="29"/>
        <v>-2.4780785360274493E-3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1.154801563095692</v>
      </c>
      <c r="D281" s="525">
        <f>IF(LN_IIB4=0,0,LN_IIB6/LN_IIB4)</f>
        <v>1.1801889164914963</v>
      </c>
      <c r="E281" s="525">
        <f t="shared" si="28"/>
        <v>2.5387353395804224E-2</v>
      </c>
      <c r="F281" s="503">
        <f t="shared" si="29"/>
        <v>2.198416958126382E-2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6058.0889999999999</v>
      </c>
      <c r="D282" s="463">
        <f>LN_IA6+LN_IF6+LN_IG5</f>
        <v>6175.9286000000002</v>
      </c>
      <c r="E282" s="463">
        <f t="shared" si="28"/>
        <v>117.83960000000025</v>
      </c>
      <c r="F282" s="503">
        <f t="shared" si="29"/>
        <v>1.9451612546464776E-2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161210251</v>
      </c>
      <c r="D283" s="448">
        <f>LN_IA11+LN_IF14+LN_IG9</f>
        <v>176182514</v>
      </c>
      <c r="E283" s="448">
        <f t="shared" si="28"/>
        <v>14972263</v>
      </c>
      <c r="F283" s="503">
        <f t="shared" si="29"/>
        <v>9.2874137389687458E-2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1.3743159696255929</v>
      </c>
      <c r="D284" s="453">
        <f>IF(D277=0,0,LN_IIB7/D277)</f>
        <v>1.4359603115296626</v>
      </c>
      <c r="E284" s="454">
        <f t="shared" si="28"/>
        <v>6.1644341904069755E-2</v>
      </c>
      <c r="F284" s="458">
        <f t="shared" si="29"/>
        <v>4.4854562754490603E-2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29398729</v>
      </c>
      <c r="D285" s="448">
        <f>LN_IA12+LN_IF15+LN_IG10</f>
        <v>34123464</v>
      </c>
      <c r="E285" s="448">
        <f t="shared" si="28"/>
        <v>4724735</v>
      </c>
      <c r="F285" s="503">
        <f t="shared" si="29"/>
        <v>0.16071221990583334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0.18236265260823892</v>
      </c>
      <c r="D286" s="453">
        <f>IF(LN_IIB7=0,0,LN_IIB9/LN_IIB7)</f>
        <v>0.19368246726233002</v>
      </c>
      <c r="E286" s="454">
        <f t="shared" si="28"/>
        <v>1.1319814654091098E-2</v>
      </c>
      <c r="F286" s="458">
        <f t="shared" si="29"/>
        <v>6.2073097162108744E-2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278512425</v>
      </c>
      <c r="D287" s="441">
        <f>D277+LN_IIB7</f>
        <v>298875678</v>
      </c>
      <c r="E287" s="441">
        <f t="shared" si="28"/>
        <v>20363253</v>
      </c>
      <c r="F287" s="503">
        <f t="shared" si="29"/>
        <v>7.3114343103364246E-2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66171186</v>
      </c>
      <c r="D288" s="441">
        <f>LN_IIB2+LN_IIB9</f>
        <v>71934685</v>
      </c>
      <c r="E288" s="441">
        <f t="shared" si="28"/>
        <v>5763499</v>
      </c>
      <c r="F288" s="503">
        <f t="shared" si="29"/>
        <v>8.7099829221740116E-2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0.23758791371695537</v>
      </c>
      <c r="D289" s="453">
        <f>IF(LN_IIB11=0,0,LN_IIB12/LN_IIB11)</f>
        <v>0.24068430553254988</v>
      </c>
      <c r="E289" s="454">
        <f t="shared" si="28"/>
        <v>3.0963918155945125E-3</v>
      </c>
      <c r="F289" s="458">
        <f t="shared" si="29"/>
        <v>1.3032615031433476E-2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22546</v>
      </c>
      <c r="D290" s="508">
        <f>LN_IA8+LN_IF11+LN_IG6</f>
        <v>22844</v>
      </c>
      <c r="E290" s="528">
        <f t="shared" si="28"/>
        <v>298</v>
      </c>
      <c r="F290" s="458">
        <f t="shared" si="29"/>
        <v>1.3217422159141311E-2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212341239</v>
      </c>
      <c r="D291" s="516">
        <f>LN_IIB11-LN_IIB12</f>
        <v>226940993</v>
      </c>
      <c r="E291" s="441">
        <f t="shared" si="28"/>
        <v>14599754</v>
      </c>
      <c r="F291" s="503">
        <f t="shared" si="29"/>
        <v>6.8756093111051311E-2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4.60546875</v>
      </c>
      <c r="D294" s="466">
        <f>IF(LN_IA4=0,0,LN_IA8/LN_IA4)</f>
        <v>4.7639296187683282</v>
      </c>
      <c r="E294" s="466">
        <f t="shared" ref="E294:E300" si="30">D294-C294</f>
        <v>0.15846086876832821</v>
      </c>
      <c r="F294" s="503">
        <f t="shared" ref="F294:F300" si="31">IF(C294=0,0,E294/C294)</f>
        <v>3.4407109758008501E-2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3.2534059945504086</v>
      </c>
      <c r="D295" s="466">
        <f>IF(LN_IB4=0,0,(LN_IB10)/(LN_IB4))</f>
        <v>3.3015122873345937</v>
      </c>
      <c r="E295" s="466">
        <f t="shared" si="30"/>
        <v>4.8106292784185101E-2</v>
      </c>
      <c r="F295" s="503">
        <f t="shared" si="31"/>
        <v>1.4786440076881015E-2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2.7878787878787881</v>
      </c>
      <c r="D296" s="466">
        <f>IF(LN_IC4=0,0,LN_IC11/LN_IC4)</f>
        <v>3.3185840707964602</v>
      </c>
      <c r="E296" s="466">
        <f t="shared" si="30"/>
        <v>0.53070528291767216</v>
      </c>
      <c r="F296" s="503">
        <f t="shared" si="31"/>
        <v>0.19036167756829545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3.643377885783718</v>
      </c>
      <c r="D297" s="466">
        <f>IF(LN_ID4=0,0,LN_ID11/LN_ID4)</f>
        <v>3.6332776850306066</v>
      </c>
      <c r="E297" s="466">
        <f t="shared" si="30"/>
        <v>-1.0100200753111466E-2</v>
      </c>
      <c r="F297" s="503">
        <f t="shared" si="31"/>
        <v>-2.7722078438588414E-3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2.6875</v>
      </c>
      <c r="D299" s="466">
        <f>IF(LN_IG3=0,0,LN_IG6/LN_IG3)</f>
        <v>2.6923076923076925</v>
      </c>
      <c r="E299" s="466">
        <f t="shared" si="30"/>
        <v>4.8076923076925127E-3</v>
      </c>
      <c r="F299" s="503">
        <f t="shared" si="31"/>
        <v>1.788908765653028E-3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3.9889903329752956</v>
      </c>
      <c r="D300" s="466">
        <f>IF(LN_IIA4=0,0,LN_IIA14/LN_IIA4)</f>
        <v>4.0590556538304527</v>
      </c>
      <c r="E300" s="466">
        <f t="shared" si="30"/>
        <v>7.0065320855157154E-2</v>
      </c>
      <c r="F300" s="503">
        <f t="shared" si="31"/>
        <v>1.7564675521010112E-2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427704615</v>
      </c>
      <c r="D304" s="441">
        <f>LN_IIA11</f>
        <v>453092138</v>
      </c>
      <c r="E304" s="441">
        <f t="shared" ref="E304:E316" si="32">D304-C304</f>
        <v>25387523</v>
      </c>
      <c r="F304" s="449">
        <f>IF(C304=0,0,E304/C304)</f>
        <v>5.9357608287673023E-2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212341239</v>
      </c>
      <c r="D305" s="441">
        <f>LN_IIB14</f>
        <v>226940993</v>
      </c>
      <c r="E305" s="441">
        <f t="shared" si="32"/>
        <v>14599754</v>
      </c>
      <c r="F305" s="449">
        <f>IF(C305=0,0,E305/C305)</f>
        <v>6.8756093111051311E-2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10215881</v>
      </c>
      <c r="D306" s="441">
        <f>LN_IH6</f>
        <v>8538422</v>
      </c>
      <c r="E306" s="441">
        <f t="shared" si="32"/>
        <v>-1677459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71545518</v>
      </c>
      <c r="D307" s="441">
        <f>LN_IB32-LN_IB33</f>
        <v>73463986</v>
      </c>
      <c r="E307" s="441">
        <f t="shared" si="32"/>
        <v>1918468</v>
      </c>
      <c r="F307" s="449">
        <f t="shared" ref="F307:F316" si="33">IF(C307=0,0,E307/C307)</f>
        <v>2.6814649661212879E-2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3825586</v>
      </c>
      <c r="D308" s="441">
        <v>6062816</v>
      </c>
      <c r="E308" s="441">
        <f t="shared" si="32"/>
        <v>2237230</v>
      </c>
      <c r="F308" s="449">
        <f t="shared" si="33"/>
        <v>0.584807138043688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297928224</v>
      </c>
      <c r="D309" s="441">
        <f>LN_III2+LN_III3+LN_III4+LN_III5</f>
        <v>315006217</v>
      </c>
      <c r="E309" s="441">
        <f t="shared" si="32"/>
        <v>17077993</v>
      </c>
      <c r="F309" s="449">
        <f t="shared" si="33"/>
        <v>5.7322507987695719E-2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129776391</v>
      </c>
      <c r="D310" s="441">
        <f>LN_III1-LN_III6</f>
        <v>138085921</v>
      </c>
      <c r="E310" s="441">
        <f t="shared" si="32"/>
        <v>8309530</v>
      </c>
      <c r="F310" s="449">
        <f t="shared" si="33"/>
        <v>6.4029596877909795E-2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129776391</v>
      </c>
      <c r="D312" s="441">
        <f>LN_III7+LN_III8</f>
        <v>138085921</v>
      </c>
      <c r="E312" s="441">
        <f t="shared" si="32"/>
        <v>8309530</v>
      </c>
      <c r="F312" s="449">
        <f t="shared" si="33"/>
        <v>6.4029596877909795E-2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0.30342527634404881</v>
      </c>
      <c r="D313" s="532">
        <f>IF(LN_III1=0,0,LN_III9/LN_III1)</f>
        <v>0.30476344526640187</v>
      </c>
      <c r="E313" s="532">
        <f t="shared" si="32"/>
        <v>1.3381689223530557E-3</v>
      </c>
      <c r="F313" s="449">
        <f t="shared" si="33"/>
        <v>4.4102091245547008E-3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3099756.5155229177</v>
      </c>
      <c r="D314" s="441">
        <f>D313*LN_III5</f>
        <v>2602198.9058584417</v>
      </c>
      <c r="E314" s="441">
        <f t="shared" si="32"/>
        <v>-497557.60966447601</v>
      </c>
      <c r="F314" s="449">
        <f t="shared" si="33"/>
        <v>-0.1605150621259489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6840118.4331069551</v>
      </c>
      <c r="D315" s="441">
        <f>D313*LN_IH8-LN_IH9</f>
        <v>7706414.5452553108</v>
      </c>
      <c r="E315" s="441">
        <f t="shared" si="32"/>
        <v>866296.11214835569</v>
      </c>
      <c r="F315" s="449">
        <f t="shared" si="33"/>
        <v>0.12664928547952964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9939874.9486298729</v>
      </c>
      <c r="D318" s="441">
        <f>D314+D315+D316</f>
        <v>10308613.451113753</v>
      </c>
      <c r="E318" s="441">
        <f>D318-C318</f>
        <v>368738.50248388015</v>
      </c>
      <c r="F318" s="449">
        <f>IF(C318=0,0,E318/C318)</f>
        <v>3.7096895523289014E-2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1581931.4084279474</v>
      </c>
      <c r="D322" s="441">
        <f>LN_ID22</f>
        <v>4497267.8873454286</v>
      </c>
      <c r="E322" s="441">
        <f>LN_IV2-C322</f>
        <v>2915336.4789174814</v>
      </c>
      <c r="F322" s="449">
        <f>IF(C322=0,0,E322/C322)</f>
        <v>1.8428968938764623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2674274.6957613239</v>
      </c>
      <c r="D324" s="441">
        <f>LN_IC10+LN_IC22</f>
        <v>3081088.8279871251</v>
      </c>
      <c r="E324" s="441">
        <f>LN_IV1-C324</f>
        <v>406814.13222580124</v>
      </c>
      <c r="F324" s="449">
        <f>IF(C324=0,0,E324/C324)</f>
        <v>0.15212129586784565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4256206.1041892711</v>
      </c>
      <c r="D325" s="516">
        <f>LN_IV1+LN_IV2+LN_IV3</f>
        <v>7578356.7153325537</v>
      </c>
      <c r="E325" s="441">
        <f>LN_IV4-C325</f>
        <v>3322150.6111432826</v>
      </c>
      <c r="F325" s="449">
        <f>IF(C325=0,0,E325/C325)</f>
        <v>0.78054270160304917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5275587</v>
      </c>
      <c r="D329" s="518">
        <v>7512816</v>
      </c>
      <c r="E329" s="518">
        <f t="shared" ref="E329:E335" si="34">D329-C329</f>
        <v>2237229</v>
      </c>
      <c r="F329" s="542">
        <f t="shared" ref="F329:F335" si="35">IF(C329=0,0,E329/C329)</f>
        <v>0.42407205112909713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553490</v>
      </c>
      <c r="D330" s="516">
        <v>2007461</v>
      </c>
      <c r="E330" s="518">
        <f t="shared" si="34"/>
        <v>1453971</v>
      </c>
      <c r="F330" s="543">
        <f t="shared" si="35"/>
        <v>2.6269146687383693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126808091</v>
      </c>
      <c r="D331" s="516">
        <v>137976406</v>
      </c>
      <c r="E331" s="518">
        <f t="shared" si="34"/>
        <v>11168315</v>
      </c>
      <c r="F331" s="542">
        <f t="shared" si="35"/>
        <v>8.8072574170365833E-2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427704210</v>
      </c>
      <c r="D333" s="516">
        <v>453092171</v>
      </c>
      <c r="E333" s="518">
        <f t="shared" si="34"/>
        <v>25387961</v>
      </c>
      <c r="F333" s="542">
        <f t="shared" si="35"/>
        <v>5.9358688566568001E-2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10215881</v>
      </c>
      <c r="D335" s="516">
        <v>8538422</v>
      </c>
      <c r="E335" s="516">
        <f t="shared" si="34"/>
        <v>-1677459</v>
      </c>
      <c r="F335" s="542">
        <f t="shared" si="35"/>
        <v>-0.16420111001684534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FILING&amp;RBRISTOL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44140043</v>
      </c>
      <c r="D14" s="589">
        <v>42111049</v>
      </c>
      <c r="E14" s="590">
        <f t="shared" ref="E14:E22" si="0">D14-C14</f>
        <v>-2028994</v>
      </c>
    </row>
    <row r="15" spans="1:5" s="421" customFormat="1" x14ac:dyDescent="0.2">
      <c r="A15" s="588">
        <v>2</v>
      </c>
      <c r="B15" s="587" t="s">
        <v>635</v>
      </c>
      <c r="C15" s="589">
        <v>88728635</v>
      </c>
      <c r="D15" s="591">
        <v>92227399</v>
      </c>
      <c r="E15" s="590">
        <f t="shared" si="0"/>
        <v>3498764</v>
      </c>
    </row>
    <row r="16" spans="1:5" s="421" customFormat="1" x14ac:dyDescent="0.2">
      <c r="A16" s="588">
        <v>3</v>
      </c>
      <c r="B16" s="587" t="s">
        <v>777</v>
      </c>
      <c r="C16" s="589">
        <v>28359389</v>
      </c>
      <c r="D16" s="591">
        <v>30033754</v>
      </c>
      <c r="E16" s="590">
        <f t="shared" si="0"/>
        <v>1674365</v>
      </c>
    </row>
    <row r="17" spans="1:5" s="421" customFormat="1" x14ac:dyDescent="0.2">
      <c r="A17" s="588">
        <v>4</v>
      </c>
      <c r="B17" s="587" t="s">
        <v>115</v>
      </c>
      <c r="C17" s="589">
        <v>28359389</v>
      </c>
      <c r="D17" s="591">
        <v>30033754</v>
      </c>
      <c r="E17" s="590">
        <f t="shared" si="0"/>
        <v>1674365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214150</v>
      </c>
      <c r="D19" s="591">
        <v>432011</v>
      </c>
      <c r="E19" s="590">
        <f t="shared" si="0"/>
        <v>217861</v>
      </c>
    </row>
    <row r="20" spans="1:5" s="421" customFormat="1" x14ac:dyDescent="0.2">
      <c r="A20" s="588">
        <v>7</v>
      </c>
      <c r="B20" s="587" t="s">
        <v>758</v>
      </c>
      <c r="C20" s="589">
        <v>2026235</v>
      </c>
      <c r="D20" s="591">
        <v>1460013</v>
      </c>
      <c r="E20" s="590">
        <f t="shared" si="0"/>
        <v>-566222</v>
      </c>
    </row>
    <row r="21" spans="1:5" s="421" customFormat="1" x14ac:dyDescent="0.2">
      <c r="A21" s="588"/>
      <c r="B21" s="592" t="s">
        <v>778</v>
      </c>
      <c r="C21" s="593">
        <f>SUM(C15+C16+C19)</f>
        <v>117302174</v>
      </c>
      <c r="D21" s="593">
        <f>SUM(D15+D16+D19)</f>
        <v>122693164</v>
      </c>
      <c r="E21" s="593">
        <f t="shared" si="0"/>
        <v>5390990</v>
      </c>
    </row>
    <row r="22" spans="1:5" s="421" customFormat="1" x14ac:dyDescent="0.2">
      <c r="A22" s="588"/>
      <c r="B22" s="592" t="s">
        <v>465</v>
      </c>
      <c r="C22" s="593">
        <f>SUM(C14+C21)</f>
        <v>161442217</v>
      </c>
      <c r="D22" s="593">
        <f>SUM(D14+D21)</f>
        <v>164804213</v>
      </c>
      <c r="E22" s="593">
        <f t="shared" si="0"/>
        <v>3361996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105052147</v>
      </c>
      <c r="D25" s="589">
        <v>112105411</v>
      </c>
      <c r="E25" s="590">
        <f t="shared" ref="E25:E33" si="1">D25-C25</f>
        <v>7053264</v>
      </c>
    </row>
    <row r="26" spans="1:5" s="421" customFormat="1" x14ac:dyDescent="0.2">
      <c r="A26" s="588">
        <v>2</v>
      </c>
      <c r="B26" s="587" t="s">
        <v>635</v>
      </c>
      <c r="C26" s="589">
        <v>107030797</v>
      </c>
      <c r="D26" s="591">
        <v>115155887</v>
      </c>
      <c r="E26" s="590">
        <f t="shared" si="1"/>
        <v>8125090</v>
      </c>
    </row>
    <row r="27" spans="1:5" s="421" customFormat="1" x14ac:dyDescent="0.2">
      <c r="A27" s="588">
        <v>3</v>
      </c>
      <c r="B27" s="587" t="s">
        <v>777</v>
      </c>
      <c r="C27" s="589">
        <v>53507154</v>
      </c>
      <c r="D27" s="591">
        <v>59919782</v>
      </c>
      <c r="E27" s="590">
        <f t="shared" si="1"/>
        <v>6412628</v>
      </c>
    </row>
    <row r="28" spans="1:5" s="421" customFormat="1" x14ac:dyDescent="0.2">
      <c r="A28" s="588">
        <v>4</v>
      </c>
      <c r="B28" s="587" t="s">
        <v>115</v>
      </c>
      <c r="C28" s="589">
        <v>53507154</v>
      </c>
      <c r="D28" s="591">
        <v>59919782</v>
      </c>
      <c r="E28" s="590">
        <f t="shared" si="1"/>
        <v>6412628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672300</v>
      </c>
      <c r="D30" s="591">
        <v>1106845</v>
      </c>
      <c r="E30" s="590">
        <f t="shared" si="1"/>
        <v>434545</v>
      </c>
    </row>
    <row r="31" spans="1:5" s="421" customFormat="1" x14ac:dyDescent="0.2">
      <c r="A31" s="588">
        <v>7</v>
      </c>
      <c r="B31" s="587" t="s">
        <v>758</v>
      </c>
      <c r="C31" s="590">
        <v>6665563</v>
      </c>
      <c r="D31" s="594">
        <v>5851418</v>
      </c>
      <c r="E31" s="590">
        <f t="shared" si="1"/>
        <v>-814145</v>
      </c>
    </row>
    <row r="32" spans="1:5" s="421" customFormat="1" x14ac:dyDescent="0.2">
      <c r="A32" s="588"/>
      <c r="B32" s="592" t="s">
        <v>780</v>
      </c>
      <c r="C32" s="593">
        <f>SUM(C26+C27+C30)</f>
        <v>161210251</v>
      </c>
      <c r="D32" s="593">
        <f>SUM(D26+D27+D30)</f>
        <v>176182514</v>
      </c>
      <c r="E32" s="593">
        <f t="shared" si="1"/>
        <v>14972263</v>
      </c>
    </row>
    <row r="33" spans="1:5" s="421" customFormat="1" x14ac:dyDescent="0.2">
      <c r="A33" s="588"/>
      <c r="B33" s="592" t="s">
        <v>467</v>
      </c>
      <c r="C33" s="593">
        <f>SUM(C25+C32)</f>
        <v>266262398</v>
      </c>
      <c r="D33" s="593">
        <f>SUM(D25+D32)</f>
        <v>288287925</v>
      </c>
      <c r="E33" s="593">
        <f t="shared" si="1"/>
        <v>22025527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149192190</v>
      </c>
      <c r="D36" s="590">
        <f t="shared" si="2"/>
        <v>154216460</v>
      </c>
      <c r="E36" s="590">
        <f t="shared" ref="E36:E44" si="3">D36-C36</f>
        <v>5024270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195759432</v>
      </c>
      <c r="D37" s="590">
        <f t="shared" si="2"/>
        <v>207383286</v>
      </c>
      <c r="E37" s="590">
        <f t="shared" si="3"/>
        <v>11623854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81866543</v>
      </c>
      <c r="D38" s="590">
        <f t="shared" si="2"/>
        <v>89953536</v>
      </c>
      <c r="E38" s="590">
        <f t="shared" si="3"/>
        <v>8086993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81866543</v>
      </c>
      <c r="D39" s="590">
        <f t="shared" si="2"/>
        <v>89953536</v>
      </c>
      <c r="E39" s="590">
        <f t="shared" si="3"/>
        <v>8086993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886450</v>
      </c>
      <c r="D41" s="590">
        <f t="shared" si="2"/>
        <v>1538856</v>
      </c>
      <c r="E41" s="590">
        <f t="shared" si="3"/>
        <v>652406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8691798</v>
      </c>
      <c r="D42" s="590">
        <f t="shared" si="2"/>
        <v>7311431</v>
      </c>
      <c r="E42" s="590">
        <f t="shared" si="3"/>
        <v>-1380367</v>
      </c>
    </row>
    <row r="43" spans="1:5" s="421" customFormat="1" x14ac:dyDescent="0.2">
      <c r="A43" s="588"/>
      <c r="B43" s="592" t="s">
        <v>788</v>
      </c>
      <c r="C43" s="593">
        <f>SUM(C37+C38+C41)</f>
        <v>278512425</v>
      </c>
      <c r="D43" s="593">
        <f>SUM(D37+D38+D41)</f>
        <v>298875678</v>
      </c>
      <c r="E43" s="593">
        <f t="shared" si="3"/>
        <v>20363253</v>
      </c>
    </row>
    <row r="44" spans="1:5" s="421" customFormat="1" x14ac:dyDescent="0.2">
      <c r="A44" s="588"/>
      <c r="B44" s="592" t="s">
        <v>725</v>
      </c>
      <c r="C44" s="593">
        <f>SUM(C36+C43)</f>
        <v>427704615</v>
      </c>
      <c r="D44" s="593">
        <f>SUM(D36+D43)</f>
        <v>453092138</v>
      </c>
      <c r="E44" s="593">
        <f t="shared" si="3"/>
        <v>25387523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21278054</v>
      </c>
      <c r="D47" s="589">
        <v>20870629</v>
      </c>
      <c r="E47" s="590">
        <f t="shared" ref="E47:E55" si="4">D47-C47</f>
        <v>-407425</v>
      </c>
    </row>
    <row r="48" spans="1:5" s="421" customFormat="1" x14ac:dyDescent="0.2">
      <c r="A48" s="588">
        <v>2</v>
      </c>
      <c r="B48" s="587" t="s">
        <v>635</v>
      </c>
      <c r="C48" s="589">
        <v>29984757</v>
      </c>
      <c r="D48" s="591">
        <v>31043356</v>
      </c>
      <c r="E48" s="590">
        <f t="shared" si="4"/>
        <v>1058599</v>
      </c>
    </row>
    <row r="49" spans="1:5" s="421" customFormat="1" x14ac:dyDescent="0.2">
      <c r="A49" s="588">
        <v>3</v>
      </c>
      <c r="B49" s="587" t="s">
        <v>777</v>
      </c>
      <c r="C49" s="589">
        <v>6716915</v>
      </c>
      <c r="D49" s="591">
        <v>6607478</v>
      </c>
      <c r="E49" s="590">
        <f t="shared" si="4"/>
        <v>-109437</v>
      </c>
    </row>
    <row r="50" spans="1:5" s="421" customFormat="1" x14ac:dyDescent="0.2">
      <c r="A50" s="588">
        <v>4</v>
      </c>
      <c r="B50" s="587" t="s">
        <v>115</v>
      </c>
      <c r="C50" s="589">
        <v>6716915</v>
      </c>
      <c r="D50" s="591">
        <v>6607478</v>
      </c>
      <c r="E50" s="590">
        <f t="shared" si="4"/>
        <v>-109437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70785</v>
      </c>
      <c r="D52" s="591">
        <v>160387</v>
      </c>
      <c r="E52" s="590">
        <f t="shared" si="4"/>
        <v>89602</v>
      </c>
    </row>
    <row r="53" spans="1:5" s="421" customFormat="1" x14ac:dyDescent="0.2">
      <c r="A53" s="588">
        <v>7</v>
      </c>
      <c r="B53" s="587" t="s">
        <v>758</v>
      </c>
      <c r="C53" s="589">
        <v>10370</v>
      </c>
      <c r="D53" s="591">
        <v>0</v>
      </c>
      <c r="E53" s="590">
        <f t="shared" si="4"/>
        <v>-10370</v>
      </c>
    </row>
    <row r="54" spans="1:5" s="421" customFormat="1" x14ac:dyDescent="0.2">
      <c r="A54" s="588"/>
      <c r="B54" s="592" t="s">
        <v>790</v>
      </c>
      <c r="C54" s="593">
        <f>SUM(C48+C49+C52)</f>
        <v>36772457</v>
      </c>
      <c r="D54" s="593">
        <f>SUM(D48+D49+D52)</f>
        <v>37811221</v>
      </c>
      <c r="E54" s="593">
        <f t="shared" si="4"/>
        <v>1038764</v>
      </c>
    </row>
    <row r="55" spans="1:5" s="421" customFormat="1" x14ac:dyDescent="0.2">
      <c r="A55" s="588"/>
      <c r="B55" s="592" t="s">
        <v>466</v>
      </c>
      <c r="C55" s="593">
        <f>SUM(C47+C54)</f>
        <v>58050511</v>
      </c>
      <c r="D55" s="593">
        <f>SUM(D47+D54)</f>
        <v>58681850</v>
      </c>
      <c r="E55" s="593">
        <f t="shared" si="4"/>
        <v>631339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38805772</v>
      </c>
      <c r="D58" s="589">
        <v>43163596</v>
      </c>
      <c r="E58" s="590">
        <f t="shared" ref="E58:E66" si="5">D58-C58</f>
        <v>4357824</v>
      </c>
    </row>
    <row r="59" spans="1:5" s="421" customFormat="1" x14ac:dyDescent="0.2">
      <c r="A59" s="588">
        <v>2</v>
      </c>
      <c r="B59" s="587" t="s">
        <v>635</v>
      </c>
      <c r="C59" s="589">
        <v>17909657</v>
      </c>
      <c r="D59" s="591">
        <v>20899377</v>
      </c>
      <c r="E59" s="590">
        <f t="shared" si="5"/>
        <v>2989720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11283345</v>
      </c>
      <c r="D60" s="591">
        <f>D61+D62</f>
        <v>13100657</v>
      </c>
      <c r="E60" s="590">
        <f t="shared" si="5"/>
        <v>1817312</v>
      </c>
    </row>
    <row r="61" spans="1:5" s="421" customFormat="1" x14ac:dyDescent="0.2">
      <c r="A61" s="588">
        <v>4</v>
      </c>
      <c r="B61" s="587" t="s">
        <v>115</v>
      </c>
      <c r="C61" s="589">
        <v>11283345</v>
      </c>
      <c r="D61" s="591">
        <v>13100657</v>
      </c>
      <c r="E61" s="590">
        <f t="shared" si="5"/>
        <v>1817312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205727</v>
      </c>
      <c r="D63" s="591">
        <v>123430</v>
      </c>
      <c r="E63" s="590">
        <f t="shared" si="5"/>
        <v>-82297</v>
      </c>
    </row>
    <row r="64" spans="1:5" s="421" customFormat="1" x14ac:dyDescent="0.2">
      <c r="A64" s="588">
        <v>7</v>
      </c>
      <c r="B64" s="587" t="s">
        <v>758</v>
      </c>
      <c r="C64" s="589">
        <v>75205</v>
      </c>
      <c r="D64" s="591">
        <v>67919</v>
      </c>
      <c r="E64" s="590">
        <f t="shared" si="5"/>
        <v>-7286</v>
      </c>
    </row>
    <row r="65" spans="1:5" s="421" customFormat="1" x14ac:dyDescent="0.2">
      <c r="A65" s="588"/>
      <c r="B65" s="592" t="s">
        <v>792</v>
      </c>
      <c r="C65" s="593">
        <f>SUM(C59+C60+C63)</f>
        <v>29398729</v>
      </c>
      <c r="D65" s="593">
        <f>SUM(D59+D60+D63)</f>
        <v>34123464</v>
      </c>
      <c r="E65" s="593">
        <f t="shared" si="5"/>
        <v>4724735</v>
      </c>
    </row>
    <row r="66" spans="1:5" s="421" customFormat="1" x14ac:dyDescent="0.2">
      <c r="A66" s="588"/>
      <c r="B66" s="592" t="s">
        <v>468</v>
      </c>
      <c r="C66" s="593">
        <f>SUM(C58+C65)</f>
        <v>68204501</v>
      </c>
      <c r="D66" s="593">
        <f>SUM(D58+D65)</f>
        <v>77287060</v>
      </c>
      <c r="E66" s="593">
        <f t="shared" si="5"/>
        <v>9082559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60083826</v>
      </c>
      <c r="D69" s="590">
        <f t="shared" si="6"/>
        <v>64034225</v>
      </c>
      <c r="E69" s="590">
        <f t="shared" ref="E69:E77" si="7">D69-C69</f>
        <v>3950399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47894414</v>
      </c>
      <c r="D70" s="590">
        <f t="shared" si="6"/>
        <v>51942733</v>
      </c>
      <c r="E70" s="590">
        <f t="shared" si="7"/>
        <v>4048319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18000260</v>
      </c>
      <c r="D71" s="590">
        <f t="shared" si="6"/>
        <v>19708135</v>
      </c>
      <c r="E71" s="590">
        <f t="shared" si="7"/>
        <v>1707875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18000260</v>
      </c>
      <c r="D72" s="590">
        <f t="shared" si="6"/>
        <v>19708135</v>
      </c>
      <c r="E72" s="590">
        <f t="shared" si="7"/>
        <v>1707875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276512</v>
      </c>
      <c r="D74" s="590">
        <f t="shared" si="6"/>
        <v>283817</v>
      </c>
      <c r="E74" s="590">
        <f t="shared" si="7"/>
        <v>7305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85575</v>
      </c>
      <c r="D75" s="590">
        <f t="shared" si="6"/>
        <v>67919</v>
      </c>
      <c r="E75" s="590">
        <f t="shared" si="7"/>
        <v>-17656</v>
      </c>
    </row>
    <row r="76" spans="1:5" s="421" customFormat="1" x14ac:dyDescent="0.2">
      <c r="A76" s="588"/>
      <c r="B76" s="592" t="s">
        <v>793</v>
      </c>
      <c r="C76" s="593">
        <f>SUM(C70+C71+C74)</f>
        <v>66171186</v>
      </c>
      <c r="D76" s="593">
        <f>SUM(D70+D71+D74)</f>
        <v>71934685</v>
      </c>
      <c r="E76" s="593">
        <f t="shared" si="7"/>
        <v>5763499</v>
      </c>
    </row>
    <row r="77" spans="1:5" s="421" customFormat="1" x14ac:dyDescent="0.2">
      <c r="A77" s="588"/>
      <c r="B77" s="592" t="s">
        <v>726</v>
      </c>
      <c r="C77" s="593">
        <f>SUM(C69+C76)</f>
        <v>126255012</v>
      </c>
      <c r="D77" s="593">
        <f>SUM(D69+D76)</f>
        <v>135968910</v>
      </c>
      <c r="E77" s="593">
        <f t="shared" si="7"/>
        <v>9713898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0.10320216675707369</v>
      </c>
      <c r="D83" s="599">
        <f t="shared" si="8"/>
        <v>9.2941469224963685E-2</v>
      </c>
      <c r="E83" s="599">
        <f t="shared" ref="E83:E91" si="9">D83-C83</f>
        <v>-1.0260697532110008E-2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0.20745306898313454</v>
      </c>
      <c r="D84" s="599">
        <f t="shared" si="8"/>
        <v>0.20355109097037566</v>
      </c>
      <c r="E84" s="599">
        <f t="shared" si="9"/>
        <v>-3.9019780127588777E-3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6.6306015893702719E-2</v>
      </c>
      <c r="D85" s="599">
        <f t="shared" si="8"/>
        <v>6.628619541396677E-2</v>
      </c>
      <c r="E85" s="599">
        <f t="shared" si="9"/>
        <v>-1.9820479735949137E-5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6.6306015893702719E-2</v>
      </c>
      <c r="D86" s="599">
        <f t="shared" si="8"/>
        <v>6.628619541396677E-2</v>
      </c>
      <c r="E86" s="599">
        <f t="shared" si="9"/>
        <v>-1.9820479735949137E-5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5.0069602358627813E-4</v>
      </c>
      <c r="D88" s="599">
        <f t="shared" si="8"/>
        <v>9.5347273494293119E-4</v>
      </c>
      <c r="E88" s="599">
        <f t="shared" si="9"/>
        <v>4.5277671135665306E-4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4.7374634945194592E-3</v>
      </c>
      <c r="D89" s="599">
        <f t="shared" si="8"/>
        <v>3.2223313484199103E-3</v>
      </c>
      <c r="E89" s="599">
        <f t="shared" si="9"/>
        <v>-1.5151321460995489E-3</v>
      </c>
    </row>
    <row r="90" spans="1:5" s="421" customFormat="1" x14ac:dyDescent="0.2">
      <c r="A90" s="588"/>
      <c r="B90" s="592" t="s">
        <v>796</v>
      </c>
      <c r="C90" s="600">
        <f>SUM(C84+C85+C88)</f>
        <v>0.27425978090042352</v>
      </c>
      <c r="D90" s="600">
        <f>SUM(D84+D85+D88)</f>
        <v>0.27079075911928541</v>
      </c>
      <c r="E90" s="601">
        <f t="shared" si="9"/>
        <v>-3.4690217811381152E-3</v>
      </c>
    </row>
    <row r="91" spans="1:5" s="421" customFormat="1" x14ac:dyDescent="0.2">
      <c r="A91" s="588"/>
      <c r="B91" s="592" t="s">
        <v>797</v>
      </c>
      <c r="C91" s="600">
        <f>SUM(C83+C90)</f>
        <v>0.37746194765749719</v>
      </c>
      <c r="D91" s="600">
        <f>SUM(D83+D90)</f>
        <v>0.36373222834424912</v>
      </c>
      <c r="E91" s="601">
        <f t="shared" si="9"/>
        <v>-1.3729719313248068E-2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0.24561845562503459</v>
      </c>
      <c r="D95" s="599">
        <f t="shared" si="10"/>
        <v>0.2474229888314681</v>
      </c>
      <c r="E95" s="599">
        <f t="shared" ref="E95:E103" si="11">D95-C95</f>
        <v>1.8045332064335062E-3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0.25024466242899907</v>
      </c>
      <c r="D96" s="599">
        <f t="shared" si="10"/>
        <v>0.25415556206362599</v>
      </c>
      <c r="E96" s="599">
        <f t="shared" si="11"/>
        <v>3.9108996346269298E-3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0.12510305506055855</v>
      </c>
      <c r="D97" s="599">
        <f t="shared" si="10"/>
        <v>0.1322463511825491</v>
      </c>
      <c r="E97" s="599">
        <f t="shared" si="11"/>
        <v>7.14329612199055E-3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0.12510305506055855</v>
      </c>
      <c r="D98" s="599">
        <f t="shared" si="10"/>
        <v>0.1322463511825491</v>
      </c>
      <c r="E98" s="599">
        <f t="shared" si="11"/>
        <v>7.14329612199055E-3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1.571879227910599E-3</v>
      </c>
      <c r="D100" s="599">
        <f t="shared" si="10"/>
        <v>2.4428695781077534E-3</v>
      </c>
      <c r="E100" s="599">
        <f t="shared" si="11"/>
        <v>8.7099035019715435E-4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1.5584500999597585E-2</v>
      </c>
      <c r="D101" s="599">
        <f t="shared" si="10"/>
        <v>1.2914410799156263E-2</v>
      </c>
      <c r="E101" s="599">
        <f t="shared" si="11"/>
        <v>-2.6700902004413215E-3</v>
      </c>
    </row>
    <row r="102" spans="1:5" s="421" customFormat="1" x14ac:dyDescent="0.2">
      <c r="A102" s="588"/>
      <c r="B102" s="592" t="s">
        <v>799</v>
      </c>
      <c r="C102" s="600">
        <f>SUM(C96+C97+C100)</f>
        <v>0.37691959671746822</v>
      </c>
      <c r="D102" s="600">
        <f>SUM(D96+D97+D100)</f>
        <v>0.38884478282428286</v>
      </c>
      <c r="E102" s="601">
        <f t="shared" si="11"/>
        <v>1.1925186106814645E-2</v>
      </c>
    </row>
    <row r="103" spans="1:5" s="421" customFormat="1" x14ac:dyDescent="0.2">
      <c r="A103" s="588"/>
      <c r="B103" s="592" t="s">
        <v>800</v>
      </c>
      <c r="C103" s="600">
        <f>SUM(C95+C102)</f>
        <v>0.62253805234250281</v>
      </c>
      <c r="D103" s="600">
        <f>SUM(D95+D102)</f>
        <v>0.63626777165575099</v>
      </c>
      <c r="E103" s="601">
        <f t="shared" si="11"/>
        <v>1.3729719313248179E-2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0.16853235101668676</v>
      </c>
      <c r="D109" s="599">
        <f t="shared" si="12"/>
        <v>0.15349559689784967</v>
      </c>
      <c r="E109" s="599">
        <f t="shared" ref="E109:E117" si="13">D109-C109</f>
        <v>-1.5036754118837092E-2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0.23749359748189641</v>
      </c>
      <c r="D110" s="599">
        <f t="shared" si="12"/>
        <v>0.22831216342029953</v>
      </c>
      <c r="E110" s="599">
        <f t="shared" si="13"/>
        <v>-9.1814340615968826E-3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5.3201175094736042E-2</v>
      </c>
      <c r="D111" s="599">
        <f t="shared" si="12"/>
        <v>4.8595506134453827E-2</v>
      </c>
      <c r="E111" s="599">
        <f t="shared" si="13"/>
        <v>-4.6056689602822151E-3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5.3201175094736042E-2</v>
      </c>
      <c r="D112" s="599">
        <f t="shared" si="12"/>
        <v>4.8595506134453827E-2</v>
      </c>
      <c r="E112" s="599">
        <f t="shared" si="13"/>
        <v>-4.6056689602822151E-3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5.6065101003673426E-4</v>
      </c>
      <c r="D114" s="599">
        <f t="shared" si="12"/>
        <v>1.179585833261442E-3</v>
      </c>
      <c r="E114" s="599">
        <f t="shared" si="13"/>
        <v>6.1893482322470772E-4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8.2135353169187456E-5</v>
      </c>
      <c r="D115" s="599">
        <f t="shared" si="12"/>
        <v>0</v>
      </c>
      <c r="E115" s="599">
        <f t="shared" si="13"/>
        <v>-8.2135353169187456E-5</v>
      </c>
    </row>
    <row r="116" spans="1:5" s="421" customFormat="1" x14ac:dyDescent="0.2">
      <c r="A116" s="588"/>
      <c r="B116" s="592" t="s">
        <v>796</v>
      </c>
      <c r="C116" s="600">
        <f>SUM(C110+C111+C114)</f>
        <v>0.29125542358666917</v>
      </c>
      <c r="D116" s="600">
        <f>SUM(D110+D111+D114)</f>
        <v>0.27808725538801482</v>
      </c>
      <c r="E116" s="601">
        <f t="shared" si="13"/>
        <v>-1.3168168198654351E-2</v>
      </c>
    </row>
    <row r="117" spans="1:5" s="421" customFormat="1" x14ac:dyDescent="0.2">
      <c r="A117" s="588"/>
      <c r="B117" s="592" t="s">
        <v>797</v>
      </c>
      <c r="C117" s="600">
        <f>SUM(C109+C116)</f>
        <v>0.45978777460335596</v>
      </c>
      <c r="D117" s="600">
        <f>SUM(D109+D116)</f>
        <v>0.43158285228586446</v>
      </c>
      <c r="E117" s="601">
        <f t="shared" si="13"/>
        <v>-2.8204922317491499E-2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0.30736024958755698</v>
      </c>
      <c r="D121" s="599">
        <f t="shared" si="14"/>
        <v>0.31745195280303418</v>
      </c>
      <c r="E121" s="599">
        <f t="shared" ref="E121:E129" si="15">D121-C121</f>
        <v>1.0091703215477199E-2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0.14185303788177533</v>
      </c>
      <c r="D122" s="599">
        <f t="shared" si="14"/>
        <v>0.15370702758446766</v>
      </c>
      <c r="E122" s="599">
        <f t="shared" si="15"/>
        <v>1.185398970269233E-2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8.9369481823026564E-2</v>
      </c>
      <c r="D123" s="599">
        <f t="shared" si="14"/>
        <v>9.6350386275803779E-2</v>
      </c>
      <c r="E123" s="599">
        <f t="shared" si="15"/>
        <v>6.9809044527772146E-3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8.9369481823026564E-2</v>
      </c>
      <c r="D124" s="599">
        <f t="shared" si="14"/>
        <v>9.6350386275803779E-2</v>
      </c>
      <c r="E124" s="599">
        <f t="shared" si="15"/>
        <v>6.9809044527772146E-3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1.6294561042851908E-3</v>
      </c>
      <c r="D126" s="599">
        <f t="shared" si="14"/>
        <v>9.0778105082992867E-4</v>
      </c>
      <c r="E126" s="599">
        <f t="shared" si="15"/>
        <v>-7.216750534552621E-4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5.9565952122360097E-4</v>
      </c>
      <c r="D127" s="599">
        <f t="shared" si="14"/>
        <v>4.9951860318656668E-4</v>
      </c>
      <c r="E127" s="599">
        <f t="shared" si="15"/>
        <v>-9.6140918037034289E-5</v>
      </c>
    </row>
    <row r="128" spans="1:5" s="421" customFormat="1" x14ac:dyDescent="0.2">
      <c r="A128" s="588"/>
      <c r="B128" s="592" t="s">
        <v>799</v>
      </c>
      <c r="C128" s="600">
        <f>SUM(C122+C123+C126)</f>
        <v>0.23285197580908709</v>
      </c>
      <c r="D128" s="600">
        <f>SUM(D122+D123+D126)</f>
        <v>0.25096519491110142</v>
      </c>
      <c r="E128" s="601">
        <f t="shared" si="15"/>
        <v>1.8113219102014327E-2</v>
      </c>
    </row>
    <row r="129" spans="1:5" s="421" customFormat="1" x14ac:dyDescent="0.2">
      <c r="A129" s="588"/>
      <c r="B129" s="592" t="s">
        <v>800</v>
      </c>
      <c r="C129" s="600">
        <f>SUM(C121+C128)</f>
        <v>0.54021222539664404</v>
      </c>
      <c r="D129" s="600">
        <f>SUM(D121+D128)</f>
        <v>0.56841714771413554</v>
      </c>
      <c r="E129" s="601">
        <f t="shared" si="15"/>
        <v>2.8204922317491499E-2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2202</v>
      </c>
      <c r="D137" s="606">
        <v>2116</v>
      </c>
      <c r="E137" s="607">
        <f t="shared" ref="E137:E145" si="16">D137-C137</f>
        <v>-86</v>
      </c>
    </row>
    <row r="138" spans="1:5" s="421" customFormat="1" x14ac:dyDescent="0.2">
      <c r="A138" s="588">
        <v>2</v>
      </c>
      <c r="B138" s="587" t="s">
        <v>635</v>
      </c>
      <c r="C138" s="606">
        <v>3584</v>
      </c>
      <c r="D138" s="606">
        <v>3410</v>
      </c>
      <c r="E138" s="607">
        <f t="shared" si="16"/>
        <v>-174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1646</v>
      </c>
      <c r="D139" s="606">
        <f>D140+D141</f>
        <v>1797</v>
      </c>
      <c r="E139" s="607">
        <f t="shared" si="16"/>
        <v>151</v>
      </c>
    </row>
    <row r="140" spans="1:5" s="421" customFormat="1" x14ac:dyDescent="0.2">
      <c r="A140" s="588">
        <v>4</v>
      </c>
      <c r="B140" s="587" t="s">
        <v>115</v>
      </c>
      <c r="C140" s="606">
        <v>1646</v>
      </c>
      <c r="D140" s="606">
        <v>1797</v>
      </c>
      <c r="E140" s="607">
        <f t="shared" si="16"/>
        <v>151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16</v>
      </c>
      <c r="D142" s="606">
        <v>26</v>
      </c>
      <c r="E142" s="607">
        <f t="shared" si="16"/>
        <v>10</v>
      </c>
    </row>
    <row r="143" spans="1:5" s="421" customFormat="1" x14ac:dyDescent="0.2">
      <c r="A143" s="588">
        <v>7</v>
      </c>
      <c r="B143" s="587" t="s">
        <v>758</v>
      </c>
      <c r="C143" s="606">
        <v>132</v>
      </c>
      <c r="D143" s="606">
        <v>113</v>
      </c>
      <c r="E143" s="607">
        <f t="shared" si="16"/>
        <v>-19</v>
      </c>
    </row>
    <row r="144" spans="1:5" s="421" customFormat="1" x14ac:dyDescent="0.2">
      <c r="A144" s="588"/>
      <c r="B144" s="592" t="s">
        <v>807</v>
      </c>
      <c r="C144" s="608">
        <f>SUM(C138+C139+C142)</f>
        <v>5246</v>
      </c>
      <c r="D144" s="608">
        <f>SUM(D138+D139+D142)</f>
        <v>5233</v>
      </c>
      <c r="E144" s="609">
        <f t="shared" si="16"/>
        <v>-13</v>
      </c>
    </row>
    <row r="145" spans="1:5" s="421" customFormat="1" x14ac:dyDescent="0.2">
      <c r="A145" s="588"/>
      <c r="B145" s="592" t="s">
        <v>138</v>
      </c>
      <c r="C145" s="608">
        <f>SUM(C137+C144)</f>
        <v>7448</v>
      </c>
      <c r="D145" s="608">
        <f>SUM(D137+D144)</f>
        <v>7349</v>
      </c>
      <c r="E145" s="609">
        <f t="shared" si="16"/>
        <v>-99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7164</v>
      </c>
      <c r="D149" s="610">
        <v>6986</v>
      </c>
      <c r="E149" s="607">
        <f t="shared" ref="E149:E157" si="17">D149-C149</f>
        <v>-178</v>
      </c>
    </row>
    <row r="150" spans="1:5" s="421" customFormat="1" x14ac:dyDescent="0.2">
      <c r="A150" s="588">
        <v>2</v>
      </c>
      <c r="B150" s="587" t="s">
        <v>635</v>
      </c>
      <c r="C150" s="610">
        <v>16506</v>
      </c>
      <c r="D150" s="610">
        <v>16245</v>
      </c>
      <c r="E150" s="607">
        <f t="shared" si="17"/>
        <v>-261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5997</v>
      </c>
      <c r="D151" s="610">
        <f>D152+D153</f>
        <v>6529</v>
      </c>
      <c r="E151" s="607">
        <f t="shared" si="17"/>
        <v>532</v>
      </c>
    </row>
    <row r="152" spans="1:5" s="421" customFormat="1" x14ac:dyDescent="0.2">
      <c r="A152" s="588">
        <v>4</v>
      </c>
      <c r="B152" s="587" t="s">
        <v>115</v>
      </c>
      <c r="C152" s="610">
        <v>5997</v>
      </c>
      <c r="D152" s="610">
        <v>6529</v>
      </c>
      <c r="E152" s="607">
        <f t="shared" si="17"/>
        <v>532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43</v>
      </c>
      <c r="D154" s="610">
        <v>70</v>
      </c>
      <c r="E154" s="607">
        <f t="shared" si="17"/>
        <v>27</v>
      </c>
    </row>
    <row r="155" spans="1:5" s="421" customFormat="1" x14ac:dyDescent="0.2">
      <c r="A155" s="588">
        <v>7</v>
      </c>
      <c r="B155" s="587" t="s">
        <v>758</v>
      </c>
      <c r="C155" s="610">
        <v>368</v>
      </c>
      <c r="D155" s="610">
        <v>375</v>
      </c>
      <c r="E155" s="607">
        <f t="shared" si="17"/>
        <v>7</v>
      </c>
    </row>
    <row r="156" spans="1:5" s="421" customFormat="1" x14ac:dyDescent="0.2">
      <c r="A156" s="588"/>
      <c r="B156" s="592" t="s">
        <v>808</v>
      </c>
      <c r="C156" s="608">
        <f>SUM(C150+C151+C154)</f>
        <v>22546</v>
      </c>
      <c r="D156" s="608">
        <f>SUM(D150+D151+D154)</f>
        <v>22844</v>
      </c>
      <c r="E156" s="609">
        <f t="shared" si="17"/>
        <v>298</v>
      </c>
    </row>
    <row r="157" spans="1:5" s="421" customFormat="1" x14ac:dyDescent="0.2">
      <c r="A157" s="588"/>
      <c r="B157" s="592" t="s">
        <v>140</v>
      </c>
      <c r="C157" s="608">
        <f>SUM(C149+C156)</f>
        <v>29710</v>
      </c>
      <c r="D157" s="608">
        <f>SUM(D149+D156)</f>
        <v>29830</v>
      </c>
      <c r="E157" s="609">
        <f t="shared" si="17"/>
        <v>120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3.2534059945504086</v>
      </c>
      <c r="D161" s="612">
        <f t="shared" si="18"/>
        <v>3.3015122873345937</v>
      </c>
      <c r="E161" s="613">
        <f t="shared" ref="E161:E169" si="19">D161-C161</f>
        <v>4.8106292784185101E-2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4.60546875</v>
      </c>
      <c r="D162" s="612">
        <f t="shared" si="18"/>
        <v>4.7639296187683282</v>
      </c>
      <c r="E162" s="613">
        <f t="shared" si="19"/>
        <v>0.15846086876832821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3.643377885783718</v>
      </c>
      <c r="D163" s="612">
        <f t="shared" si="18"/>
        <v>3.6332776850306066</v>
      </c>
      <c r="E163" s="613">
        <f t="shared" si="19"/>
        <v>-1.0100200753111466E-2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3.643377885783718</v>
      </c>
      <c r="D164" s="612">
        <f t="shared" si="18"/>
        <v>3.6332776850306066</v>
      </c>
      <c r="E164" s="613">
        <f t="shared" si="19"/>
        <v>-1.0100200753111466E-2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2.6875</v>
      </c>
      <c r="D166" s="612">
        <f t="shared" si="18"/>
        <v>2.6923076923076925</v>
      </c>
      <c r="E166" s="613">
        <f t="shared" si="19"/>
        <v>4.8076923076925127E-3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2.7878787878787881</v>
      </c>
      <c r="D167" s="612">
        <f t="shared" si="18"/>
        <v>3.3185840707964602</v>
      </c>
      <c r="E167" s="613">
        <f t="shared" si="19"/>
        <v>0.53070528291767216</v>
      </c>
    </row>
    <row r="168" spans="1:5" s="421" customFormat="1" x14ac:dyDescent="0.2">
      <c r="A168" s="588"/>
      <c r="B168" s="592" t="s">
        <v>810</v>
      </c>
      <c r="C168" s="614">
        <f t="shared" si="18"/>
        <v>4.2977506671749905</v>
      </c>
      <c r="D168" s="614">
        <f t="shared" si="18"/>
        <v>4.3653735906745652</v>
      </c>
      <c r="E168" s="615">
        <f t="shared" si="19"/>
        <v>6.7622923499574661E-2</v>
      </c>
    </row>
    <row r="169" spans="1:5" s="421" customFormat="1" x14ac:dyDescent="0.2">
      <c r="A169" s="588"/>
      <c r="B169" s="592" t="s">
        <v>744</v>
      </c>
      <c r="C169" s="614">
        <f t="shared" si="18"/>
        <v>3.9889903329752956</v>
      </c>
      <c r="D169" s="614">
        <f t="shared" si="18"/>
        <v>4.0590556538304527</v>
      </c>
      <c r="E169" s="615">
        <f t="shared" si="19"/>
        <v>7.0065320855157154E-2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1.024</v>
      </c>
      <c r="D173" s="617">
        <f t="shared" si="20"/>
        <v>1.0463</v>
      </c>
      <c r="E173" s="618">
        <f t="shared" ref="E173:E181" si="21">D173-C173</f>
        <v>2.2299999999999986E-2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1.2510999999999999</v>
      </c>
      <c r="D174" s="617">
        <f t="shared" si="20"/>
        <v>1.3063999999999998</v>
      </c>
      <c r="E174" s="618">
        <f t="shared" si="21"/>
        <v>5.5299999999999905E-2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0.94910000000000005</v>
      </c>
      <c r="D175" s="617">
        <f t="shared" si="20"/>
        <v>0.94319999999999993</v>
      </c>
      <c r="E175" s="618">
        <f t="shared" si="21"/>
        <v>-5.9000000000001274E-3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0.94910000000000005</v>
      </c>
      <c r="D176" s="617">
        <f t="shared" si="20"/>
        <v>0.94319999999999993</v>
      </c>
      <c r="E176" s="618">
        <f t="shared" si="21"/>
        <v>-5.9000000000001274E-3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0.74550000000000005</v>
      </c>
      <c r="D178" s="617">
        <f t="shared" si="20"/>
        <v>1.0066999999999999</v>
      </c>
      <c r="E178" s="618">
        <f t="shared" si="21"/>
        <v>0.26119999999999988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1.0887</v>
      </c>
      <c r="D179" s="617">
        <f t="shared" si="20"/>
        <v>1.1760000000000002</v>
      </c>
      <c r="E179" s="618">
        <f t="shared" si="21"/>
        <v>8.7300000000000155E-2</v>
      </c>
    </row>
    <row r="180" spans="1:5" s="421" customFormat="1" x14ac:dyDescent="0.2">
      <c r="A180" s="588"/>
      <c r="B180" s="592" t="s">
        <v>812</v>
      </c>
      <c r="C180" s="619">
        <f t="shared" si="20"/>
        <v>1.154801563095692</v>
      </c>
      <c r="D180" s="619">
        <f t="shared" si="20"/>
        <v>1.1801889164914963</v>
      </c>
      <c r="E180" s="620">
        <f t="shared" si="21"/>
        <v>2.5387353395804224E-2</v>
      </c>
    </row>
    <row r="181" spans="1:5" s="421" customFormat="1" x14ac:dyDescent="0.2">
      <c r="A181" s="588"/>
      <c r="B181" s="592" t="s">
        <v>723</v>
      </c>
      <c r="C181" s="619">
        <f t="shared" si="20"/>
        <v>1.1161301020408163</v>
      </c>
      <c r="D181" s="619">
        <f t="shared" si="20"/>
        <v>1.1416382364947613</v>
      </c>
      <c r="E181" s="620">
        <f t="shared" si="21"/>
        <v>2.5508134453944953E-2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135913793</v>
      </c>
      <c r="D185" s="589">
        <v>142326436</v>
      </c>
      <c r="E185" s="590">
        <f>D185-C185</f>
        <v>6412643</v>
      </c>
    </row>
    <row r="186" spans="1:5" s="421" customFormat="1" ht="25.5" x14ac:dyDescent="0.2">
      <c r="A186" s="588">
        <v>2</v>
      </c>
      <c r="B186" s="587" t="s">
        <v>815</v>
      </c>
      <c r="C186" s="589">
        <v>64368275</v>
      </c>
      <c r="D186" s="589">
        <v>68862450</v>
      </c>
      <c r="E186" s="590">
        <f>D186-C186</f>
        <v>4494175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71545518</v>
      </c>
      <c r="D188" s="622">
        <f>+D185-D186</f>
        <v>73463986</v>
      </c>
      <c r="E188" s="590">
        <f t="shared" ref="E188:E197" si="22">D188-C188</f>
        <v>1918468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0.52640365941372858</v>
      </c>
      <c r="D189" s="623">
        <f>IF(D185=0,0,+D188/D185)</f>
        <v>0.51616542973084778</v>
      </c>
      <c r="E189" s="599">
        <f t="shared" si="22"/>
        <v>-1.0238229682880795E-2</v>
      </c>
    </row>
    <row r="190" spans="1:5" s="421" customFormat="1" x14ac:dyDescent="0.2">
      <c r="A190" s="588">
        <v>5</v>
      </c>
      <c r="B190" s="587" t="s">
        <v>762</v>
      </c>
      <c r="C190" s="589">
        <v>5275587</v>
      </c>
      <c r="D190" s="589">
        <v>7512816</v>
      </c>
      <c r="E190" s="622">
        <f t="shared" si="22"/>
        <v>2237229</v>
      </c>
    </row>
    <row r="191" spans="1:5" s="421" customFormat="1" x14ac:dyDescent="0.2">
      <c r="A191" s="588">
        <v>6</v>
      </c>
      <c r="B191" s="587" t="s">
        <v>748</v>
      </c>
      <c r="C191" s="589">
        <v>3825586</v>
      </c>
      <c r="D191" s="589">
        <v>6062816</v>
      </c>
      <c r="E191" s="622">
        <f t="shared" si="22"/>
        <v>2237230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5306456</v>
      </c>
      <c r="D193" s="589">
        <v>4530623</v>
      </c>
      <c r="E193" s="622">
        <f t="shared" si="22"/>
        <v>-775833</v>
      </c>
    </row>
    <row r="194" spans="1:5" s="421" customFormat="1" x14ac:dyDescent="0.2">
      <c r="A194" s="588">
        <v>9</v>
      </c>
      <c r="B194" s="587" t="s">
        <v>818</v>
      </c>
      <c r="C194" s="589">
        <v>4909425</v>
      </c>
      <c r="D194" s="589">
        <v>4007799</v>
      </c>
      <c r="E194" s="622">
        <f t="shared" si="22"/>
        <v>-901626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10215881</v>
      </c>
      <c r="D195" s="589">
        <f>+D193+D194</f>
        <v>8538422</v>
      </c>
      <c r="E195" s="625">
        <f t="shared" si="22"/>
        <v>-1677459</v>
      </c>
    </row>
    <row r="196" spans="1:5" s="421" customFormat="1" x14ac:dyDescent="0.2">
      <c r="A196" s="588">
        <v>11</v>
      </c>
      <c r="B196" s="587" t="s">
        <v>820</v>
      </c>
      <c r="C196" s="589">
        <v>4242269</v>
      </c>
      <c r="D196" s="589">
        <v>4301391</v>
      </c>
      <c r="E196" s="622">
        <f t="shared" si="22"/>
        <v>59122</v>
      </c>
    </row>
    <row r="197" spans="1:5" s="421" customFormat="1" x14ac:dyDescent="0.2">
      <c r="A197" s="588">
        <v>12</v>
      </c>
      <c r="B197" s="587" t="s">
        <v>710</v>
      </c>
      <c r="C197" s="589">
        <v>129703674</v>
      </c>
      <c r="D197" s="589">
        <v>141228949</v>
      </c>
      <c r="E197" s="622">
        <f t="shared" si="22"/>
        <v>11525275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2254.848</v>
      </c>
      <c r="D203" s="629">
        <v>2213.9708000000001</v>
      </c>
      <c r="E203" s="630">
        <f t="shared" ref="E203:E211" si="23">D203-C203</f>
        <v>-40.877199999999903</v>
      </c>
    </row>
    <row r="204" spans="1:5" s="421" customFormat="1" x14ac:dyDescent="0.2">
      <c r="A204" s="588">
        <v>2</v>
      </c>
      <c r="B204" s="587" t="s">
        <v>635</v>
      </c>
      <c r="C204" s="629">
        <v>4483.9423999999999</v>
      </c>
      <c r="D204" s="629">
        <v>4454.8239999999996</v>
      </c>
      <c r="E204" s="630">
        <f t="shared" si="23"/>
        <v>-29.118400000000292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1562.2186000000002</v>
      </c>
      <c r="D205" s="629">
        <f>D206+D207</f>
        <v>1694.9304</v>
      </c>
      <c r="E205" s="630">
        <f t="shared" si="23"/>
        <v>132.71179999999981</v>
      </c>
    </row>
    <row r="206" spans="1:5" s="421" customFormat="1" x14ac:dyDescent="0.2">
      <c r="A206" s="588">
        <v>4</v>
      </c>
      <c r="B206" s="587" t="s">
        <v>115</v>
      </c>
      <c r="C206" s="629">
        <v>1562.2186000000002</v>
      </c>
      <c r="D206" s="629">
        <v>1694.9304</v>
      </c>
      <c r="E206" s="630">
        <f t="shared" si="23"/>
        <v>132.71179999999981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11.928000000000001</v>
      </c>
      <c r="D208" s="629">
        <v>26.174199999999999</v>
      </c>
      <c r="E208" s="630">
        <f t="shared" si="23"/>
        <v>14.246199999999998</v>
      </c>
    </row>
    <row r="209" spans="1:5" s="421" customFormat="1" x14ac:dyDescent="0.2">
      <c r="A209" s="588">
        <v>7</v>
      </c>
      <c r="B209" s="587" t="s">
        <v>758</v>
      </c>
      <c r="C209" s="629">
        <v>143.70840000000001</v>
      </c>
      <c r="D209" s="629">
        <v>132.88800000000001</v>
      </c>
      <c r="E209" s="630">
        <f t="shared" si="23"/>
        <v>-10.820400000000006</v>
      </c>
    </row>
    <row r="210" spans="1:5" s="421" customFormat="1" x14ac:dyDescent="0.2">
      <c r="A210" s="588"/>
      <c r="B210" s="592" t="s">
        <v>823</v>
      </c>
      <c r="C210" s="631">
        <f>C204+C205+C208</f>
        <v>6058.0889999999999</v>
      </c>
      <c r="D210" s="631">
        <f>D204+D205+D208</f>
        <v>6175.9286000000002</v>
      </c>
      <c r="E210" s="632">
        <f t="shared" si="23"/>
        <v>117.83960000000025</v>
      </c>
    </row>
    <row r="211" spans="1:5" s="421" customFormat="1" x14ac:dyDescent="0.2">
      <c r="A211" s="588"/>
      <c r="B211" s="592" t="s">
        <v>724</v>
      </c>
      <c r="C211" s="631">
        <f>C210+C203</f>
        <v>8312.9369999999999</v>
      </c>
      <c r="D211" s="631">
        <f>D210+D203</f>
        <v>8389.8994000000002</v>
      </c>
      <c r="E211" s="632">
        <f t="shared" si="23"/>
        <v>76.962400000000343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5240.7023639283725</v>
      </c>
      <c r="D215" s="633">
        <f>IF(D14*D137=0,0,D25/D14*D137)</f>
        <v>5633.0833666955195</v>
      </c>
      <c r="E215" s="633">
        <f t="shared" ref="E215:E223" si="24">D215-C215</f>
        <v>392.38100276714704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4323.2759801613083</v>
      </c>
      <c r="D216" s="633">
        <f>IF(D15*D138=0,0,D26/D15*D138)</f>
        <v>4257.7539747163419</v>
      </c>
      <c r="E216" s="633">
        <f t="shared" si="24"/>
        <v>-65.522005444966453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3105.5949577757124</v>
      </c>
      <c r="D217" s="633">
        <f>D218+D219</f>
        <v>3585.1611574763515</v>
      </c>
      <c r="E217" s="633">
        <f t="shared" si="24"/>
        <v>479.56619970063912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3105.5949577757124</v>
      </c>
      <c r="D218" s="633">
        <f t="shared" si="25"/>
        <v>3585.1611574763515</v>
      </c>
      <c r="E218" s="633">
        <f t="shared" si="24"/>
        <v>479.56619970063912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50.230212467896337</v>
      </c>
      <c r="D220" s="633">
        <f t="shared" si="25"/>
        <v>66.613975107115323</v>
      </c>
      <c r="E220" s="633">
        <f t="shared" si="24"/>
        <v>16.383762639218986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434.23113113730642</v>
      </c>
      <c r="D221" s="633">
        <f t="shared" si="25"/>
        <v>452.87968942742287</v>
      </c>
      <c r="E221" s="633">
        <f t="shared" si="24"/>
        <v>18.648558290116455</v>
      </c>
    </row>
    <row r="222" spans="1:5" s="421" customFormat="1" x14ac:dyDescent="0.2">
      <c r="A222" s="588"/>
      <c r="B222" s="592" t="s">
        <v>825</v>
      </c>
      <c r="C222" s="634">
        <f>C216+C218+C219+C220</f>
        <v>7479.1011504049175</v>
      </c>
      <c r="D222" s="634">
        <f>D216+D218+D219+D220</f>
        <v>7909.5291072998079</v>
      </c>
      <c r="E222" s="634">
        <f t="shared" si="24"/>
        <v>430.42795689489049</v>
      </c>
    </row>
    <row r="223" spans="1:5" s="421" customFormat="1" x14ac:dyDescent="0.2">
      <c r="A223" s="588"/>
      <c r="B223" s="592" t="s">
        <v>826</v>
      </c>
      <c r="C223" s="634">
        <f>C215+C222</f>
        <v>12719.803514333289</v>
      </c>
      <c r="D223" s="634">
        <f>D215+D222</f>
        <v>13542.612473995327</v>
      </c>
      <c r="E223" s="634">
        <f t="shared" si="24"/>
        <v>822.80895966203752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9436.5802040758408</v>
      </c>
      <c r="D227" s="636">
        <f t="shared" si="26"/>
        <v>9426.7860262655668</v>
      </c>
      <c r="E227" s="636">
        <f t="shared" ref="E227:E235" si="27">D227-C227</f>
        <v>-9.79417781027405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6687.1414316116106</v>
      </c>
      <c r="D228" s="636">
        <f t="shared" si="26"/>
        <v>6968.4809096835261</v>
      </c>
      <c r="E228" s="636">
        <f t="shared" si="27"/>
        <v>281.33947807191544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4299.5999407509289</v>
      </c>
      <c r="D229" s="636">
        <f t="shared" si="26"/>
        <v>3898.3771841014832</v>
      </c>
      <c r="E229" s="636">
        <f t="shared" si="27"/>
        <v>-401.22275664944573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4299.5999407509289</v>
      </c>
      <c r="D230" s="636">
        <f t="shared" si="26"/>
        <v>3898.3771841014832</v>
      </c>
      <c r="E230" s="636">
        <f t="shared" si="27"/>
        <v>-401.22275664944573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5934.3561368209248</v>
      </c>
      <c r="D232" s="636">
        <f t="shared" si="26"/>
        <v>6127.6753444231344</v>
      </c>
      <c r="E232" s="636">
        <f t="shared" si="27"/>
        <v>193.31920760220964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72.160012915041847</v>
      </c>
      <c r="D233" s="636">
        <f t="shared" si="26"/>
        <v>0</v>
      </c>
      <c r="E233" s="636">
        <f t="shared" si="27"/>
        <v>-72.160012915041847</v>
      </c>
    </row>
    <row r="234" spans="1:5" x14ac:dyDescent="0.2">
      <c r="A234" s="588"/>
      <c r="B234" s="592" t="s">
        <v>828</v>
      </c>
      <c r="C234" s="637">
        <f t="shared" si="26"/>
        <v>6069.9763572308029</v>
      </c>
      <c r="D234" s="637">
        <f t="shared" si="26"/>
        <v>6122.353972809854</v>
      </c>
      <c r="E234" s="637">
        <f t="shared" si="27"/>
        <v>52.377615579051053</v>
      </c>
    </row>
    <row r="235" spans="1:5" s="421" customFormat="1" x14ac:dyDescent="0.2">
      <c r="A235" s="588"/>
      <c r="B235" s="592" t="s">
        <v>829</v>
      </c>
      <c r="C235" s="637">
        <f t="shared" si="26"/>
        <v>6983.153005971295</v>
      </c>
      <c r="D235" s="637">
        <f t="shared" si="26"/>
        <v>6994.344890476279</v>
      </c>
      <c r="E235" s="637">
        <f t="shared" si="27"/>
        <v>11.191884504984046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7404.689162868548</v>
      </c>
      <c r="D239" s="636">
        <f t="shared" si="28"/>
        <v>7662.5168118753827</v>
      </c>
      <c r="E239" s="638">
        <f t="shared" ref="E239:E247" si="29">D239-C239</f>
        <v>257.82764900683469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4142.6124730838401</v>
      </c>
      <c r="D240" s="636">
        <f t="shared" si="28"/>
        <v>4908.5450037991795</v>
      </c>
      <c r="E240" s="638">
        <f t="shared" si="29"/>
        <v>765.93253071533945</v>
      </c>
    </row>
    <row r="241" spans="1:5" x14ac:dyDescent="0.2">
      <c r="A241" s="588">
        <v>3</v>
      </c>
      <c r="B241" s="587" t="s">
        <v>777</v>
      </c>
      <c r="C241" s="636">
        <f t="shared" si="28"/>
        <v>3633.2313625603488</v>
      </c>
      <c r="D241" s="636">
        <f t="shared" si="28"/>
        <v>3654.1333637625785</v>
      </c>
      <c r="E241" s="638">
        <f t="shared" si="29"/>
        <v>20.902001202229712</v>
      </c>
    </row>
    <row r="242" spans="1:5" x14ac:dyDescent="0.2">
      <c r="A242" s="588">
        <v>4</v>
      </c>
      <c r="B242" s="587" t="s">
        <v>115</v>
      </c>
      <c r="C242" s="636">
        <f t="shared" si="28"/>
        <v>3633.2313625603488</v>
      </c>
      <c r="D242" s="636">
        <f t="shared" si="28"/>
        <v>3654.1333637625785</v>
      </c>
      <c r="E242" s="638">
        <f t="shared" si="29"/>
        <v>20.902001202229712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4095.6824566785658</v>
      </c>
      <c r="D244" s="636">
        <f t="shared" si="28"/>
        <v>1852.9144943163124</v>
      </c>
      <c r="E244" s="638">
        <f t="shared" si="29"/>
        <v>-2242.7679623622535</v>
      </c>
    </row>
    <row r="245" spans="1:5" x14ac:dyDescent="0.2">
      <c r="A245" s="588">
        <v>7</v>
      </c>
      <c r="B245" s="587" t="s">
        <v>758</v>
      </c>
      <c r="C245" s="636">
        <f t="shared" si="28"/>
        <v>173.19117540704318</v>
      </c>
      <c r="D245" s="636">
        <f t="shared" si="28"/>
        <v>149.97139767047224</v>
      </c>
      <c r="E245" s="638">
        <f t="shared" si="29"/>
        <v>-23.219777736570933</v>
      </c>
    </row>
    <row r="246" spans="1:5" ht="25.5" x14ac:dyDescent="0.2">
      <c r="A246" s="588"/>
      <c r="B246" s="592" t="s">
        <v>831</v>
      </c>
      <c r="C246" s="637">
        <f t="shared" si="28"/>
        <v>3930.7837143516044</v>
      </c>
      <c r="D246" s="637">
        <f t="shared" si="28"/>
        <v>4314.221938763334</v>
      </c>
      <c r="E246" s="639">
        <f t="shared" si="29"/>
        <v>383.43822441172961</v>
      </c>
    </row>
    <row r="247" spans="1:5" x14ac:dyDescent="0.2">
      <c r="A247" s="588"/>
      <c r="B247" s="592" t="s">
        <v>832</v>
      </c>
      <c r="C247" s="637">
        <f t="shared" si="28"/>
        <v>5362.0719001786365</v>
      </c>
      <c r="D247" s="637">
        <f t="shared" si="28"/>
        <v>5706.9535252823234</v>
      </c>
      <c r="E247" s="639">
        <f t="shared" si="29"/>
        <v>344.88162510368693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1581931.4084279474</v>
      </c>
      <c r="D251" s="622">
        <f>((IF((IF(D15=0,0,D26/D15)*D138)=0,0,D59/(IF(D15=0,0,D26/D15)*D138)))-(IF((IF(D17=0,0,D28/D17)*D140)=0,0,D61/(IF(D17=0,0,D28/D17)*D140))))*(IF(D17=0,0,D28/D17)*D140)</f>
        <v>4497267.8873454286</v>
      </c>
      <c r="E251" s="622">
        <f>D251-C251</f>
        <v>2915336.4789174814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2674274.6957613239</v>
      </c>
      <c r="D253" s="622">
        <f>IF(D233=0,0,(D228-D233)*D209+IF(D221=0,0,(D240-D245)*D221))</f>
        <v>0</v>
      </c>
      <c r="E253" s="622">
        <f>D253-C253</f>
        <v>-2674274.6957613239</v>
      </c>
    </row>
    <row r="254" spans="1:5" ht="15" customHeight="1" x14ac:dyDescent="0.2">
      <c r="A254" s="588"/>
      <c r="B254" s="592" t="s">
        <v>759</v>
      </c>
      <c r="C254" s="640">
        <f>+C251+C252+C253</f>
        <v>4256206.1041892711</v>
      </c>
      <c r="D254" s="640">
        <f>+D251+D252+D253</f>
        <v>4497267.8873454286</v>
      </c>
      <c r="E254" s="640">
        <f>D254-C254</f>
        <v>241061.78315615747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427704615</v>
      </c>
      <c r="D258" s="625">
        <f>+D44</f>
        <v>453092138</v>
      </c>
      <c r="E258" s="622">
        <f t="shared" ref="E258:E271" si="30">D258-C258</f>
        <v>25387523</v>
      </c>
    </row>
    <row r="259" spans="1:5" x14ac:dyDescent="0.2">
      <c r="A259" s="588">
        <v>2</v>
      </c>
      <c r="B259" s="587" t="s">
        <v>742</v>
      </c>
      <c r="C259" s="622">
        <f>+(C43-C76)</f>
        <v>212341239</v>
      </c>
      <c r="D259" s="625">
        <f>+(D43-D76)</f>
        <v>226940993</v>
      </c>
      <c r="E259" s="622">
        <f t="shared" si="30"/>
        <v>14599754</v>
      </c>
    </row>
    <row r="260" spans="1:5" x14ac:dyDescent="0.2">
      <c r="A260" s="588">
        <v>3</v>
      </c>
      <c r="B260" s="587" t="s">
        <v>746</v>
      </c>
      <c r="C260" s="622">
        <f>C195</f>
        <v>10215881</v>
      </c>
      <c r="D260" s="622">
        <f>D195</f>
        <v>8538422</v>
      </c>
      <c r="E260" s="622">
        <f t="shared" si="30"/>
        <v>-1677459</v>
      </c>
    </row>
    <row r="261" spans="1:5" x14ac:dyDescent="0.2">
      <c r="A261" s="588">
        <v>4</v>
      </c>
      <c r="B261" s="587" t="s">
        <v>747</v>
      </c>
      <c r="C261" s="622">
        <f>C188</f>
        <v>71545518</v>
      </c>
      <c r="D261" s="622">
        <f>D188</f>
        <v>73463986</v>
      </c>
      <c r="E261" s="622">
        <f t="shared" si="30"/>
        <v>1918468</v>
      </c>
    </row>
    <row r="262" spans="1:5" x14ac:dyDescent="0.2">
      <c r="A262" s="588">
        <v>5</v>
      </c>
      <c r="B262" s="587" t="s">
        <v>748</v>
      </c>
      <c r="C262" s="622">
        <f>C191</f>
        <v>3825586</v>
      </c>
      <c r="D262" s="622">
        <f>D191</f>
        <v>6062816</v>
      </c>
      <c r="E262" s="622">
        <f t="shared" si="30"/>
        <v>2237230</v>
      </c>
    </row>
    <row r="263" spans="1:5" x14ac:dyDescent="0.2">
      <c r="A263" s="588">
        <v>6</v>
      </c>
      <c r="B263" s="587" t="s">
        <v>749</v>
      </c>
      <c r="C263" s="622">
        <f>+C259+C260+C261+C262</f>
        <v>297928224</v>
      </c>
      <c r="D263" s="622">
        <f>+D259+D260+D261+D262</f>
        <v>315006217</v>
      </c>
      <c r="E263" s="622">
        <f t="shared" si="30"/>
        <v>17077993</v>
      </c>
    </row>
    <row r="264" spans="1:5" x14ac:dyDescent="0.2">
      <c r="A264" s="588">
        <v>7</v>
      </c>
      <c r="B264" s="587" t="s">
        <v>654</v>
      </c>
      <c r="C264" s="622">
        <f>+C258-C263</f>
        <v>129776391</v>
      </c>
      <c r="D264" s="622">
        <f>+D258-D263</f>
        <v>138085921</v>
      </c>
      <c r="E264" s="622">
        <f t="shared" si="30"/>
        <v>8309530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129776391</v>
      </c>
      <c r="D266" s="622">
        <f>+D264+D265</f>
        <v>138085921</v>
      </c>
      <c r="E266" s="641">
        <f t="shared" si="30"/>
        <v>8309530</v>
      </c>
    </row>
    <row r="267" spans="1:5" x14ac:dyDescent="0.2">
      <c r="A267" s="588">
        <v>10</v>
      </c>
      <c r="B267" s="587" t="s">
        <v>837</v>
      </c>
      <c r="C267" s="642">
        <f>IF(C258=0,0,C266/C258)</f>
        <v>0.30342527634404881</v>
      </c>
      <c r="D267" s="642">
        <f>IF(D258=0,0,D266/D258)</f>
        <v>0.30476344526640187</v>
      </c>
      <c r="E267" s="643">
        <f t="shared" si="30"/>
        <v>1.3381689223530557E-3</v>
      </c>
    </row>
    <row r="268" spans="1:5" x14ac:dyDescent="0.2">
      <c r="A268" s="588">
        <v>11</v>
      </c>
      <c r="B268" s="587" t="s">
        <v>716</v>
      </c>
      <c r="C268" s="622">
        <f>+C260*C267</f>
        <v>3099756.5155229177</v>
      </c>
      <c r="D268" s="644">
        <f>+D260*D267</f>
        <v>2602198.9058584417</v>
      </c>
      <c r="E268" s="622">
        <f t="shared" si="30"/>
        <v>-497557.60966447601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6840118.4331069551</v>
      </c>
      <c r="D269" s="644">
        <f>((D17+D18+D28+D29)*D267)-(D50+D51+D61+D62)</f>
        <v>7706414.5452553108</v>
      </c>
      <c r="E269" s="622">
        <f t="shared" si="30"/>
        <v>866296.11214835569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9939874.9486298729</v>
      </c>
      <c r="D271" s="622">
        <f>+D268+D269+D270</f>
        <v>10308613.451113753</v>
      </c>
      <c r="E271" s="625">
        <f t="shared" si="30"/>
        <v>368738.50248388015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0.48205784484623182</v>
      </c>
      <c r="D276" s="623">
        <f t="shared" si="31"/>
        <v>0.49560933521271339</v>
      </c>
      <c r="E276" s="650">
        <f t="shared" ref="E276:E284" si="32">D276-C276</f>
        <v>1.3551490366481567E-2</v>
      </c>
    </row>
    <row r="277" spans="1:5" x14ac:dyDescent="0.2">
      <c r="A277" s="588">
        <v>2</v>
      </c>
      <c r="B277" s="587" t="s">
        <v>635</v>
      </c>
      <c r="C277" s="623">
        <f t="shared" si="31"/>
        <v>0.3379377694697997</v>
      </c>
      <c r="D277" s="623">
        <f t="shared" si="31"/>
        <v>0.33659580923452043</v>
      </c>
      <c r="E277" s="650">
        <f t="shared" si="32"/>
        <v>-1.3419602352792714E-3</v>
      </c>
    </row>
    <row r="278" spans="1:5" x14ac:dyDescent="0.2">
      <c r="A278" s="588">
        <v>3</v>
      </c>
      <c r="B278" s="587" t="s">
        <v>777</v>
      </c>
      <c r="C278" s="623">
        <f t="shared" si="31"/>
        <v>0.23684977839261628</v>
      </c>
      <c r="D278" s="623">
        <f t="shared" si="31"/>
        <v>0.22000173538079856</v>
      </c>
      <c r="E278" s="650">
        <f t="shared" si="32"/>
        <v>-1.684804301181772E-2</v>
      </c>
    </row>
    <row r="279" spans="1:5" x14ac:dyDescent="0.2">
      <c r="A279" s="588">
        <v>4</v>
      </c>
      <c r="B279" s="587" t="s">
        <v>115</v>
      </c>
      <c r="C279" s="623">
        <f t="shared" si="31"/>
        <v>0.23684977839261628</v>
      </c>
      <c r="D279" s="623">
        <f t="shared" si="31"/>
        <v>0.22000173538079856</v>
      </c>
      <c r="E279" s="650">
        <f t="shared" si="32"/>
        <v>-1.684804301181772E-2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0.33053934158300258</v>
      </c>
      <c r="D281" s="623">
        <f t="shared" si="31"/>
        <v>0.37125675040681833</v>
      </c>
      <c r="E281" s="650">
        <f t="shared" si="32"/>
        <v>4.0717408823815748E-2</v>
      </c>
    </row>
    <row r="282" spans="1:5" x14ac:dyDescent="0.2">
      <c r="A282" s="588">
        <v>7</v>
      </c>
      <c r="B282" s="587" t="s">
        <v>758</v>
      </c>
      <c r="C282" s="623">
        <f t="shared" si="31"/>
        <v>5.1178663876598716E-3</v>
      </c>
      <c r="D282" s="623">
        <f t="shared" si="31"/>
        <v>0</v>
      </c>
      <c r="E282" s="650">
        <f t="shared" si="32"/>
        <v>-5.1178663876598716E-3</v>
      </c>
    </row>
    <row r="283" spans="1:5" ht="29.25" customHeight="1" x14ac:dyDescent="0.2">
      <c r="A283" s="588"/>
      <c r="B283" s="592" t="s">
        <v>844</v>
      </c>
      <c r="C283" s="651">
        <f t="shared" si="31"/>
        <v>0.31348487198540753</v>
      </c>
      <c r="D283" s="651">
        <f t="shared" si="31"/>
        <v>0.30817707985752163</v>
      </c>
      <c r="E283" s="652">
        <f t="shared" si="32"/>
        <v>-5.3077921278859019E-3</v>
      </c>
    </row>
    <row r="284" spans="1:5" x14ac:dyDescent="0.2">
      <c r="A284" s="588"/>
      <c r="B284" s="592" t="s">
        <v>845</v>
      </c>
      <c r="C284" s="651">
        <f t="shared" si="31"/>
        <v>0.35957454053049831</v>
      </c>
      <c r="D284" s="651">
        <f t="shared" si="31"/>
        <v>0.35607008420349062</v>
      </c>
      <c r="E284" s="652">
        <f t="shared" si="32"/>
        <v>-3.5044563270076878E-3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0.36939532516170281</v>
      </c>
      <c r="D287" s="623">
        <f t="shared" si="33"/>
        <v>0.38502687439413608</v>
      </c>
      <c r="E287" s="650">
        <f t="shared" ref="E287:E295" si="34">D287-C287</f>
        <v>1.5631549232433262E-2</v>
      </c>
    </row>
    <row r="288" spans="1:5" x14ac:dyDescent="0.2">
      <c r="A288" s="588">
        <v>2</v>
      </c>
      <c r="B288" s="587" t="s">
        <v>635</v>
      </c>
      <c r="C288" s="623">
        <f t="shared" si="33"/>
        <v>0.16733181011442902</v>
      </c>
      <c r="D288" s="623">
        <f t="shared" si="33"/>
        <v>0.18148769936529602</v>
      </c>
      <c r="E288" s="650">
        <f t="shared" si="34"/>
        <v>1.4155889250866999E-2</v>
      </c>
    </row>
    <row r="289" spans="1:5" x14ac:dyDescent="0.2">
      <c r="A289" s="588">
        <v>3</v>
      </c>
      <c r="B289" s="587" t="s">
        <v>777</v>
      </c>
      <c r="C289" s="623">
        <f t="shared" si="33"/>
        <v>0.21087544667391578</v>
      </c>
      <c r="D289" s="623">
        <f t="shared" si="33"/>
        <v>0.21863659317051587</v>
      </c>
      <c r="E289" s="650">
        <f t="shared" si="34"/>
        <v>7.7611464966000909E-3</v>
      </c>
    </row>
    <row r="290" spans="1:5" x14ac:dyDescent="0.2">
      <c r="A290" s="588">
        <v>4</v>
      </c>
      <c r="B290" s="587" t="s">
        <v>115</v>
      </c>
      <c r="C290" s="623">
        <f t="shared" si="33"/>
        <v>0.21087544667391578</v>
      </c>
      <c r="D290" s="623">
        <f t="shared" si="33"/>
        <v>0.21863659317051587</v>
      </c>
      <c r="E290" s="650">
        <f t="shared" si="34"/>
        <v>7.7611464966000909E-3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0.30600475977986019</v>
      </c>
      <c r="D292" s="623">
        <f t="shared" si="33"/>
        <v>0.11151516246628931</v>
      </c>
      <c r="E292" s="650">
        <f t="shared" si="34"/>
        <v>-0.19448959731357088</v>
      </c>
    </row>
    <row r="293" spans="1:5" x14ac:dyDescent="0.2">
      <c r="A293" s="588">
        <v>7</v>
      </c>
      <c r="B293" s="587" t="s">
        <v>758</v>
      </c>
      <c r="C293" s="623">
        <f t="shared" si="33"/>
        <v>1.1282617837382979E-2</v>
      </c>
      <c r="D293" s="623">
        <f t="shared" si="33"/>
        <v>1.1607271946731544E-2</v>
      </c>
      <c r="E293" s="650">
        <f t="shared" si="34"/>
        <v>3.2465410934856553E-4</v>
      </c>
    </row>
    <row r="294" spans="1:5" ht="29.25" customHeight="1" x14ac:dyDescent="0.2">
      <c r="A294" s="588"/>
      <c r="B294" s="592" t="s">
        <v>847</v>
      </c>
      <c r="C294" s="651">
        <f t="shared" si="33"/>
        <v>0.18236265260823892</v>
      </c>
      <c r="D294" s="651">
        <f t="shared" si="33"/>
        <v>0.19368246726233002</v>
      </c>
      <c r="E294" s="652">
        <f t="shared" si="34"/>
        <v>1.1319814654091098E-2</v>
      </c>
    </row>
    <row r="295" spans="1:5" x14ac:dyDescent="0.2">
      <c r="A295" s="588"/>
      <c r="B295" s="592" t="s">
        <v>848</v>
      </c>
      <c r="C295" s="651">
        <f t="shared" si="33"/>
        <v>0.2561552119725144</v>
      </c>
      <c r="D295" s="651">
        <f t="shared" si="33"/>
        <v>0.2680898272100713</v>
      </c>
      <c r="E295" s="652">
        <f t="shared" si="34"/>
        <v>1.19346152375569E-2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126255012</v>
      </c>
      <c r="D301" s="590">
        <f>+D48+D47+D50+D51+D52+D59+D58+D61+D62+D63</f>
        <v>135968910</v>
      </c>
      <c r="E301" s="590">
        <f>D301-C301</f>
        <v>9713898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126255012</v>
      </c>
      <c r="D303" s="593">
        <f>+D301+D302</f>
        <v>135968910</v>
      </c>
      <c r="E303" s="593">
        <f>D303-C303</f>
        <v>9713898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553490</v>
      </c>
      <c r="D305" s="654">
        <v>2007461</v>
      </c>
      <c r="E305" s="655">
        <f>D305-C305</f>
        <v>1453971</v>
      </c>
    </row>
    <row r="306" spans="1:5" x14ac:dyDescent="0.2">
      <c r="A306" s="588">
        <v>4</v>
      </c>
      <c r="B306" s="592" t="s">
        <v>855</v>
      </c>
      <c r="C306" s="593">
        <f>+C303+C305+C194+C190-C191</f>
        <v>133167928</v>
      </c>
      <c r="D306" s="593">
        <f>+D303+D305</f>
        <v>137976371</v>
      </c>
      <c r="E306" s="656">
        <f>D306-C306</f>
        <v>4808443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126808091</v>
      </c>
      <c r="D308" s="589">
        <v>137976406</v>
      </c>
      <c r="E308" s="590">
        <f>D308-C308</f>
        <v>11168315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6359837</v>
      </c>
      <c r="D310" s="658">
        <f>D306-D308</f>
        <v>-35</v>
      </c>
      <c r="E310" s="656">
        <f>D310-C310</f>
        <v>-6359872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427704615</v>
      </c>
      <c r="D314" s="590">
        <f>+D14+D15+D16+D19+D25+D26+D27+D30</f>
        <v>453092138</v>
      </c>
      <c r="E314" s="590">
        <f>D314-C314</f>
        <v>25387523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427704615</v>
      </c>
      <c r="D316" s="657">
        <f>D314+D315</f>
        <v>453092138</v>
      </c>
      <c r="E316" s="593">
        <f>D316-C316</f>
        <v>25387523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427704210</v>
      </c>
      <c r="D318" s="589">
        <v>453092171</v>
      </c>
      <c r="E318" s="590">
        <f>D318-C318</f>
        <v>25387961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405</v>
      </c>
      <c r="D320" s="657">
        <f>D316-D318</f>
        <v>-33</v>
      </c>
      <c r="E320" s="593">
        <f>D320-C320</f>
        <v>-438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10215881</v>
      </c>
      <c r="D324" s="589">
        <f>+D193+D194</f>
        <v>8538422</v>
      </c>
      <c r="E324" s="590">
        <f>D324-C324</f>
        <v>-1677459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10215881</v>
      </c>
      <c r="D326" s="657">
        <f>D324+D325</f>
        <v>8538422</v>
      </c>
      <c r="E326" s="593">
        <f>D326-C326</f>
        <v>-1677459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10215881</v>
      </c>
      <c r="D328" s="589">
        <v>8538422</v>
      </c>
      <c r="E328" s="590">
        <f>D328-C328</f>
        <v>-1677459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FILING&amp;RBRISTOL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activeCell="C48" sqref="C48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42111049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92227399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30033754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30033754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432011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1460013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122693164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164804213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112105411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115155887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59919782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59919782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1106845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5851418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176182514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288287925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154216460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298875678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453092138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20870629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31043356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6607478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6607478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160387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37811221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58681850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43163596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20899377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13100657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13100657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123430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67919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34123464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77287060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64034225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71934685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135968910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2116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3410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1797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1797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113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5233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7349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1.0463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1.3064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0.94319999999999993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0.94320000000000004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1.0066999999999999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1.1759999999999999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1.1801889164914963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1.141638236494761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142326436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68862450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73463986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0.51616542973084778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7512816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6062816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4530623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4007799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8538422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4301391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141228949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135968910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135968910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2007461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137976371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137976406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-35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453092138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453092138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453092171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-33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8538422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8538422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8538422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FILING&amp;RBRISTOL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6916</v>
      </c>
      <c r="D12" s="185">
        <v>4645</v>
      </c>
      <c r="E12" s="185">
        <f>+D12-C12</f>
        <v>-2271</v>
      </c>
      <c r="F12" s="77">
        <f>IF(C12=0,0,+E12/C12)</f>
        <v>-0.328368999421631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6916</v>
      </c>
      <c r="D13" s="185">
        <v>4645</v>
      </c>
      <c r="E13" s="185">
        <f>+D13-C13</f>
        <v>-2271</v>
      </c>
      <c r="F13" s="77">
        <f>IF(C13=0,0,+E13/C13)</f>
        <v>-0.328368999421631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5306456</v>
      </c>
      <c r="D15" s="76">
        <v>4530623</v>
      </c>
      <c r="E15" s="76">
        <f>+D15-C15</f>
        <v>-775833</v>
      </c>
      <c r="F15" s="77">
        <f>IF(C15=0,0,+E15/C15)</f>
        <v>-0.14620549006719363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767.2724117987276</v>
      </c>
      <c r="D16" s="79">
        <f>IF(D13=0,0,+D15/+D13)</f>
        <v>975.37631862217438</v>
      </c>
      <c r="E16" s="79">
        <f>+D16-C16</f>
        <v>208.10390682344678</v>
      </c>
      <c r="F16" s="80">
        <f>IF(C16=0,0,+E16/C16)</f>
        <v>0.27122558249629469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0.34387800000000002</v>
      </c>
      <c r="D18" s="704">
        <v>0.30027700000000002</v>
      </c>
      <c r="E18" s="704">
        <f>+D18-C18</f>
        <v>-4.3601000000000001E-2</v>
      </c>
      <c r="F18" s="77">
        <f>IF(C18=0,0,+E18/C18)</f>
        <v>-0.12679205997475848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1824773.476368</v>
      </c>
      <c r="D19" s="79">
        <f>+D15*D18</f>
        <v>1360441.8825710001</v>
      </c>
      <c r="E19" s="79">
        <f>+D19-C19</f>
        <v>-464331.59379699989</v>
      </c>
      <c r="F19" s="80">
        <f>IF(C19=0,0,+E19/C19)</f>
        <v>-0.25445985477671346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263.84810242452284</v>
      </c>
      <c r="D20" s="79">
        <f>IF(D13=0,0,+D19/D13)</f>
        <v>292.88307482691067</v>
      </c>
      <c r="E20" s="79">
        <f>+D20-C20</f>
        <v>29.034972402387837</v>
      </c>
      <c r="F20" s="80">
        <f>IF(C20=0,0,+E20/C20)</f>
        <v>0.11004427219897731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1177843</v>
      </c>
      <c r="D22" s="76">
        <v>639737</v>
      </c>
      <c r="E22" s="76">
        <f>+D22-C22</f>
        <v>-538106</v>
      </c>
      <c r="F22" s="77">
        <f>IF(C22=0,0,+E22/C22)</f>
        <v>-0.45685715328783205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1108562</v>
      </c>
      <c r="D23" s="185">
        <v>1033982</v>
      </c>
      <c r="E23" s="185">
        <f>+D23-C23</f>
        <v>-74580</v>
      </c>
      <c r="F23" s="77">
        <f>IF(C23=0,0,+E23/C23)</f>
        <v>-6.7276345391597409E-2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3020051</v>
      </c>
      <c r="D24" s="185">
        <v>2856904</v>
      </c>
      <c r="E24" s="185">
        <f>+D24-C24</f>
        <v>-163147</v>
      </c>
      <c r="F24" s="77">
        <f>IF(C24=0,0,+E24/C24)</f>
        <v>-5.4021273150685202E-2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5306456</v>
      </c>
      <c r="D25" s="79">
        <f>+D22+D23+D24</f>
        <v>4530623</v>
      </c>
      <c r="E25" s="79">
        <f>+E22+E23+E24</f>
        <v>-775833</v>
      </c>
      <c r="F25" s="80">
        <f>IF(C25=0,0,+E25/C25)</f>
        <v>-0.14620549006719363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223</v>
      </c>
      <c r="D27" s="185">
        <v>149</v>
      </c>
      <c r="E27" s="185">
        <f>+D27-C27</f>
        <v>-74</v>
      </c>
      <c r="F27" s="77">
        <f>IF(C27=0,0,+E27/C27)</f>
        <v>-0.33183856502242154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74</v>
      </c>
      <c r="D28" s="185">
        <v>48</v>
      </c>
      <c r="E28" s="185">
        <f>+D28-C28</f>
        <v>-26</v>
      </c>
      <c r="F28" s="77">
        <f>IF(C28=0,0,+E28/C28)</f>
        <v>-0.35135135135135137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3805</v>
      </c>
      <c r="D29" s="185">
        <v>2674</v>
      </c>
      <c r="E29" s="185">
        <f>+D29-C29</f>
        <v>-1131</v>
      </c>
      <c r="F29" s="77">
        <f>IF(C29=0,0,+E29/C29)</f>
        <v>-0.29724047306176082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2643</v>
      </c>
      <c r="D30" s="185">
        <v>1774</v>
      </c>
      <c r="E30" s="185">
        <f>+D30-C30</f>
        <v>-869</v>
      </c>
      <c r="F30" s="77">
        <f>IF(C30=0,0,+E30/C30)</f>
        <v>-0.32879303821415057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1496638</v>
      </c>
      <c r="D33" s="76">
        <v>1221777</v>
      </c>
      <c r="E33" s="76">
        <f>+D33-C33</f>
        <v>-274861</v>
      </c>
      <c r="F33" s="77">
        <f>IF(C33=0,0,+E33/C33)</f>
        <v>-0.18365229267197544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3239239</v>
      </c>
      <c r="D34" s="185">
        <v>2644346</v>
      </c>
      <c r="E34" s="185">
        <f>+D34-C34</f>
        <v>-594893</v>
      </c>
      <c r="F34" s="77">
        <f>IF(C34=0,0,+E34/C34)</f>
        <v>-0.18365208618444023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173548</v>
      </c>
      <c r="D35" s="185">
        <v>141676</v>
      </c>
      <c r="E35" s="185">
        <f>+D35-C35</f>
        <v>-31872</v>
      </c>
      <c r="F35" s="77">
        <f>IF(C35=0,0,+E35/C35)</f>
        <v>-0.18364948025906377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4909425</v>
      </c>
      <c r="D36" s="79">
        <f>+D33+D34+D35</f>
        <v>4007799</v>
      </c>
      <c r="E36" s="79">
        <f>+E33+E34+E35</f>
        <v>-901626</v>
      </c>
      <c r="F36" s="80">
        <f>IF(C36=0,0,+E36/C36)</f>
        <v>-0.18365205701278664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5306456</v>
      </c>
      <c r="D39" s="76">
        <f>+D25</f>
        <v>4530623</v>
      </c>
      <c r="E39" s="76">
        <f>+D39-C39</f>
        <v>-775833</v>
      </c>
      <c r="F39" s="77">
        <f>IF(C39=0,0,+E39/C39)</f>
        <v>-0.14620549006719363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4909425</v>
      </c>
      <c r="D40" s="185">
        <f>+D36</f>
        <v>4007799</v>
      </c>
      <c r="E40" s="185">
        <f>+D40-C40</f>
        <v>-901626</v>
      </c>
      <c r="F40" s="77">
        <f>IF(C40=0,0,+E40/C40)</f>
        <v>-0.18365205701278664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10215881</v>
      </c>
      <c r="D41" s="79">
        <f>+D39+D40</f>
        <v>8538422</v>
      </c>
      <c r="E41" s="79">
        <f>+E39+E40</f>
        <v>-1677459</v>
      </c>
      <c r="F41" s="80">
        <f>IF(C41=0,0,+E41/C41)</f>
        <v>-0.16420111001684534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2674481</v>
      </c>
      <c r="D43" s="76">
        <f t="shared" si="0"/>
        <v>1861514</v>
      </c>
      <c r="E43" s="76">
        <f>+D43-C43</f>
        <v>-812967</v>
      </c>
      <c r="F43" s="77">
        <f>IF(C43=0,0,+E43/C43)</f>
        <v>-0.30397187342142268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4347801</v>
      </c>
      <c r="D44" s="185">
        <f t="shared" si="0"/>
        <v>3678328</v>
      </c>
      <c r="E44" s="185">
        <f>+D44-C44</f>
        <v>-669473</v>
      </c>
      <c r="F44" s="77">
        <f>IF(C44=0,0,+E44/C44)</f>
        <v>-0.15397967846274474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3193599</v>
      </c>
      <c r="D45" s="185">
        <f t="shared" si="0"/>
        <v>2998580</v>
      </c>
      <c r="E45" s="185">
        <f>+D45-C45</f>
        <v>-195019</v>
      </c>
      <c r="F45" s="77">
        <f>IF(C45=0,0,+E45/C45)</f>
        <v>-6.1065587758513201E-2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10215881</v>
      </c>
      <c r="D46" s="79">
        <f>+D43+D44+D45</f>
        <v>8538422</v>
      </c>
      <c r="E46" s="79">
        <f>+E43+E44+E45</f>
        <v>-1677459</v>
      </c>
      <c r="F46" s="80">
        <f>IF(C46=0,0,+E46/C46)</f>
        <v>-0.16420111001684534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FILING&amp;RBRISTOL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135913793</v>
      </c>
      <c r="D15" s="76">
        <v>142326436</v>
      </c>
      <c r="E15" s="76">
        <f>+D15-C15</f>
        <v>6412643</v>
      </c>
      <c r="F15" s="77">
        <f>IF(C15=0,0,E15/C15)</f>
        <v>4.7181694061028817E-2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71545518</v>
      </c>
      <c r="D17" s="76">
        <v>73463986</v>
      </c>
      <c r="E17" s="76">
        <f>+D17-C17</f>
        <v>1918468</v>
      </c>
      <c r="F17" s="77">
        <f>IF(C17=0,0,E17/C17)</f>
        <v>2.6814649661212879E-2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64368275</v>
      </c>
      <c r="D19" s="79">
        <f>+D15-D17</f>
        <v>68862450</v>
      </c>
      <c r="E19" s="79">
        <f>+D19-C19</f>
        <v>4494175</v>
      </c>
      <c r="F19" s="80">
        <f>IF(C19=0,0,E19/C19)</f>
        <v>6.981972097279289E-2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0.52640365941372858</v>
      </c>
      <c r="D21" s="720">
        <f>IF(D15=0,0,D17/D15)</f>
        <v>0.51616542973084778</v>
      </c>
      <c r="E21" s="720">
        <f>+D21-C21</f>
        <v>-1.0238229682880795E-2</v>
      </c>
      <c r="F21" s="80">
        <f>IF(C21=0,0,E21/C21)</f>
        <v>-1.9449389265803009E-2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FILING&amp;R&amp;12BRISTOL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142677758</v>
      </c>
      <c r="D10" s="744">
        <v>161442217</v>
      </c>
      <c r="E10" s="744">
        <v>164804213</v>
      </c>
    </row>
    <row r="11" spans="1:6" ht="26.1" customHeight="1" x14ac:dyDescent="0.25">
      <c r="A11" s="742">
        <v>2</v>
      </c>
      <c r="B11" s="743" t="s">
        <v>932</v>
      </c>
      <c r="C11" s="744">
        <v>243235287</v>
      </c>
      <c r="D11" s="744">
        <v>266262398</v>
      </c>
      <c r="E11" s="744">
        <v>288287925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385913045</v>
      </c>
      <c r="D12" s="744">
        <f>+D11+D10</f>
        <v>427704615</v>
      </c>
      <c r="E12" s="744">
        <f>+E11+E10</f>
        <v>453092138</v>
      </c>
    </row>
    <row r="13" spans="1:6" ht="26.1" customHeight="1" x14ac:dyDescent="0.25">
      <c r="A13" s="742">
        <v>4</v>
      </c>
      <c r="B13" s="743" t="s">
        <v>507</v>
      </c>
      <c r="C13" s="744">
        <v>130360493</v>
      </c>
      <c r="D13" s="744">
        <v>126808091</v>
      </c>
      <c r="E13" s="744">
        <v>137976406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134486303</v>
      </c>
      <c r="D16" s="744">
        <v>129703674</v>
      </c>
      <c r="E16" s="744">
        <v>141228949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29383</v>
      </c>
      <c r="D19" s="747">
        <v>29710</v>
      </c>
      <c r="E19" s="747">
        <v>29830</v>
      </c>
    </row>
    <row r="20" spans="1:5" ht="26.1" customHeight="1" x14ac:dyDescent="0.25">
      <c r="A20" s="742">
        <v>2</v>
      </c>
      <c r="B20" s="743" t="s">
        <v>381</v>
      </c>
      <c r="C20" s="748">
        <v>7565</v>
      </c>
      <c r="D20" s="748">
        <v>7448</v>
      </c>
      <c r="E20" s="748">
        <v>7349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3.8840713813615335</v>
      </c>
      <c r="D21" s="749">
        <f>IF(D20=0,0,+D19/D20)</f>
        <v>3.9889903329752956</v>
      </c>
      <c r="E21" s="749">
        <f>IF(E20=0,0,+E19/E20)</f>
        <v>4.0590556538304527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79474.777009286903</v>
      </c>
      <c r="D22" s="748">
        <f>IF(D10=0,0,D19*(D12/D10))</f>
        <v>78709.920786395058</v>
      </c>
      <c r="E22" s="748">
        <f>IF(E10=0,0,E19*(E12/E10))</f>
        <v>82010.879640194631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20461.718955697357</v>
      </c>
      <c r="D23" s="748">
        <f>IF(D10=0,0,D20*(D12/D10))</f>
        <v>19731.790306868745</v>
      </c>
      <c r="E23" s="748">
        <f>IF(E10=0,0,E20*(E12/E10))</f>
        <v>20204.423549305746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1.1171512227362854</v>
      </c>
      <c r="D26" s="750">
        <v>1.1161301020408163</v>
      </c>
      <c r="E26" s="750">
        <v>1.141638236494761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32825.254377660276</v>
      </c>
      <c r="D27" s="748">
        <f>D19*D26</f>
        <v>33160.225331632653</v>
      </c>
      <c r="E27" s="748">
        <f>E19*E26</f>
        <v>34055.068594638724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8451.2489999999998</v>
      </c>
      <c r="D28" s="748">
        <f>D20*D26</f>
        <v>8312.9369999999999</v>
      </c>
      <c r="E28" s="748">
        <f>E20*E26</f>
        <v>8389.8993999999984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88785.344312618487</v>
      </c>
      <c r="D29" s="748">
        <f>D22*D26</f>
        <v>87850.511918943681</v>
      </c>
      <c r="E29" s="748">
        <f>E22*E26</f>
        <v>93626.7560058159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22858.83435064353</v>
      </c>
      <c r="D30" s="748">
        <f>D23*D26</f>
        <v>22023.245128653401</v>
      </c>
      <c r="E30" s="748">
        <f>E23*E26</f>
        <v>23066.142470222632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13133.888472926523</v>
      </c>
      <c r="D33" s="744">
        <f>IF(D19=0,0,D12/D19)</f>
        <v>14395.981656008078</v>
      </c>
      <c r="E33" s="744">
        <f>IF(E19=0,0,E12/E19)</f>
        <v>15189.143077438819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51012.960343688035</v>
      </c>
      <c r="D34" s="744">
        <f>IF(D20=0,0,D12/D20)</f>
        <v>57425.431659505906</v>
      </c>
      <c r="E34" s="744">
        <f>IF(E20=0,0,E12/E20)</f>
        <v>61653.577085317731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4855.7927372970762</v>
      </c>
      <c r="D35" s="744">
        <f>IF(D22=0,0,D12/D22)</f>
        <v>5433.9352743184108</v>
      </c>
      <c r="E35" s="744">
        <f>IF(E22=0,0,E12/E22)</f>
        <v>5524.7808581964464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18860.245604758755</v>
      </c>
      <c r="D36" s="744">
        <f>IF(D23=0,0,D12/D23)</f>
        <v>21675.9152792696</v>
      </c>
      <c r="E36" s="744">
        <f>IF(E23=0,0,E12/E23)</f>
        <v>22425.392978636548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4346.5849908874279</v>
      </c>
      <c r="D37" s="744">
        <f>IF(D29=0,0,D12/D29)</f>
        <v>4868.5500591576147</v>
      </c>
      <c r="E37" s="744">
        <f>IF(E29=0,0,E12/E29)</f>
        <v>4839.3446203759841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16882.446369761441</v>
      </c>
      <c r="D38" s="744">
        <f>IF(D30=0,0,D12/D30)</f>
        <v>19420.599121586027</v>
      </c>
      <c r="E38" s="744">
        <f>IF(E30=0,0,E12/E30)</f>
        <v>19643.169142171122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1795.2583620753992</v>
      </c>
      <c r="D39" s="744">
        <f>IF(D22=0,0,D10/D22)</f>
        <v>2051.1037920890035</v>
      </c>
      <c r="E39" s="744">
        <f>IF(E22=0,0,E10/E22)</f>
        <v>2009.5408526654462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6972.9116262870393</v>
      </c>
      <c r="D40" s="744">
        <f>IF(D23=0,0,D10/D23)</f>
        <v>8181.833198572006</v>
      </c>
      <c r="E40" s="744">
        <f>IF(E23=0,0,E10/E23)</f>
        <v>8156.8381596149484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4436.5957526460879</v>
      </c>
      <c r="D43" s="744">
        <f>IF(D19=0,0,D13/D19)</f>
        <v>4268.1955907101983</v>
      </c>
      <c r="E43" s="744">
        <f>IF(E19=0,0,E13/E19)</f>
        <v>4625.4242708682532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17232.054593522804</v>
      </c>
      <c r="D44" s="744">
        <f>IF(D20=0,0,D13/D20)</f>
        <v>17025.790950590763</v>
      </c>
      <c r="E44" s="744">
        <f>IF(E20=0,0,E13/E20)</f>
        <v>18774.854538032385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1640.2750395231299</v>
      </c>
      <c r="D45" s="744">
        <f>IF(D22=0,0,D13/D22)</f>
        <v>1611.0814206526131</v>
      </c>
      <c r="E45" s="744">
        <f>IF(E22=0,0,E13/E22)</f>
        <v>1682.4158770804834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6370.945338573446</v>
      </c>
      <c r="D46" s="744">
        <f>IF(D23=0,0,D13/D23)</f>
        <v>6426.5882126193792</v>
      </c>
      <c r="E46" s="744">
        <f>IF(E23=0,0,E13/E23)</f>
        <v>6829.0196779576554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1468.2658946615438</v>
      </c>
      <c r="D47" s="744">
        <f>IF(D29=0,0,D13/D29)</f>
        <v>1443.4530685148538</v>
      </c>
      <c r="E47" s="744">
        <f>IF(E29=0,0,E13/E29)</f>
        <v>1473.6856416495857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5702.8495416840906</v>
      </c>
      <c r="D48" s="744">
        <f>IF(D30=0,0,D13/D30)</f>
        <v>5757.9203364092782</v>
      </c>
      <c r="E48" s="744">
        <f>IF(E30=0,0,E13/E30)</f>
        <v>5981.7720357065091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4577.0106183847802</v>
      </c>
      <c r="D51" s="744">
        <f>IF(D19=0,0,D16/D19)</f>
        <v>4365.6571524739147</v>
      </c>
      <c r="E51" s="744">
        <f>IF(E19=0,0,E16/E19)</f>
        <v>4734.4602413677503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17777.435955056178</v>
      </c>
      <c r="D52" s="744">
        <f>IF(D20=0,0,D16/D20)</f>
        <v>17414.564178302899</v>
      </c>
      <c r="E52" s="744">
        <f>IF(E20=0,0,E16/E20)</f>
        <v>19217.43761055926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1692.1884912528262</v>
      </c>
      <c r="D53" s="744">
        <f>IF(D22=0,0,D16/D22)</f>
        <v>1647.869451577687</v>
      </c>
      <c r="E53" s="744">
        <f>IF(E22=0,0,E16/E22)</f>
        <v>1722.0757735999432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6572.5808907444534</v>
      </c>
      <c r="D54" s="744">
        <f>IF(D23=0,0,D16/D23)</f>
        <v>6573.3353123486941</v>
      </c>
      <c r="E54" s="744">
        <f>IF(E23=0,0,E16/E23)</f>
        <v>6990.0014051552998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1514.7353883819576</v>
      </c>
      <c r="D55" s="744">
        <f>IF(D29=0,0,D16/D29)</f>
        <v>1476.4134114514054</v>
      </c>
      <c r="E55" s="744">
        <f>IF(E29=0,0,E16/E29)</f>
        <v>1508.4251022349547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5883.3403723499086</v>
      </c>
      <c r="D56" s="744">
        <f>IF(D30=0,0,D16/D30)</f>
        <v>5889.3988257547335</v>
      </c>
      <c r="E56" s="744">
        <f>IF(E30=0,0,E16/E30)</f>
        <v>6122.7814396065714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20544785</v>
      </c>
      <c r="D59" s="752">
        <v>21078367</v>
      </c>
      <c r="E59" s="752">
        <v>22096741</v>
      </c>
    </row>
    <row r="60" spans="1:6" ht="26.1" customHeight="1" x14ac:dyDescent="0.25">
      <c r="A60" s="742">
        <v>2</v>
      </c>
      <c r="B60" s="743" t="s">
        <v>968</v>
      </c>
      <c r="C60" s="752">
        <v>5639912</v>
      </c>
      <c r="D60" s="752">
        <v>5707940</v>
      </c>
      <c r="E60" s="752">
        <v>6023785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26184697</v>
      </c>
      <c r="D61" s="755">
        <f>D59+D60</f>
        <v>26786307</v>
      </c>
      <c r="E61" s="755">
        <f>E59+E60</f>
        <v>28120526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320735</v>
      </c>
      <c r="D64" s="744">
        <v>348650</v>
      </c>
      <c r="E64" s="752">
        <v>380804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88048</v>
      </c>
      <c r="D65" s="752">
        <v>94413</v>
      </c>
      <c r="E65" s="752">
        <v>103811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408783</v>
      </c>
      <c r="D66" s="757">
        <f>D64+D65</f>
        <v>443063</v>
      </c>
      <c r="E66" s="757">
        <f>E64+E65</f>
        <v>484615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34060540</v>
      </c>
      <c r="D69" s="752">
        <v>33298451</v>
      </c>
      <c r="E69" s="752">
        <v>35401998</v>
      </c>
    </row>
    <row r="70" spans="1:6" ht="26.1" customHeight="1" x14ac:dyDescent="0.25">
      <c r="A70" s="742">
        <v>2</v>
      </c>
      <c r="B70" s="743" t="s">
        <v>976</v>
      </c>
      <c r="C70" s="752">
        <v>9350229</v>
      </c>
      <c r="D70" s="752">
        <v>9017091</v>
      </c>
      <c r="E70" s="752">
        <v>9650926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43410769</v>
      </c>
      <c r="D71" s="755">
        <f>D69+D70</f>
        <v>42315542</v>
      </c>
      <c r="E71" s="755">
        <f>E69+E70</f>
        <v>45052924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54926060</v>
      </c>
      <c r="D75" s="744">
        <f t="shared" si="0"/>
        <v>54725468</v>
      </c>
      <c r="E75" s="744">
        <f t="shared" si="0"/>
        <v>57879543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15078189</v>
      </c>
      <c r="D76" s="744">
        <f t="shared" si="0"/>
        <v>14819444</v>
      </c>
      <c r="E76" s="744">
        <f t="shared" si="0"/>
        <v>15778522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70004249</v>
      </c>
      <c r="D77" s="757">
        <f>D75+D76</f>
        <v>69544912</v>
      </c>
      <c r="E77" s="757">
        <f>E75+E76</f>
        <v>73658065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281.39999999999998</v>
      </c>
      <c r="D80" s="749">
        <v>226</v>
      </c>
      <c r="E80" s="749">
        <v>235.5</v>
      </c>
    </row>
    <row r="81" spans="1:5" ht="26.1" customHeight="1" x14ac:dyDescent="0.25">
      <c r="A81" s="742">
        <v>2</v>
      </c>
      <c r="B81" s="743" t="s">
        <v>617</v>
      </c>
      <c r="C81" s="749">
        <v>1.4</v>
      </c>
      <c r="D81" s="749">
        <v>1.6</v>
      </c>
      <c r="E81" s="749">
        <v>1.2</v>
      </c>
    </row>
    <row r="82" spans="1:5" ht="26.1" customHeight="1" x14ac:dyDescent="0.25">
      <c r="A82" s="742">
        <v>3</v>
      </c>
      <c r="B82" s="743" t="s">
        <v>982</v>
      </c>
      <c r="C82" s="749">
        <v>580.9</v>
      </c>
      <c r="D82" s="749">
        <v>627.4</v>
      </c>
      <c r="E82" s="749">
        <v>659.2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863.69999999999993</v>
      </c>
      <c r="D83" s="759">
        <f>D80+D81+D82</f>
        <v>855</v>
      </c>
      <c r="E83" s="759">
        <f>E80+E81+E82</f>
        <v>895.90000000000009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73009.186211798151</v>
      </c>
      <c r="D86" s="752">
        <f>IF(D80=0,0,D59/D80)</f>
        <v>93267.110619469022</v>
      </c>
      <c r="E86" s="752">
        <f>IF(E80=0,0,E59/E80)</f>
        <v>93829.048832271757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20042.331201137175</v>
      </c>
      <c r="D87" s="752">
        <f>IF(D80=0,0,D60/D80)</f>
        <v>25256.371681415931</v>
      </c>
      <c r="E87" s="752">
        <f>IF(E80=0,0,E60/E80)</f>
        <v>25578.704883227176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93051.517412935325</v>
      </c>
      <c r="D88" s="755">
        <f>+D86+D87</f>
        <v>118523.48230088495</v>
      </c>
      <c r="E88" s="755">
        <f>+E86+E87</f>
        <v>119407.75371549893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229096.42857142858</v>
      </c>
      <c r="D91" s="744">
        <f>IF(D81=0,0,D64/D81)</f>
        <v>217906.25</v>
      </c>
      <c r="E91" s="744">
        <f>IF(E81=0,0,E64/E81)</f>
        <v>317336.66666666669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62891.428571428572</v>
      </c>
      <c r="D92" s="744">
        <f>IF(D81=0,0,D65/D81)</f>
        <v>59008.125</v>
      </c>
      <c r="E92" s="744">
        <f>IF(E81=0,0,E65/E81)</f>
        <v>86509.166666666672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291987.85714285716</v>
      </c>
      <c r="D93" s="757">
        <f>+D91+D92</f>
        <v>276914.375</v>
      </c>
      <c r="E93" s="757">
        <f>+E91+E92</f>
        <v>403845.83333333337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58634.085040454469</v>
      </c>
      <c r="D96" s="752">
        <f>IF(D82=0,0,D69/D82)</f>
        <v>53073.718520879826</v>
      </c>
      <c r="E96" s="752">
        <f>IF(E82=0,0,E69/E82)</f>
        <v>53704.487257281551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16096.107763814771</v>
      </c>
      <c r="D97" s="752">
        <f>IF(D82=0,0,D70/D82)</f>
        <v>14372.156518967167</v>
      </c>
      <c r="E97" s="752">
        <f>IF(E82=0,0,E70/E82)</f>
        <v>14640.36104368932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74730.192804269245</v>
      </c>
      <c r="D98" s="757">
        <f>+D96+D97</f>
        <v>67445.875039846986</v>
      </c>
      <c r="E98" s="757">
        <f>+E96+E97</f>
        <v>68344.848300970873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63593.90992242677</v>
      </c>
      <c r="D101" s="744">
        <f>IF(D83=0,0,D75/D83)</f>
        <v>64006.395321637428</v>
      </c>
      <c r="E101" s="744">
        <f>IF(E83=0,0,E75/E83)</f>
        <v>64604.914611005683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17457.669329628345</v>
      </c>
      <c r="D102" s="761">
        <f>IF(D83=0,0,D76/D83)</f>
        <v>17332.683040935673</v>
      </c>
      <c r="E102" s="761">
        <f>IF(E83=0,0,E76/E83)</f>
        <v>17611.92320571492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81051.579252055119</v>
      </c>
      <c r="D103" s="757">
        <f>+D101+D102</f>
        <v>81339.078362573098</v>
      </c>
      <c r="E103" s="757">
        <f>+E101+E102</f>
        <v>82216.837816720596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2382.4745260865125</v>
      </c>
      <c r="D108" s="744">
        <f>IF(D19=0,0,D77/D19)</f>
        <v>2340.791383372602</v>
      </c>
      <c r="E108" s="744">
        <f>IF(E19=0,0,E77/E19)</f>
        <v>2469.2613141133088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9253.7011235955051</v>
      </c>
      <c r="D109" s="744">
        <f>IF(D20=0,0,D77/D20)</f>
        <v>9337.394199785178</v>
      </c>
      <c r="E109" s="744">
        <f>IF(E20=0,0,E77/E20)</f>
        <v>10022.869097836441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880.83605433482069</v>
      </c>
      <c r="D110" s="744">
        <f>IF(D22=0,0,D77/D22)</f>
        <v>883.55967462770946</v>
      </c>
      <c r="E110" s="744">
        <f>IF(E22=0,0,E77/E22)</f>
        <v>898.14992014668258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3421.2301103132895</v>
      </c>
      <c r="D111" s="744">
        <f>IF(D23=0,0,D77/D23)</f>
        <v>3524.5110006967302</v>
      </c>
      <c r="E111" s="744">
        <f>IF(E23=0,0,E77/E23)</f>
        <v>3645.6405113587616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788.46626706217262</v>
      </c>
      <c r="D112" s="744">
        <f>IF(D29=0,0,D77/D29)</f>
        <v>791.62785145937949</v>
      </c>
      <c r="E112" s="744">
        <f>IF(E29=0,0,E77/E29)</f>
        <v>786.72025115795441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3062.4592630651446</v>
      </c>
      <c r="D113" s="744">
        <f>IF(D30=0,0,D77/D30)</f>
        <v>3157.7958467854678</v>
      </c>
      <c r="E113" s="744">
        <f>IF(E30=0,0,E77/E30)</f>
        <v>3193.3412834456085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FILING&amp;R&amp;"Arial,Bold"&amp;12BRISTOL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427704210</v>
      </c>
      <c r="D12" s="76">
        <v>453092171</v>
      </c>
      <c r="E12" s="76">
        <f t="shared" ref="E12:E21" si="0">D12-C12</f>
        <v>25387961</v>
      </c>
      <c r="F12" s="77">
        <f t="shared" ref="F12:F21" si="1">IF(C12=0,0,E12/C12)</f>
        <v>5.9358688566568001E-2</v>
      </c>
    </row>
    <row r="13" spans="1:8" ht="23.1" customHeight="1" x14ac:dyDescent="0.2">
      <c r="A13" s="74">
        <v>2</v>
      </c>
      <c r="B13" s="75" t="s">
        <v>72</v>
      </c>
      <c r="C13" s="76">
        <v>290680238</v>
      </c>
      <c r="D13" s="76">
        <v>306577343</v>
      </c>
      <c r="E13" s="76">
        <f t="shared" si="0"/>
        <v>15897105</v>
      </c>
      <c r="F13" s="77">
        <f t="shared" si="1"/>
        <v>5.4689321535508033E-2</v>
      </c>
    </row>
    <row r="14" spans="1:8" ht="23.1" customHeight="1" x14ac:dyDescent="0.2">
      <c r="A14" s="74">
        <v>3</v>
      </c>
      <c r="B14" s="75" t="s">
        <v>73</v>
      </c>
      <c r="C14" s="76">
        <v>5306456</v>
      </c>
      <c r="D14" s="76">
        <v>4530623</v>
      </c>
      <c r="E14" s="76">
        <f t="shared" si="0"/>
        <v>-775833</v>
      </c>
      <c r="F14" s="77">
        <f t="shared" si="1"/>
        <v>-0.14620549006719363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131717516</v>
      </c>
      <c r="D16" s="79">
        <f>D12-D13-D14-D15</f>
        <v>141984205</v>
      </c>
      <c r="E16" s="79">
        <f t="shared" si="0"/>
        <v>10266689</v>
      </c>
      <c r="F16" s="80">
        <f t="shared" si="1"/>
        <v>7.7944751099011014E-2</v>
      </c>
    </row>
    <row r="17" spans="1:7" ht="23.1" customHeight="1" x14ac:dyDescent="0.2">
      <c r="A17" s="74">
        <v>5</v>
      </c>
      <c r="B17" s="75" t="s">
        <v>76</v>
      </c>
      <c r="C17" s="76">
        <v>4909425</v>
      </c>
      <c r="D17" s="76">
        <v>4007799</v>
      </c>
      <c r="E17" s="76">
        <f t="shared" si="0"/>
        <v>-901626</v>
      </c>
      <c r="F17" s="77">
        <f t="shared" si="1"/>
        <v>-0.18365205701278664</v>
      </c>
      <c r="G17" s="65"/>
    </row>
    <row r="18" spans="1:7" ht="31.5" customHeight="1" x14ac:dyDescent="0.25">
      <c r="A18" s="71"/>
      <c r="B18" s="81" t="s">
        <v>77</v>
      </c>
      <c r="C18" s="79">
        <f>C16-C17</f>
        <v>126808091</v>
      </c>
      <c r="D18" s="79">
        <f>D16-D17</f>
        <v>137976406</v>
      </c>
      <c r="E18" s="79">
        <f t="shared" si="0"/>
        <v>11168315</v>
      </c>
      <c r="F18" s="80">
        <f t="shared" si="1"/>
        <v>8.8072574170365833E-2</v>
      </c>
    </row>
    <row r="19" spans="1:7" ht="23.1" customHeight="1" x14ac:dyDescent="0.2">
      <c r="A19" s="74">
        <v>6</v>
      </c>
      <c r="B19" s="75" t="s">
        <v>78</v>
      </c>
      <c r="C19" s="76">
        <v>4242269</v>
      </c>
      <c r="D19" s="76">
        <v>4301391</v>
      </c>
      <c r="E19" s="76">
        <f t="shared" si="0"/>
        <v>59122</v>
      </c>
      <c r="F19" s="77">
        <f t="shared" si="1"/>
        <v>1.3936409973059229E-2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131050360</v>
      </c>
      <c r="D21" s="79">
        <f>SUM(D18:D20)</f>
        <v>142277797</v>
      </c>
      <c r="E21" s="79">
        <f t="shared" si="0"/>
        <v>11227437</v>
      </c>
      <c r="F21" s="80">
        <f t="shared" si="1"/>
        <v>8.5672691017407349E-2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54725468</v>
      </c>
      <c r="D24" s="76">
        <v>57879543</v>
      </c>
      <c r="E24" s="76">
        <f t="shared" ref="E24:E33" si="2">D24-C24</f>
        <v>3154075</v>
      </c>
      <c r="F24" s="77">
        <f t="shared" ref="F24:F33" si="3">IF(C24=0,0,E24/C24)</f>
        <v>5.7634500265945646E-2</v>
      </c>
    </row>
    <row r="25" spans="1:7" ht="23.1" customHeight="1" x14ac:dyDescent="0.2">
      <c r="A25" s="74">
        <v>2</v>
      </c>
      <c r="B25" s="75" t="s">
        <v>83</v>
      </c>
      <c r="C25" s="76">
        <v>14819444</v>
      </c>
      <c r="D25" s="76">
        <v>15778522</v>
      </c>
      <c r="E25" s="76">
        <f t="shared" si="2"/>
        <v>959078</v>
      </c>
      <c r="F25" s="77">
        <f t="shared" si="3"/>
        <v>6.4717542709429587E-2</v>
      </c>
    </row>
    <row r="26" spans="1:7" ht="23.1" customHeight="1" x14ac:dyDescent="0.2">
      <c r="A26" s="74">
        <v>3</v>
      </c>
      <c r="B26" s="75" t="s">
        <v>84</v>
      </c>
      <c r="C26" s="76">
        <v>9064475</v>
      </c>
      <c r="D26" s="76">
        <v>11947454</v>
      </c>
      <c r="E26" s="76">
        <f t="shared" si="2"/>
        <v>2882979</v>
      </c>
      <c r="F26" s="77">
        <f t="shared" si="3"/>
        <v>0.31805250717774608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18039840</v>
      </c>
      <c r="D27" s="76">
        <v>20600063</v>
      </c>
      <c r="E27" s="76">
        <f t="shared" si="2"/>
        <v>2560223</v>
      </c>
      <c r="F27" s="77">
        <f t="shared" si="3"/>
        <v>0.14192049375160756</v>
      </c>
    </row>
    <row r="28" spans="1:7" ht="23.1" customHeight="1" x14ac:dyDescent="0.2">
      <c r="A28" s="74">
        <v>5</v>
      </c>
      <c r="B28" s="75" t="s">
        <v>86</v>
      </c>
      <c r="C28" s="76">
        <v>6363743</v>
      </c>
      <c r="D28" s="76">
        <v>6614415</v>
      </c>
      <c r="E28" s="76">
        <f t="shared" si="2"/>
        <v>250672</v>
      </c>
      <c r="F28" s="77">
        <f t="shared" si="3"/>
        <v>3.9390654210894438E-2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1421576</v>
      </c>
      <c r="D30" s="76">
        <v>1412468</v>
      </c>
      <c r="E30" s="76">
        <f t="shared" si="2"/>
        <v>-9108</v>
      </c>
      <c r="F30" s="77">
        <f t="shared" si="3"/>
        <v>-6.4069736686606978E-3</v>
      </c>
    </row>
    <row r="31" spans="1:7" ht="23.1" customHeight="1" x14ac:dyDescent="0.2">
      <c r="A31" s="74">
        <v>8</v>
      </c>
      <c r="B31" s="75" t="s">
        <v>89</v>
      </c>
      <c r="C31" s="76">
        <v>-168825</v>
      </c>
      <c r="D31" s="76">
        <v>498257</v>
      </c>
      <c r="E31" s="76">
        <f t="shared" si="2"/>
        <v>667082</v>
      </c>
      <c r="F31" s="77">
        <f t="shared" si="3"/>
        <v>-3.9513223752406339</v>
      </c>
    </row>
    <row r="32" spans="1:7" ht="23.1" customHeight="1" x14ac:dyDescent="0.2">
      <c r="A32" s="74">
        <v>9</v>
      </c>
      <c r="B32" s="75" t="s">
        <v>90</v>
      </c>
      <c r="C32" s="76">
        <v>25437953</v>
      </c>
      <c r="D32" s="76">
        <v>26498227</v>
      </c>
      <c r="E32" s="76">
        <f t="shared" si="2"/>
        <v>1060274</v>
      </c>
      <c r="F32" s="77">
        <f t="shared" si="3"/>
        <v>4.1680790903261752E-2</v>
      </c>
    </row>
    <row r="33" spans="1:6" ht="23.1" customHeight="1" x14ac:dyDescent="0.25">
      <c r="A33" s="71"/>
      <c r="B33" s="78" t="s">
        <v>91</v>
      </c>
      <c r="C33" s="79">
        <f>SUM(C24:C32)</f>
        <v>129703674</v>
      </c>
      <c r="D33" s="79">
        <f>SUM(D24:D32)</f>
        <v>141228949</v>
      </c>
      <c r="E33" s="79">
        <f t="shared" si="2"/>
        <v>11525275</v>
      </c>
      <c r="F33" s="80">
        <f t="shared" si="3"/>
        <v>8.8858508356517332E-2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1346686</v>
      </c>
      <c r="D35" s="79">
        <f>+D21-D33</f>
        <v>1048848</v>
      </c>
      <c r="E35" s="79">
        <f>D35-C35</f>
        <v>-297838</v>
      </c>
      <c r="F35" s="80">
        <f>IF(C35=0,0,E35/C35)</f>
        <v>-0.22116365656136619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288208</v>
      </c>
      <c r="D38" s="76">
        <v>364945</v>
      </c>
      <c r="E38" s="76">
        <f>D38-C38</f>
        <v>76737</v>
      </c>
      <c r="F38" s="77">
        <f>IF(C38=0,0,E38/C38)</f>
        <v>0.26625562094043193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555862</v>
      </c>
      <c r="D40" s="76">
        <v>898917</v>
      </c>
      <c r="E40" s="76">
        <f>D40-C40</f>
        <v>343055</v>
      </c>
      <c r="F40" s="77">
        <f>IF(C40=0,0,E40/C40)</f>
        <v>0.61715857532984808</v>
      </c>
    </row>
    <row r="41" spans="1:6" ht="23.1" customHeight="1" x14ac:dyDescent="0.25">
      <c r="A41" s="83"/>
      <c r="B41" s="78" t="s">
        <v>97</v>
      </c>
      <c r="C41" s="79">
        <f>SUM(C38:C40)</f>
        <v>844070</v>
      </c>
      <c r="D41" s="79">
        <f>SUM(D38:D40)</f>
        <v>1263862</v>
      </c>
      <c r="E41" s="79">
        <f>D41-C41</f>
        <v>419792</v>
      </c>
      <c r="F41" s="80">
        <f>IF(C41=0,0,E41/C41)</f>
        <v>0.4973426374589785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2190756</v>
      </c>
      <c r="D43" s="79">
        <f>D35+D41</f>
        <v>2312710</v>
      </c>
      <c r="E43" s="79">
        <f>D43-C43</f>
        <v>121954</v>
      </c>
      <c r="F43" s="80">
        <f>IF(C43=0,0,E43/C43)</f>
        <v>5.566754125060025E-2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2190756</v>
      </c>
      <c r="D50" s="79">
        <f>D43+D48</f>
        <v>2312710</v>
      </c>
      <c r="E50" s="79">
        <f>D50-C50</f>
        <v>121954</v>
      </c>
      <c r="F50" s="80">
        <f>IF(C50=0,0,E50/C50)</f>
        <v>5.566754125060025E-2</v>
      </c>
    </row>
    <row r="51" spans="1:6" ht="23.1" customHeight="1" x14ac:dyDescent="0.2">
      <c r="A51" s="85"/>
      <c r="B51" s="75" t="s">
        <v>104</v>
      </c>
      <c r="C51" s="76">
        <v>776377</v>
      </c>
      <c r="D51" s="76">
        <v>1269852</v>
      </c>
      <c r="E51" s="76">
        <f>D51-C51</f>
        <v>493475</v>
      </c>
      <c r="F51" s="77">
        <f>IF(C51=0,0,E51/C51)</f>
        <v>0.63561259542722159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FILING&amp;RBRISTOL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67634700</v>
      </c>
      <c r="D14" s="113">
        <v>69639216</v>
      </c>
      <c r="E14" s="113">
        <f t="shared" ref="E14:E25" si="0">D14-C14</f>
        <v>2004516</v>
      </c>
      <c r="F14" s="114">
        <f t="shared" ref="F14:F25" si="1">IF(C14=0,0,E14/C14)</f>
        <v>2.9637390274518848E-2</v>
      </c>
    </row>
    <row r="15" spans="1:6" x14ac:dyDescent="0.2">
      <c r="A15" s="115">
        <v>2</v>
      </c>
      <c r="B15" s="116" t="s">
        <v>114</v>
      </c>
      <c r="C15" s="113">
        <v>21093935</v>
      </c>
      <c r="D15" s="113">
        <v>22588183</v>
      </c>
      <c r="E15" s="113">
        <f t="shared" si="0"/>
        <v>1494248</v>
      </c>
      <c r="F15" s="114">
        <f t="shared" si="1"/>
        <v>7.0837802429940172E-2</v>
      </c>
    </row>
    <row r="16" spans="1:6" x14ac:dyDescent="0.2">
      <c r="A16" s="115">
        <v>3</v>
      </c>
      <c r="B16" s="116" t="s">
        <v>115</v>
      </c>
      <c r="C16" s="113">
        <v>28359389</v>
      </c>
      <c r="D16" s="113">
        <v>30033754</v>
      </c>
      <c r="E16" s="113">
        <f t="shared" si="0"/>
        <v>1674365</v>
      </c>
      <c r="F16" s="114">
        <f t="shared" si="1"/>
        <v>5.9040940550588027E-2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214150</v>
      </c>
      <c r="D18" s="113">
        <v>432011</v>
      </c>
      <c r="E18" s="113">
        <f t="shared" si="0"/>
        <v>217861</v>
      </c>
      <c r="F18" s="114">
        <f t="shared" si="1"/>
        <v>1.0173289750175112</v>
      </c>
    </row>
    <row r="19" spans="1:6" x14ac:dyDescent="0.2">
      <c r="A19" s="115">
        <v>6</v>
      </c>
      <c r="B19" s="116" t="s">
        <v>118</v>
      </c>
      <c r="C19" s="113">
        <v>24877921</v>
      </c>
      <c r="D19" s="113">
        <v>23861805</v>
      </c>
      <c r="E19" s="113">
        <f t="shared" si="0"/>
        <v>-1016116</v>
      </c>
      <c r="F19" s="114">
        <f t="shared" si="1"/>
        <v>-4.084408821782174E-2</v>
      </c>
    </row>
    <row r="20" spans="1:6" x14ac:dyDescent="0.2">
      <c r="A20" s="115">
        <v>7</v>
      </c>
      <c r="B20" s="116" t="s">
        <v>119</v>
      </c>
      <c r="C20" s="113">
        <v>16284320</v>
      </c>
      <c r="D20" s="113">
        <v>15696334</v>
      </c>
      <c r="E20" s="113">
        <f t="shared" si="0"/>
        <v>-587986</v>
      </c>
      <c r="F20" s="114">
        <f t="shared" si="1"/>
        <v>-3.6107494817100128E-2</v>
      </c>
    </row>
    <row r="21" spans="1:6" x14ac:dyDescent="0.2">
      <c r="A21" s="115">
        <v>8</v>
      </c>
      <c r="B21" s="116" t="s">
        <v>120</v>
      </c>
      <c r="C21" s="113">
        <v>951567</v>
      </c>
      <c r="D21" s="113">
        <v>1092897</v>
      </c>
      <c r="E21" s="113">
        <f t="shared" si="0"/>
        <v>141330</v>
      </c>
      <c r="F21" s="114">
        <f t="shared" si="1"/>
        <v>0.14852343555419639</v>
      </c>
    </row>
    <row r="22" spans="1:6" x14ac:dyDescent="0.2">
      <c r="A22" s="115">
        <v>9</v>
      </c>
      <c r="B22" s="116" t="s">
        <v>121</v>
      </c>
      <c r="C22" s="113">
        <v>2026235</v>
      </c>
      <c r="D22" s="113">
        <v>1460013</v>
      </c>
      <c r="E22" s="113">
        <f t="shared" si="0"/>
        <v>-566222</v>
      </c>
      <c r="F22" s="114">
        <f t="shared" si="1"/>
        <v>-0.2794453752896382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161442217</v>
      </c>
      <c r="D25" s="119">
        <f>SUM(D14:D24)</f>
        <v>164804213</v>
      </c>
      <c r="E25" s="119">
        <f t="shared" si="0"/>
        <v>3361996</v>
      </c>
      <c r="F25" s="120">
        <f t="shared" si="1"/>
        <v>2.0824763574697442E-2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78682721</v>
      </c>
      <c r="D27" s="113">
        <v>84244305</v>
      </c>
      <c r="E27" s="113">
        <f t="shared" ref="E27:E38" si="2">D27-C27</f>
        <v>5561584</v>
      </c>
      <c r="F27" s="114">
        <f t="shared" ref="F27:F38" si="3">IF(C27=0,0,E27/C27)</f>
        <v>7.0683676534267284E-2</v>
      </c>
    </row>
    <row r="28" spans="1:6" x14ac:dyDescent="0.2">
      <c r="A28" s="115">
        <v>2</v>
      </c>
      <c r="B28" s="116" t="s">
        <v>114</v>
      </c>
      <c r="C28" s="113">
        <v>28348076</v>
      </c>
      <c r="D28" s="113">
        <v>30911582</v>
      </c>
      <c r="E28" s="113">
        <f t="shared" si="2"/>
        <v>2563506</v>
      </c>
      <c r="F28" s="114">
        <f t="shared" si="3"/>
        <v>9.0429629157195712E-2</v>
      </c>
    </row>
    <row r="29" spans="1:6" x14ac:dyDescent="0.2">
      <c r="A29" s="115">
        <v>3</v>
      </c>
      <c r="B29" s="116" t="s">
        <v>115</v>
      </c>
      <c r="C29" s="113">
        <v>53507154</v>
      </c>
      <c r="D29" s="113">
        <v>59919782</v>
      </c>
      <c r="E29" s="113">
        <f t="shared" si="2"/>
        <v>6412628</v>
      </c>
      <c r="F29" s="114">
        <f t="shared" si="3"/>
        <v>0.11984617982111327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672300</v>
      </c>
      <c r="D31" s="113">
        <v>1106845</v>
      </c>
      <c r="E31" s="113">
        <f t="shared" si="2"/>
        <v>434545</v>
      </c>
      <c r="F31" s="114">
        <f t="shared" si="3"/>
        <v>0.64635579354454853</v>
      </c>
    </row>
    <row r="32" spans="1:6" x14ac:dyDescent="0.2">
      <c r="A32" s="115">
        <v>6</v>
      </c>
      <c r="B32" s="116" t="s">
        <v>118</v>
      </c>
      <c r="C32" s="113">
        <v>58242349</v>
      </c>
      <c r="D32" s="113">
        <v>66500876</v>
      </c>
      <c r="E32" s="113">
        <f t="shared" si="2"/>
        <v>8258527</v>
      </c>
      <c r="F32" s="114">
        <f t="shared" si="3"/>
        <v>0.14179591211199261</v>
      </c>
    </row>
    <row r="33" spans="1:6" x14ac:dyDescent="0.2">
      <c r="A33" s="115">
        <v>7</v>
      </c>
      <c r="B33" s="116" t="s">
        <v>119</v>
      </c>
      <c r="C33" s="113">
        <v>36442168</v>
      </c>
      <c r="D33" s="113">
        <v>36241066</v>
      </c>
      <c r="E33" s="113">
        <f t="shared" si="2"/>
        <v>-201102</v>
      </c>
      <c r="F33" s="114">
        <f t="shared" si="3"/>
        <v>-5.5183873802458734E-3</v>
      </c>
    </row>
    <row r="34" spans="1:6" x14ac:dyDescent="0.2">
      <c r="A34" s="115">
        <v>8</v>
      </c>
      <c r="B34" s="116" t="s">
        <v>120</v>
      </c>
      <c r="C34" s="113">
        <v>3702067</v>
      </c>
      <c r="D34" s="113">
        <v>3512051</v>
      </c>
      <c r="E34" s="113">
        <f t="shared" si="2"/>
        <v>-190016</v>
      </c>
      <c r="F34" s="114">
        <f t="shared" si="3"/>
        <v>-5.1327001915416441E-2</v>
      </c>
    </row>
    <row r="35" spans="1:6" x14ac:dyDescent="0.2">
      <c r="A35" s="115">
        <v>9</v>
      </c>
      <c r="B35" s="116" t="s">
        <v>121</v>
      </c>
      <c r="C35" s="113">
        <v>6665563</v>
      </c>
      <c r="D35" s="113">
        <v>5851418</v>
      </c>
      <c r="E35" s="113">
        <f t="shared" si="2"/>
        <v>-814145</v>
      </c>
      <c r="F35" s="114">
        <f t="shared" si="3"/>
        <v>-0.12214197060323337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266262398</v>
      </c>
      <c r="D38" s="119">
        <f>SUM(D27:D37)</f>
        <v>288287925</v>
      </c>
      <c r="E38" s="119">
        <f t="shared" si="2"/>
        <v>22025527</v>
      </c>
      <c r="F38" s="120">
        <f t="shared" si="3"/>
        <v>8.2721132106682221E-2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146317421</v>
      </c>
      <c r="D41" s="119">
        <f t="shared" si="4"/>
        <v>153883521</v>
      </c>
      <c r="E41" s="123">
        <f t="shared" ref="E41:E52" si="5">D41-C41</f>
        <v>7566100</v>
      </c>
      <c r="F41" s="124">
        <f t="shared" ref="F41:F52" si="6">IF(C41=0,0,E41/C41)</f>
        <v>5.1710178789988376E-2</v>
      </c>
    </row>
    <row r="42" spans="1:6" ht="15.75" x14ac:dyDescent="0.25">
      <c r="A42" s="121">
        <v>2</v>
      </c>
      <c r="B42" s="122" t="s">
        <v>114</v>
      </c>
      <c r="C42" s="119">
        <f t="shared" si="4"/>
        <v>49442011</v>
      </c>
      <c r="D42" s="119">
        <f t="shared" si="4"/>
        <v>53499765</v>
      </c>
      <c r="E42" s="123">
        <f t="shared" si="5"/>
        <v>4057754</v>
      </c>
      <c r="F42" s="124">
        <f t="shared" si="6"/>
        <v>8.2070974014386261E-2</v>
      </c>
    </row>
    <row r="43" spans="1:6" ht="15.75" x14ac:dyDescent="0.25">
      <c r="A43" s="121">
        <v>3</v>
      </c>
      <c r="B43" s="122" t="s">
        <v>115</v>
      </c>
      <c r="C43" s="119">
        <f t="shared" si="4"/>
        <v>81866543</v>
      </c>
      <c r="D43" s="119">
        <f t="shared" si="4"/>
        <v>89953536</v>
      </c>
      <c r="E43" s="123">
        <f t="shared" si="5"/>
        <v>8086993</v>
      </c>
      <c r="F43" s="124">
        <f t="shared" si="6"/>
        <v>9.8782637004716317E-2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886450</v>
      </c>
      <c r="D45" s="119">
        <f t="shared" si="4"/>
        <v>1538856</v>
      </c>
      <c r="E45" s="123">
        <f t="shared" si="5"/>
        <v>652406</v>
      </c>
      <c r="F45" s="124">
        <f t="shared" si="6"/>
        <v>0.73597608438152184</v>
      </c>
    </row>
    <row r="46" spans="1:6" ht="15.75" x14ac:dyDescent="0.25">
      <c r="A46" s="121">
        <v>6</v>
      </c>
      <c r="B46" s="122" t="s">
        <v>118</v>
      </c>
      <c r="C46" s="119">
        <f t="shared" si="4"/>
        <v>83120270</v>
      </c>
      <c r="D46" s="119">
        <f t="shared" si="4"/>
        <v>90362681</v>
      </c>
      <c r="E46" s="123">
        <f t="shared" si="5"/>
        <v>7242411</v>
      </c>
      <c r="F46" s="124">
        <f t="shared" si="6"/>
        <v>8.7131706862838637E-2</v>
      </c>
    </row>
    <row r="47" spans="1:6" ht="15.75" x14ac:dyDescent="0.25">
      <c r="A47" s="121">
        <v>7</v>
      </c>
      <c r="B47" s="122" t="s">
        <v>119</v>
      </c>
      <c r="C47" s="119">
        <f t="shared" si="4"/>
        <v>52726488</v>
      </c>
      <c r="D47" s="119">
        <f t="shared" si="4"/>
        <v>51937400</v>
      </c>
      <c r="E47" s="123">
        <f t="shared" si="5"/>
        <v>-789088</v>
      </c>
      <c r="F47" s="124">
        <f t="shared" si="6"/>
        <v>-1.4965684799639984E-2</v>
      </c>
    </row>
    <row r="48" spans="1:6" ht="15.75" x14ac:dyDescent="0.25">
      <c r="A48" s="121">
        <v>8</v>
      </c>
      <c r="B48" s="122" t="s">
        <v>120</v>
      </c>
      <c r="C48" s="119">
        <f t="shared" si="4"/>
        <v>4653634</v>
      </c>
      <c r="D48" s="119">
        <f t="shared" si="4"/>
        <v>4604948</v>
      </c>
      <c r="E48" s="123">
        <f t="shared" si="5"/>
        <v>-48686</v>
      </c>
      <c r="F48" s="124">
        <f t="shared" si="6"/>
        <v>-1.0461931471190043E-2</v>
      </c>
    </row>
    <row r="49" spans="1:6" ht="15.75" x14ac:dyDescent="0.25">
      <c r="A49" s="121">
        <v>9</v>
      </c>
      <c r="B49" s="122" t="s">
        <v>121</v>
      </c>
      <c r="C49" s="119">
        <f t="shared" si="4"/>
        <v>8691798</v>
      </c>
      <c r="D49" s="119">
        <f t="shared" si="4"/>
        <v>7311431</v>
      </c>
      <c r="E49" s="123">
        <f t="shared" si="5"/>
        <v>-1380367</v>
      </c>
      <c r="F49" s="124">
        <f t="shared" si="6"/>
        <v>-0.15881259550670643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427704615</v>
      </c>
      <c r="D52" s="128">
        <f>SUM(D41:D51)</f>
        <v>453092138</v>
      </c>
      <c r="E52" s="127">
        <f t="shared" si="5"/>
        <v>25387523</v>
      </c>
      <c r="F52" s="129">
        <f t="shared" si="6"/>
        <v>5.9357608287673023E-2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22673728</v>
      </c>
      <c r="D57" s="113">
        <v>23462705</v>
      </c>
      <c r="E57" s="113">
        <f t="shared" ref="E57:E68" si="7">D57-C57</f>
        <v>788977</v>
      </c>
      <c r="F57" s="114">
        <f t="shared" ref="F57:F68" si="8">IF(C57=0,0,E57/C57)</f>
        <v>3.4796968544387581E-2</v>
      </c>
    </row>
    <row r="58" spans="1:6" x14ac:dyDescent="0.2">
      <c r="A58" s="115">
        <v>2</v>
      </c>
      <c r="B58" s="116" t="s">
        <v>114</v>
      </c>
      <c r="C58" s="113">
        <v>7311029</v>
      </c>
      <c r="D58" s="113">
        <v>7580651</v>
      </c>
      <c r="E58" s="113">
        <f t="shared" si="7"/>
        <v>269622</v>
      </c>
      <c r="F58" s="114">
        <f t="shared" si="8"/>
        <v>3.6878803243702081E-2</v>
      </c>
    </row>
    <row r="59" spans="1:6" x14ac:dyDescent="0.2">
      <c r="A59" s="115">
        <v>3</v>
      </c>
      <c r="B59" s="116" t="s">
        <v>115</v>
      </c>
      <c r="C59" s="113">
        <v>6716915</v>
      </c>
      <c r="D59" s="113">
        <v>6607478</v>
      </c>
      <c r="E59" s="113">
        <f t="shared" si="7"/>
        <v>-109437</v>
      </c>
      <c r="F59" s="114">
        <f t="shared" si="8"/>
        <v>-1.629274748898862E-2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70785</v>
      </c>
      <c r="D61" s="113">
        <v>160387</v>
      </c>
      <c r="E61" s="113">
        <f t="shared" si="7"/>
        <v>89602</v>
      </c>
      <c r="F61" s="114">
        <f t="shared" si="8"/>
        <v>1.2658331567422476</v>
      </c>
    </row>
    <row r="62" spans="1:6" x14ac:dyDescent="0.2">
      <c r="A62" s="115">
        <v>6</v>
      </c>
      <c r="B62" s="116" t="s">
        <v>118</v>
      </c>
      <c r="C62" s="113">
        <v>10899954</v>
      </c>
      <c r="D62" s="113">
        <v>10589616</v>
      </c>
      <c r="E62" s="113">
        <f t="shared" si="7"/>
        <v>-310338</v>
      </c>
      <c r="F62" s="114">
        <f t="shared" si="8"/>
        <v>-2.8471496301727513E-2</v>
      </c>
    </row>
    <row r="63" spans="1:6" x14ac:dyDescent="0.2">
      <c r="A63" s="115">
        <v>7</v>
      </c>
      <c r="B63" s="116" t="s">
        <v>119</v>
      </c>
      <c r="C63" s="113">
        <v>9416163</v>
      </c>
      <c r="D63" s="113">
        <v>9188117</v>
      </c>
      <c r="E63" s="113">
        <f t="shared" si="7"/>
        <v>-228046</v>
      </c>
      <c r="F63" s="114">
        <f t="shared" si="8"/>
        <v>-2.4218569708277141E-2</v>
      </c>
    </row>
    <row r="64" spans="1:6" x14ac:dyDescent="0.2">
      <c r="A64" s="115">
        <v>8</v>
      </c>
      <c r="B64" s="116" t="s">
        <v>120</v>
      </c>
      <c r="C64" s="113">
        <v>951567</v>
      </c>
      <c r="D64" s="113">
        <v>1092896</v>
      </c>
      <c r="E64" s="113">
        <f t="shared" si="7"/>
        <v>141329</v>
      </c>
      <c r="F64" s="114">
        <f t="shared" si="8"/>
        <v>0.14852238465604628</v>
      </c>
    </row>
    <row r="65" spans="1:6" x14ac:dyDescent="0.2">
      <c r="A65" s="115">
        <v>9</v>
      </c>
      <c r="B65" s="116" t="s">
        <v>121</v>
      </c>
      <c r="C65" s="113">
        <v>10370</v>
      </c>
      <c r="D65" s="113">
        <v>0</v>
      </c>
      <c r="E65" s="113">
        <f t="shared" si="7"/>
        <v>-10370</v>
      </c>
      <c r="F65" s="114">
        <f t="shared" si="8"/>
        <v>-1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58050511</v>
      </c>
      <c r="D68" s="119">
        <f>SUM(D57:D67)</f>
        <v>58681850</v>
      </c>
      <c r="E68" s="119">
        <f t="shared" si="7"/>
        <v>631339</v>
      </c>
      <c r="F68" s="120">
        <f t="shared" si="8"/>
        <v>1.0875683764437491E-2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12774920</v>
      </c>
      <c r="D70" s="113">
        <v>15509760</v>
      </c>
      <c r="E70" s="113">
        <f t="shared" ref="E70:E81" si="9">D70-C70</f>
        <v>2734840</v>
      </c>
      <c r="F70" s="114">
        <f t="shared" ref="F70:F81" si="10">IF(C70=0,0,E70/C70)</f>
        <v>0.2140788357187364</v>
      </c>
    </row>
    <row r="71" spans="1:6" x14ac:dyDescent="0.2">
      <c r="A71" s="115">
        <v>2</v>
      </c>
      <c r="B71" s="116" t="s">
        <v>114</v>
      </c>
      <c r="C71" s="113">
        <v>5134737</v>
      </c>
      <c r="D71" s="113">
        <v>5389617</v>
      </c>
      <c r="E71" s="113">
        <f t="shared" si="9"/>
        <v>254880</v>
      </c>
      <c r="F71" s="114">
        <f t="shared" si="10"/>
        <v>4.963837485736855E-2</v>
      </c>
    </row>
    <row r="72" spans="1:6" x14ac:dyDescent="0.2">
      <c r="A72" s="115">
        <v>3</v>
      </c>
      <c r="B72" s="116" t="s">
        <v>115</v>
      </c>
      <c r="C72" s="113">
        <v>11283345</v>
      </c>
      <c r="D72" s="113">
        <v>13100657</v>
      </c>
      <c r="E72" s="113">
        <f t="shared" si="9"/>
        <v>1817312</v>
      </c>
      <c r="F72" s="114">
        <f t="shared" si="10"/>
        <v>0.16106145828209631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205727</v>
      </c>
      <c r="D74" s="113">
        <v>123430</v>
      </c>
      <c r="E74" s="113">
        <f t="shared" si="9"/>
        <v>-82297</v>
      </c>
      <c r="F74" s="114">
        <f t="shared" si="10"/>
        <v>-0.40003013702625323</v>
      </c>
    </row>
    <row r="75" spans="1:6" x14ac:dyDescent="0.2">
      <c r="A75" s="115">
        <v>6</v>
      </c>
      <c r="B75" s="116" t="s">
        <v>118</v>
      </c>
      <c r="C75" s="113">
        <v>24102734</v>
      </c>
      <c r="D75" s="113">
        <v>24292496</v>
      </c>
      <c r="E75" s="113">
        <f t="shared" si="9"/>
        <v>189762</v>
      </c>
      <c r="F75" s="114">
        <f t="shared" si="10"/>
        <v>7.8730487587009845E-3</v>
      </c>
    </row>
    <row r="76" spans="1:6" x14ac:dyDescent="0.2">
      <c r="A76" s="115">
        <v>7</v>
      </c>
      <c r="B76" s="116" t="s">
        <v>119</v>
      </c>
      <c r="C76" s="113">
        <v>10925766</v>
      </c>
      <c r="D76" s="113">
        <v>15291130</v>
      </c>
      <c r="E76" s="113">
        <f t="shared" si="9"/>
        <v>4365364</v>
      </c>
      <c r="F76" s="114">
        <f t="shared" si="10"/>
        <v>0.39954763812441157</v>
      </c>
    </row>
    <row r="77" spans="1:6" x14ac:dyDescent="0.2">
      <c r="A77" s="115">
        <v>8</v>
      </c>
      <c r="B77" s="116" t="s">
        <v>120</v>
      </c>
      <c r="C77" s="113">
        <v>3702067</v>
      </c>
      <c r="D77" s="113">
        <v>3512051</v>
      </c>
      <c r="E77" s="113">
        <f t="shared" si="9"/>
        <v>-190016</v>
      </c>
      <c r="F77" s="114">
        <f t="shared" si="10"/>
        <v>-5.1327001915416441E-2</v>
      </c>
    </row>
    <row r="78" spans="1:6" x14ac:dyDescent="0.2">
      <c r="A78" s="115">
        <v>9</v>
      </c>
      <c r="B78" s="116" t="s">
        <v>121</v>
      </c>
      <c r="C78" s="113">
        <v>75205</v>
      </c>
      <c r="D78" s="113">
        <v>67919</v>
      </c>
      <c r="E78" s="113">
        <f t="shared" si="9"/>
        <v>-7286</v>
      </c>
      <c r="F78" s="114">
        <f t="shared" si="10"/>
        <v>-9.6881856259557211E-2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68204501</v>
      </c>
      <c r="D81" s="119">
        <f>SUM(D70:D80)</f>
        <v>77287060</v>
      </c>
      <c r="E81" s="119">
        <f t="shared" si="9"/>
        <v>9082559</v>
      </c>
      <c r="F81" s="120">
        <f t="shared" si="10"/>
        <v>0.1331665633034981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35448648</v>
      </c>
      <c r="D84" s="119">
        <f t="shared" si="11"/>
        <v>38972465</v>
      </c>
      <c r="E84" s="119">
        <f t="shared" ref="E84:E95" si="12">D84-C84</f>
        <v>3523817</v>
      </c>
      <c r="F84" s="120">
        <f t="shared" ref="F84:F95" si="13">IF(C84=0,0,E84/C84)</f>
        <v>9.9406245338327148E-2</v>
      </c>
    </row>
    <row r="85" spans="1:6" ht="15.75" x14ac:dyDescent="0.25">
      <c r="A85" s="130">
        <v>2</v>
      </c>
      <c r="B85" s="122" t="s">
        <v>114</v>
      </c>
      <c r="C85" s="119">
        <f t="shared" si="11"/>
        <v>12445766</v>
      </c>
      <c r="D85" s="119">
        <f t="shared" si="11"/>
        <v>12970268</v>
      </c>
      <c r="E85" s="119">
        <f t="shared" si="12"/>
        <v>524502</v>
      </c>
      <c r="F85" s="120">
        <f t="shared" si="13"/>
        <v>4.2143006706055697E-2</v>
      </c>
    </row>
    <row r="86" spans="1:6" ht="15.75" x14ac:dyDescent="0.25">
      <c r="A86" s="130">
        <v>3</v>
      </c>
      <c r="B86" s="122" t="s">
        <v>115</v>
      </c>
      <c r="C86" s="119">
        <f t="shared" si="11"/>
        <v>18000260</v>
      </c>
      <c r="D86" s="119">
        <f t="shared" si="11"/>
        <v>19708135</v>
      </c>
      <c r="E86" s="119">
        <f t="shared" si="12"/>
        <v>1707875</v>
      </c>
      <c r="F86" s="120">
        <f t="shared" si="13"/>
        <v>9.4880573947265207E-2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276512</v>
      </c>
      <c r="D88" s="119">
        <f t="shared" si="11"/>
        <v>283817</v>
      </c>
      <c r="E88" s="119">
        <f t="shared" si="12"/>
        <v>7305</v>
      </c>
      <c r="F88" s="120">
        <f t="shared" si="13"/>
        <v>2.6418383288971184E-2</v>
      </c>
    </row>
    <row r="89" spans="1:6" ht="15.75" x14ac:dyDescent="0.25">
      <c r="A89" s="130">
        <v>6</v>
      </c>
      <c r="B89" s="122" t="s">
        <v>118</v>
      </c>
      <c r="C89" s="119">
        <f t="shared" si="11"/>
        <v>35002688</v>
      </c>
      <c r="D89" s="119">
        <f t="shared" si="11"/>
        <v>34882112</v>
      </c>
      <c r="E89" s="119">
        <f t="shared" si="12"/>
        <v>-120576</v>
      </c>
      <c r="F89" s="120">
        <f t="shared" si="13"/>
        <v>-3.4447640135523306E-3</v>
      </c>
    </row>
    <row r="90" spans="1:6" ht="15.75" x14ac:dyDescent="0.25">
      <c r="A90" s="130">
        <v>7</v>
      </c>
      <c r="B90" s="122" t="s">
        <v>119</v>
      </c>
      <c r="C90" s="119">
        <f t="shared" si="11"/>
        <v>20341929</v>
      </c>
      <c r="D90" s="119">
        <f t="shared" si="11"/>
        <v>24479247</v>
      </c>
      <c r="E90" s="119">
        <f t="shared" si="12"/>
        <v>4137318</v>
      </c>
      <c r="F90" s="120">
        <f t="shared" si="13"/>
        <v>0.20338867567574342</v>
      </c>
    </row>
    <row r="91" spans="1:6" ht="15.75" x14ac:dyDescent="0.25">
      <c r="A91" s="130">
        <v>8</v>
      </c>
      <c r="B91" s="122" t="s">
        <v>120</v>
      </c>
      <c r="C91" s="119">
        <f t="shared" si="11"/>
        <v>4653634</v>
      </c>
      <c r="D91" s="119">
        <f t="shared" si="11"/>
        <v>4604947</v>
      </c>
      <c r="E91" s="119">
        <f t="shared" si="12"/>
        <v>-48687</v>
      </c>
      <c r="F91" s="120">
        <f t="shared" si="13"/>
        <v>-1.0462146357019052E-2</v>
      </c>
    </row>
    <row r="92" spans="1:6" ht="15.75" x14ac:dyDescent="0.25">
      <c r="A92" s="130">
        <v>9</v>
      </c>
      <c r="B92" s="122" t="s">
        <v>121</v>
      </c>
      <c r="C92" s="119">
        <f t="shared" si="11"/>
        <v>85575</v>
      </c>
      <c r="D92" s="119">
        <f t="shared" si="11"/>
        <v>67919</v>
      </c>
      <c r="E92" s="119">
        <f t="shared" si="12"/>
        <v>-17656</v>
      </c>
      <c r="F92" s="120">
        <f t="shared" si="13"/>
        <v>-0.20632193981887234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126255012</v>
      </c>
      <c r="D95" s="128">
        <f>SUM(D84:D94)</f>
        <v>135968910</v>
      </c>
      <c r="E95" s="128">
        <f t="shared" si="12"/>
        <v>9713898</v>
      </c>
      <c r="F95" s="129">
        <f t="shared" si="13"/>
        <v>7.6938711945946356E-2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2740</v>
      </c>
      <c r="D100" s="133">
        <v>2588</v>
      </c>
      <c r="E100" s="133">
        <f t="shared" ref="E100:E111" si="14">D100-C100</f>
        <v>-152</v>
      </c>
      <c r="F100" s="114">
        <f t="shared" ref="F100:F111" si="15">IF(C100=0,0,E100/C100)</f>
        <v>-5.5474452554744529E-2</v>
      </c>
    </row>
    <row r="101" spans="1:6" x14ac:dyDescent="0.2">
      <c r="A101" s="115">
        <v>2</v>
      </c>
      <c r="B101" s="116" t="s">
        <v>114</v>
      </c>
      <c r="C101" s="133">
        <v>844</v>
      </c>
      <c r="D101" s="133">
        <v>822</v>
      </c>
      <c r="E101" s="133">
        <f t="shared" si="14"/>
        <v>-22</v>
      </c>
      <c r="F101" s="114">
        <f t="shared" si="15"/>
        <v>-2.6066350710900472E-2</v>
      </c>
    </row>
    <row r="102" spans="1:6" x14ac:dyDescent="0.2">
      <c r="A102" s="115">
        <v>3</v>
      </c>
      <c r="B102" s="116" t="s">
        <v>115</v>
      </c>
      <c r="C102" s="133">
        <v>1646</v>
      </c>
      <c r="D102" s="133">
        <v>1797</v>
      </c>
      <c r="E102" s="133">
        <f t="shared" si="14"/>
        <v>151</v>
      </c>
      <c r="F102" s="114">
        <f t="shared" si="15"/>
        <v>9.1737545565006073E-2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16</v>
      </c>
      <c r="D104" s="133">
        <v>26</v>
      </c>
      <c r="E104" s="133">
        <f t="shared" si="14"/>
        <v>10</v>
      </c>
      <c r="F104" s="114">
        <f t="shared" si="15"/>
        <v>0.625</v>
      </c>
    </row>
    <row r="105" spans="1:6" x14ac:dyDescent="0.2">
      <c r="A105" s="115">
        <v>6</v>
      </c>
      <c r="B105" s="116" t="s">
        <v>118</v>
      </c>
      <c r="C105" s="133">
        <v>1217</v>
      </c>
      <c r="D105" s="133">
        <v>1204</v>
      </c>
      <c r="E105" s="133">
        <f t="shared" si="14"/>
        <v>-13</v>
      </c>
      <c r="F105" s="114">
        <f t="shared" si="15"/>
        <v>-1.0682004930156122E-2</v>
      </c>
    </row>
    <row r="106" spans="1:6" x14ac:dyDescent="0.2">
      <c r="A106" s="115">
        <v>7</v>
      </c>
      <c r="B106" s="116" t="s">
        <v>119</v>
      </c>
      <c r="C106" s="133">
        <v>837</v>
      </c>
      <c r="D106" s="133">
        <v>788</v>
      </c>
      <c r="E106" s="133">
        <f t="shared" si="14"/>
        <v>-49</v>
      </c>
      <c r="F106" s="114">
        <f t="shared" si="15"/>
        <v>-5.8542413381123058E-2</v>
      </c>
    </row>
    <row r="107" spans="1:6" x14ac:dyDescent="0.2">
      <c r="A107" s="115">
        <v>8</v>
      </c>
      <c r="B107" s="116" t="s">
        <v>120</v>
      </c>
      <c r="C107" s="133">
        <v>16</v>
      </c>
      <c r="D107" s="133">
        <v>11</v>
      </c>
      <c r="E107" s="133">
        <f t="shared" si="14"/>
        <v>-5</v>
      </c>
      <c r="F107" s="114">
        <f t="shared" si="15"/>
        <v>-0.3125</v>
      </c>
    </row>
    <row r="108" spans="1:6" x14ac:dyDescent="0.2">
      <c r="A108" s="115">
        <v>9</v>
      </c>
      <c r="B108" s="116" t="s">
        <v>121</v>
      </c>
      <c r="C108" s="133">
        <v>132</v>
      </c>
      <c r="D108" s="133">
        <v>113</v>
      </c>
      <c r="E108" s="133">
        <f t="shared" si="14"/>
        <v>-19</v>
      </c>
      <c r="F108" s="114">
        <f t="shared" si="15"/>
        <v>-0.14393939393939395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7448</v>
      </c>
      <c r="D111" s="134">
        <f>SUM(D100:D110)</f>
        <v>7349</v>
      </c>
      <c r="E111" s="134">
        <f t="shared" si="14"/>
        <v>-99</v>
      </c>
      <c r="F111" s="120">
        <f t="shared" si="15"/>
        <v>-1.3292158968850698E-2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12730</v>
      </c>
      <c r="D113" s="133">
        <v>12291</v>
      </c>
      <c r="E113" s="133">
        <f t="shared" ref="E113:E124" si="16">D113-C113</f>
        <v>-439</v>
      </c>
      <c r="F113" s="114">
        <f t="shared" ref="F113:F124" si="17">IF(C113=0,0,E113/C113)</f>
        <v>-3.4485467399842894E-2</v>
      </c>
    </row>
    <row r="114" spans="1:6" x14ac:dyDescent="0.2">
      <c r="A114" s="115">
        <v>2</v>
      </c>
      <c r="B114" s="116" t="s">
        <v>114</v>
      </c>
      <c r="C114" s="133">
        <v>3776</v>
      </c>
      <c r="D114" s="133">
        <v>3954</v>
      </c>
      <c r="E114" s="133">
        <f t="shared" si="16"/>
        <v>178</v>
      </c>
      <c r="F114" s="114">
        <f t="shared" si="17"/>
        <v>4.7139830508474576E-2</v>
      </c>
    </row>
    <row r="115" spans="1:6" x14ac:dyDescent="0.2">
      <c r="A115" s="115">
        <v>3</v>
      </c>
      <c r="B115" s="116" t="s">
        <v>115</v>
      </c>
      <c r="C115" s="133">
        <v>5997</v>
      </c>
      <c r="D115" s="133">
        <v>6529</v>
      </c>
      <c r="E115" s="133">
        <f t="shared" si="16"/>
        <v>532</v>
      </c>
      <c r="F115" s="114">
        <f t="shared" si="17"/>
        <v>8.8711022177755547E-2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43</v>
      </c>
      <c r="D117" s="133">
        <v>70</v>
      </c>
      <c r="E117" s="133">
        <f t="shared" si="16"/>
        <v>27</v>
      </c>
      <c r="F117" s="114">
        <f t="shared" si="17"/>
        <v>0.62790697674418605</v>
      </c>
    </row>
    <row r="118" spans="1:6" x14ac:dyDescent="0.2">
      <c r="A118" s="115">
        <v>6</v>
      </c>
      <c r="B118" s="116" t="s">
        <v>118</v>
      </c>
      <c r="C118" s="133">
        <v>4100</v>
      </c>
      <c r="D118" s="133">
        <v>3956</v>
      </c>
      <c r="E118" s="133">
        <f t="shared" si="16"/>
        <v>-144</v>
      </c>
      <c r="F118" s="114">
        <f t="shared" si="17"/>
        <v>-3.5121951219512199E-2</v>
      </c>
    </row>
    <row r="119" spans="1:6" x14ac:dyDescent="0.2">
      <c r="A119" s="115">
        <v>7</v>
      </c>
      <c r="B119" s="116" t="s">
        <v>119</v>
      </c>
      <c r="C119" s="133">
        <v>2635</v>
      </c>
      <c r="D119" s="133">
        <v>2595</v>
      </c>
      <c r="E119" s="133">
        <f t="shared" si="16"/>
        <v>-40</v>
      </c>
      <c r="F119" s="114">
        <f t="shared" si="17"/>
        <v>-1.5180265654648957E-2</v>
      </c>
    </row>
    <row r="120" spans="1:6" x14ac:dyDescent="0.2">
      <c r="A120" s="115">
        <v>8</v>
      </c>
      <c r="B120" s="116" t="s">
        <v>120</v>
      </c>
      <c r="C120" s="133">
        <v>61</v>
      </c>
      <c r="D120" s="133">
        <v>60</v>
      </c>
      <c r="E120" s="133">
        <f t="shared" si="16"/>
        <v>-1</v>
      </c>
      <c r="F120" s="114">
        <f t="shared" si="17"/>
        <v>-1.6393442622950821E-2</v>
      </c>
    </row>
    <row r="121" spans="1:6" x14ac:dyDescent="0.2">
      <c r="A121" s="115">
        <v>9</v>
      </c>
      <c r="B121" s="116" t="s">
        <v>121</v>
      </c>
      <c r="C121" s="133">
        <v>368</v>
      </c>
      <c r="D121" s="133">
        <v>375</v>
      </c>
      <c r="E121" s="133">
        <f t="shared" si="16"/>
        <v>7</v>
      </c>
      <c r="F121" s="114">
        <f t="shared" si="17"/>
        <v>1.9021739130434784E-2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29710</v>
      </c>
      <c r="D124" s="134">
        <f>SUM(D113:D123)</f>
        <v>29830</v>
      </c>
      <c r="E124" s="134">
        <f t="shared" si="16"/>
        <v>120</v>
      </c>
      <c r="F124" s="120">
        <f t="shared" si="17"/>
        <v>4.0390440928980142E-3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58334</v>
      </c>
      <c r="D126" s="133">
        <v>61401</v>
      </c>
      <c r="E126" s="133">
        <f t="shared" ref="E126:E137" si="18">D126-C126</f>
        <v>3067</v>
      </c>
      <c r="F126" s="114">
        <f t="shared" ref="F126:F137" si="19">IF(C126=0,0,E126/C126)</f>
        <v>5.2576541982377344E-2</v>
      </c>
    </row>
    <row r="127" spans="1:6" x14ac:dyDescent="0.2">
      <c r="A127" s="115">
        <v>2</v>
      </c>
      <c r="B127" s="116" t="s">
        <v>114</v>
      </c>
      <c r="C127" s="133">
        <v>16975</v>
      </c>
      <c r="D127" s="133">
        <v>17528</v>
      </c>
      <c r="E127" s="133">
        <f t="shared" si="18"/>
        <v>553</v>
      </c>
      <c r="F127" s="114">
        <f t="shared" si="19"/>
        <v>3.2577319587628863E-2</v>
      </c>
    </row>
    <row r="128" spans="1:6" x14ac:dyDescent="0.2">
      <c r="A128" s="115">
        <v>3</v>
      </c>
      <c r="B128" s="116" t="s">
        <v>115</v>
      </c>
      <c r="C128" s="133">
        <v>39669</v>
      </c>
      <c r="D128" s="133">
        <v>43672</v>
      </c>
      <c r="E128" s="133">
        <f t="shared" si="18"/>
        <v>4003</v>
      </c>
      <c r="F128" s="114">
        <f t="shared" si="19"/>
        <v>0.10091003050240742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498</v>
      </c>
      <c r="D130" s="133">
        <v>807</v>
      </c>
      <c r="E130" s="133">
        <f t="shared" si="18"/>
        <v>309</v>
      </c>
      <c r="F130" s="114">
        <f t="shared" si="19"/>
        <v>0.62048192771084343</v>
      </c>
    </row>
    <row r="131" spans="1:6" x14ac:dyDescent="0.2">
      <c r="A131" s="115">
        <v>6</v>
      </c>
      <c r="B131" s="116" t="s">
        <v>118</v>
      </c>
      <c r="C131" s="133">
        <v>43179</v>
      </c>
      <c r="D131" s="133">
        <v>48469</v>
      </c>
      <c r="E131" s="133">
        <f t="shared" si="18"/>
        <v>5290</v>
      </c>
      <c r="F131" s="114">
        <f t="shared" si="19"/>
        <v>0.12251325876004539</v>
      </c>
    </row>
    <row r="132" spans="1:6" x14ac:dyDescent="0.2">
      <c r="A132" s="115">
        <v>7</v>
      </c>
      <c r="B132" s="116" t="s">
        <v>119</v>
      </c>
      <c r="C132" s="133">
        <v>27018</v>
      </c>
      <c r="D132" s="133">
        <v>26414</v>
      </c>
      <c r="E132" s="133">
        <f t="shared" si="18"/>
        <v>-604</v>
      </c>
      <c r="F132" s="114">
        <f t="shared" si="19"/>
        <v>-2.2355466725886446E-2</v>
      </c>
    </row>
    <row r="133" spans="1:6" x14ac:dyDescent="0.2">
      <c r="A133" s="115">
        <v>8</v>
      </c>
      <c r="B133" s="116" t="s">
        <v>120</v>
      </c>
      <c r="C133" s="133">
        <v>2745</v>
      </c>
      <c r="D133" s="133">
        <v>2560</v>
      </c>
      <c r="E133" s="133">
        <f t="shared" si="18"/>
        <v>-185</v>
      </c>
      <c r="F133" s="114">
        <f t="shared" si="19"/>
        <v>-6.7395264116575593E-2</v>
      </c>
    </row>
    <row r="134" spans="1:6" x14ac:dyDescent="0.2">
      <c r="A134" s="115">
        <v>9</v>
      </c>
      <c r="B134" s="116" t="s">
        <v>121</v>
      </c>
      <c r="C134" s="133">
        <v>4942</v>
      </c>
      <c r="D134" s="133">
        <v>4265</v>
      </c>
      <c r="E134" s="133">
        <f t="shared" si="18"/>
        <v>-677</v>
      </c>
      <c r="F134" s="114">
        <f t="shared" si="19"/>
        <v>-0.13698907324969647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193360</v>
      </c>
      <c r="D137" s="134">
        <f>SUM(D126:D136)</f>
        <v>205116</v>
      </c>
      <c r="E137" s="134">
        <f t="shared" si="18"/>
        <v>11756</v>
      </c>
      <c r="F137" s="120">
        <f t="shared" si="19"/>
        <v>6.0798510550268928E-2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6109952</v>
      </c>
      <c r="D142" s="113">
        <v>6924942</v>
      </c>
      <c r="E142" s="113">
        <f t="shared" ref="E142:E153" si="20">D142-C142</f>
        <v>814990</v>
      </c>
      <c r="F142" s="114">
        <f t="shared" ref="F142:F153" si="21">IF(C142=0,0,E142/C142)</f>
        <v>0.13338729993296183</v>
      </c>
    </row>
    <row r="143" spans="1:6" x14ac:dyDescent="0.2">
      <c r="A143" s="115">
        <v>2</v>
      </c>
      <c r="B143" s="116" t="s">
        <v>114</v>
      </c>
      <c r="C143" s="113">
        <v>2126203</v>
      </c>
      <c r="D143" s="113">
        <v>2668542</v>
      </c>
      <c r="E143" s="113">
        <f t="shared" si="20"/>
        <v>542339</v>
      </c>
      <c r="F143" s="114">
        <f t="shared" si="21"/>
        <v>0.25507395107616726</v>
      </c>
    </row>
    <row r="144" spans="1:6" x14ac:dyDescent="0.2">
      <c r="A144" s="115">
        <v>3</v>
      </c>
      <c r="B144" s="116" t="s">
        <v>115</v>
      </c>
      <c r="C144" s="113">
        <v>15145449</v>
      </c>
      <c r="D144" s="113">
        <v>17150586</v>
      </c>
      <c r="E144" s="113">
        <f t="shared" si="20"/>
        <v>2005137</v>
      </c>
      <c r="F144" s="114">
        <f t="shared" si="21"/>
        <v>0.13239204727439907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155410</v>
      </c>
      <c r="D146" s="113">
        <v>113290</v>
      </c>
      <c r="E146" s="113">
        <f t="shared" si="20"/>
        <v>-42120</v>
      </c>
      <c r="F146" s="114">
        <f t="shared" si="21"/>
        <v>-0.27102503056431376</v>
      </c>
    </row>
    <row r="147" spans="1:6" x14ac:dyDescent="0.2">
      <c r="A147" s="115">
        <v>6</v>
      </c>
      <c r="B147" s="116" t="s">
        <v>118</v>
      </c>
      <c r="C147" s="113">
        <v>7028198</v>
      </c>
      <c r="D147" s="113">
        <v>7272443</v>
      </c>
      <c r="E147" s="113">
        <f t="shared" si="20"/>
        <v>244245</v>
      </c>
      <c r="F147" s="114">
        <f t="shared" si="21"/>
        <v>3.4752151262670741E-2</v>
      </c>
    </row>
    <row r="148" spans="1:6" x14ac:dyDescent="0.2">
      <c r="A148" s="115">
        <v>7</v>
      </c>
      <c r="B148" s="116" t="s">
        <v>119</v>
      </c>
      <c r="C148" s="113">
        <v>4348206</v>
      </c>
      <c r="D148" s="113">
        <v>4511032</v>
      </c>
      <c r="E148" s="113">
        <f t="shared" si="20"/>
        <v>162826</v>
      </c>
      <c r="F148" s="114">
        <f t="shared" si="21"/>
        <v>3.7446707906663115E-2</v>
      </c>
    </row>
    <row r="149" spans="1:6" x14ac:dyDescent="0.2">
      <c r="A149" s="115">
        <v>8</v>
      </c>
      <c r="B149" s="116" t="s">
        <v>120</v>
      </c>
      <c r="C149" s="113">
        <v>492976</v>
      </c>
      <c r="D149" s="113">
        <v>542096</v>
      </c>
      <c r="E149" s="113">
        <f t="shared" si="20"/>
        <v>49120</v>
      </c>
      <c r="F149" s="114">
        <f t="shared" si="21"/>
        <v>9.9639739054233872E-2</v>
      </c>
    </row>
    <row r="150" spans="1:6" x14ac:dyDescent="0.2">
      <c r="A150" s="115">
        <v>9</v>
      </c>
      <c r="B150" s="116" t="s">
        <v>121</v>
      </c>
      <c r="C150" s="113">
        <v>3037565</v>
      </c>
      <c r="D150" s="113">
        <v>2761735</v>
      </c>
      <c r="E150" s="113">
        <f t="shared" si="20"/>
        <v>-275830</v>
      </c>
      <c r="F150" s="114">
        <f t="shared" si="21"/>
        <v>-9.0806287272864938E-2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38443959</v>
      </c>
      <c r="D153" s="119">
        <f>SUM(D142:D152)</f>
        <v>41944666</v>
      </c>
      <c r="E153" s="119">
        <f t="shared" si="20"/>
        <v>3500707</v>
      </c>
      <c r="F153" s="120">
        <f t="shared" si="21"/>
        <v>9.1060002431071166E-2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992011</v>
      </c>
      <c r="D155" s="113">
        <v>1394104</v>
      </c>
      <c r="E155" s="113">
        <f t="shared" ref="E155:E166" si="22">D155-C155</f>
        <v>402093</v>
      </c>
      <c r="F155" s="114">
        <f t="shared" ref="F155:F166" si="23">IF(C155=0,0,E155/C155)</f>
        <v>0.40533119088397207</v>
      </c>
    </row>
    <row r="156" spans="1:6" x14ac:dyDescent="0.2">
      <c r="A156" s="115">
        <v>2</v>
      </c>
      <c r="B156" s="116" t="s">
        <v>114</v>
      </c>
      <c r="C156" s="113">
        <v>385123</v>
      </c>
      <c r="D156" s="113">
        <v>465276</v>
      </c>
      <c r="E156" s="113">
        <f t="shared" si="22"/>
        <v>80153</v>
      </c>
      <c r="F156" s="114">
        <f t="shared" si="23"/>
        <v>0.20812311910740205</v>
      </c>
    </row>
    <row r="157" spans="1:6" x14ac:dyDescent="0.2">
      <c r="A157" s="115">
        <v>3</v>
      </c>
      <c r="B157" s="116" t="s">
        <v>115</v>
      </c>
      <c r="C157" s="113">
        <v>3193803</v>
      </c>
      <c r="D157" s="113">
        <v>3749746</v>
      </c>
      <c r="E157" s="113">
        <f t="shared" si="22"/>
        <v>555943</v>
      </c>
      <c r="F157" s="114">
        <f t="shared" si="23"/>
        <v>0.17406928354691883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47556</v>
      </c>
      <c r="D159" s="113">
        <v>12634</v>
      </c>
      <c r="E159" s="113">
        <f t="shared" si="22"/>
        <v>-34922</v>
      </c>
      <c r="F159" s="114">
        <f t="shared" si="23"/>
        <v>-0.73433425855833123</v>
      </c>
    </row>
    <row r="160" spans="1:6" x14ac:dyDescent="0.2">
      <c r="A160" s="115">
        <v>6</v>
      </c>
      <c r="B160" s="116" t="s">
        <v>118</v>
      </c>
      <c r="C160" s="113">
        <v>2908516</v>
      </c>
      <c r="D160" s="113">
        <v>2656593</v>
      </c>
      <c r="E160" s="113">
        <f t="shared" si="22"/>
        <v>-251923</v>
      </c>
      <c r="F160" s="114">
        <f t="shared" si="23"/>
        <v>-8.6615648667567935E-2</v>
      </c>
    </row>
    <row r="161" spans="1:6" x14ac:dyDescent="0.2">
      <c r="A161" s="115">
        <v>7</v>
      </c>
      <c r="B161" s="116" t="s">
        <v>119</v>
      </c>
      <c r="C161" s="113">
        <v>1303640</v>
      </c>
      <c r="D161" s="113">
        <v>1903332</v>
      </c>
      <c r="E161" s="113">
        <f t="shared" si="22"/>
        <v>599692</v>
      </c>
      <c r="F161" s="114">
        <f t="shared" si="23"/>
        <v>0.46001350065969132</v>
      </c>
    </row>
    <row r="162" spans="1:6" x14ac:dyDescent="0.2">
      <c r="A162" s="115">
        <v>8</v>
      </c>
      <c r="B162" s="116" t="s">
        <v>120</v>
      </c>
      <c r="C162" s="113">
        <v>492976</v>
      </c>
      <c r="D162" s="113">
        <v>542096</v>
      </c>
      <c r="E162" s="113">
        <f t="shared" si="22"/>
        <v>49120</v>
      </c>
      <c r="F162" s="114">
        <f t="shared" si="23"/>
        <v>9.9639739054233872E-2</v>
      </c>
    </row>
    <row r="163" spans="1:6" x14ac:dyDescent="0.2">
      <c r="A163" s="115">
        <v>9</v>
      </c>
      <c r="B163" s="116" t="s">
        <v>121</v>
      </c>
      <c r="C163" s="113">
        <v>34272</v>
      </c>
      <c r="D163" s="113">
        <v>32056</v>
      </c>
      <c r="E163" s="113">
        <f t="shared" si="22"/>
        <v>-2216</v>
      </c>
      <c r="F163" s="114">
        <f t="shared" si="23"/>
        <v>-6.4659197012138195E-2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9357897</v>
      </c>
      <c r="D166" s="119">
        <f>SUM(D155:D165)</f>
        <v>10755837</v>
      </c>
      <c r="E166" s="119">
        <f t="shared" si="22"/>
        <v>1397940</v>
      </c>
      <c r="F166" s="120">
        <f t="shared" si="23"/>
        <v>0.14938612810121762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4533</v>
      </c>
      <c r="D168" s="133">
        <v>4724</v>
      </c>
      <c r="E168" s="133">
        <f t="shared" ref="E168:E179" si="24">D168-C168</f>
        <v>191</v>
      </c>
      <c r="F168" s="114">
        <f t="shared" ref="F168:F179" si="25">IF(C168=0,0,E168/C168)</f>
        <v>4.2135451136112952E-2</v>
      </c>
    </row>
    <row r="169" spans="1:6" x14ac:dyDescent="0.2">
      <c r="A169" s="115">
        <v>2</v>
      </c>
      <c r="B169" s="116" t="s">
        <v>114</v>
      </c>
      <c r="C169" s="133">
        <v>1554</v>
      </c>
      <c r="D169" s="133">
        <v>1780</v>
      </c>
      <c r="E169" s="133">
        <f t="shared" si="24"/>
        <v>226</v>
      </c>
      <c r="F169" s="114">
        <f t="shared" si="25"/>
        <v>0.14543114543114544</v>
      </c>
    </row>
    <row r="170" spans="1:6" x14ac:dyDescent="0.2">
      <c r="A170" s="115">
        <v>3</v>
      </c>
      <c r="B170" s="116" t="s">
        <v>115</v>
      </c>
      <c r="C170" s="133">
        <v>13957</v>
      </c>
      <c r="D170" s="133">
        <v>14935</v>
      </c>
      <c r="E170" s="133">
        <f t="shared" si="24"/>
        <v>978</v>
      </c>
      <c r="F170" s="114">
        <f t="shared" si="25"/>
        <v>7.0072365121444435E-2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139</v>
      </c>
      <c r="D172" s="133">
        <v>105</v>
      </c>
      <c r="E172" s="133">
        <f t="shared" si="24"/>
        <v>-34</v>
      </c>
      <c r="F172" s="114">
        <f t="shared" si="25"/>
        <v>-0.2446043165467626</v>
      </c>
    </row>
    <row r="173" spans="1:6" x14ac:dyDescent="0.2">
      <c r="A173" s="115">
        <v>6</v>
      </c>
      <c r="B173" s="116" t="s">
        <v>118</v>
      </c>
      <c r="C173" s="133">
        <v>5674</v>
      </c>
      <c r="D173" s="133">
        <v>5642</v>
      </c>
      <c r="E173" s="133">
        <f t="shared" si="24"/>
        <v>-32</v>
      </c>
      <c r="F173" s="114">
        <f t="shared" si="25"/>
        <v>-5.6397603101868169E-3</v>
      </c>
    </row>
    <row r="174" spans="1:6" x14ac:dyDescent="0.2">
      <c r="A174" s="115">
        <v>7</v>
      </c>
      <c r="B174" s="116" t="s">
        <v>119</v>
      </c>
      <c r="C174" s="133">
        <v>3619</v>
      </c>
      <c r="D174" s="133">
        <v>3544</v>
      </c>
      <c r="E174" s="133">
        <f t="shared" si="24"/>
        <v>-75</v>
      </c>
      <c r="F174" s="114">
        <f t="shared" si="25"/>
        <v>-2.072395689416966E-2</v>
      </c>
    </row>
    <row r="175" spans="1:6" x14ac:dyDescent="0.2">
      <c r="A175" s="115">
        <v>8</v>
      </c>
      <c r="B175" s="116" t="s">
        <v>120</v>
      </c>
      <c r="C175" s="133">
        <v>455</v>
      </c>
      <c r="D175" s="133">
        <v>460</v>
      </c>
      <c r="E175" s="133">
        <f t="shared" si="24"/>
        <v>5</v>
      </c>
      <c r="F175" s="114">
        <f t="shared" si="25"/>
        <v>1.098901098901099E-2</v>
      </c>
    </row>
    <row r="176" spans="1:6" x14ac:dyDescent="0.2">
      <c r="A176" s="115">
        <v>9</v>
      </c>
      <c r="B176" s="116" t="s">
        <v>121</v>
      </c>
      <c r="C176" s="133">
        <v>2651</v>
      </c>
      <c r="D176" s="133">
        <v>2299</v>
      </c>
      <c r="E176" s="133">
        <f t="shared" si="24"/>
        <v>-352</v>
      </c>
      <c r="F176" s="114">
        <f t="shared" si="25"/>
        <v>-0.13278008298755187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32582</v>
      </c>
      <c r="D179" s="134">
        <f>SUM(D168:D178)</f>
        <v>33489</v>
      </c>
      <c r="E179" s="134">
        <f t="shared" si="24"/>
        <v>907</v>
      </c>
      <c r="F179" s="120">
        <f t="shared" si="25"/>
        <v>2.7837456264194954E-2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FILING&amp;RBRISTOL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21078367</v>
      </c>
      <c r="D15" s="157">
        <v>22096741</v>
      </c>
      <c r="E15" s="157">
        <f>+D15-C15</f>
        <v>1018374</v>
      </c>
      <c r="F15" s="161">
        <f>IF(C15=0,0,E15/C15)</f>
        <v>4.8313704757109506E-2</v>
      </c>
    </row>
    <row r="16" spans="1:6" ht="15" customHeight="1" x14ac:dyDescent="0.2">
      <c r="A16" s="147">
        <v>2</v>
      </c>
      <c r="B16" s="160" t="s">
        <v>157</v>
      </c>
      <c r="C16" s="157">
        <v>348650</v>
      </c>
      <c r="D16" s="157">
        <v>380804</v>
      </c>
      <c r="E16" s="157">
        <f>+D16-C16</f>
        <v>32154</v>
      </c>
      <c r="F16" s="161">
        <f>IF(C16=0,0,E16/C16)</f>
        <v>9.2224293704287974E-2</v>
      </c>
    </row>
    <row r="17" spans="1:6" ht="15" customHeight="1" x14ac:dyDescent="0.2">
      <c r="A17" s="147">
        <v>3</v>
      </c>
      <c r="B17" s="160" t="s">
        <v>158</v>
      </c>
      <c r="C17" s="157">
        <v>33298451</v>
      </c>
      <c r="D17" s="157">
        <v>35401998</v>
      </c>
      <c r="E17" s="157">
        <f>+D17-C17</f>
        <v>2103547</v>
      </c>
      <c r="F17" s="161">
        <f>IF(C17=0,0,E17/C17)</f>
        <v>6.3172518145063264E-2</v>
      </c>
    </row>
    <row r="18" spans="1:6" ht="15.75" customHeight="1" x14ac:dyDescent="0.25">
      <c r="A18" s="147"/>
      <c r="B18" s="162" t="s">
        <v>159</v>
      </c>
      <c r="C18" s="158">
        <f>SUM(C15:C17)</f>
        <v>54725468</v>
      </c>
      <c r="D18" s="158">
        <f>SUM(D15:D17)</f>
        <v>57879543</v>
      </c>
      <c r="E18" s="158">
        <f>+D18-C18</f>
        <v>3154075</v>
      </c>
      <c r="F18" s="159">
        <f>IF(C18=0,0,E18/C18)</f>
        <v>5.7634500265945646E-2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5707940</v>
      </c>
      <c r="D21" s="157">
        <v>6023785</v>
      </c>
      <c r="E21" s="157">
        <f>+D21-C21</f>
        <v>315845</v>
      </c>
      <c r="F21" s="161">
        <f>IF(C21=0,0,E21/C21)</f>
        <v>5.5334323766542744E-2</v>
      </c>
    </row>
    <row r="22" spans="1:6" ht="15" customHeight="1" x14ac:dyDescent="0.2">
      <c r="A22" s="147">
        <v>2</v>
      </c>
      <c r="B22" s="160" t="s">
        <v>162</v>
      </c>
      <c r="C22" s="157">
        <v>94413</v>
      </c>
      <c r="D22" s="157">
        <v>103811</v>
      </c>
      <c r="E22" s="157">
        <f>+D22-C22</f>
        <v>9398</v>
      </c>
      <c r="F22" s="161">
        <f>IF(C22=0,0,E22/C22)</f>
        <v>9.9541376717189364E-2</v>
      </c>
    </row>
    <row r="23" spans="1:6" ht="15" customHeight="1" x14ac:dyDescent="0.2">
      <c r="A23" s="147">
        <v>3</v>
      </c>
      <c r="B23" s="160" t="s">
        <v>163</v>
      </c>
      <c r="C23" s="157">
        <v>9017091</v>
      </c>
      <c r="D23" s="157">
        <v>9650926</v>
      </c>
      <c r="E23" s="157">
        <f>+D23-C23</f>
        <v>633835</v>
      </c>
      <c r="F23" s="161">
        <f>IF(C23=0,0,E23/C23)</f>
        <v>7.0292625415447174E-2</v>
      </c>
    </row>
    <row r="24" spans="1:6" ht="15.75" customHeight="1" x14ac:dyDescent="0.25">
      <c r="A24" s="147"/>
      <c r="B24" s="162" t="s">
        <v>164</v>
      </c>
      <c r="C24" s="158">
        <f>SUM(C21:C23)</f>
        <v>14819444</v>
      </c>
      <c r="D24" s="158">
        <f>SUM(D21:D23)</f>
        <v>15778522</v>
      </c>
      <c r="E24" s="158">
        <f>+D24-C24</f>
        <v>959078</v>
      </c>
      <c r="F24" s="159">
        <f>IF(C24=0,0,E24/C24)</f>
        <v>6.4717542709429587E-2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399022</v>
      </c>
      <c r="D27" s="157">
        <v>385431</v>
      </c>
      <c r="E27" s="157">
        <f>+D27-C27</f>
        <v>-13591</v>
      </c>
      <c r="F27" s="161">
        <f>IF(C27=0,0,E27/C27)</f>
        <v>-3.4060778603686011E-2</v>
      </c>
    </row>
    <row r="28" spans="1:6" ht="15" customHeight="1" x14ac:dyDescent="0.2">
      <c r="A28" s="147">
        <v>2</v>
      </c>
      <c r="B28" s="160" t="s">
        <v>167</v>
      </c>
      <c r="C28" s="157">
        <v>9064475</v>
      </c>
      <c r="D28" s="157">
        <v>11947454</v>
      </c>
      <c r="E28" s="157">
        <f>+D28-C28</f>
        <v>2882979</v>
      </c>
      <c r="F28" s="161">
        <f>IF(C28=0,0,E28/C28)</f>
        <v>0.31805250717774608</v>
      </c>
    </row>
    <row r="29" spans="1:6" ht="15" customHeight="1" x14ac:dyDescent="0.2">
      <c r="A29" s="147">
        <v>3</v>
      </c>
      <c r="B29" s="160" t="s">
        <v>168</v>
      </c>
      <c r="C29" s="157">
        <v>795267</v>
      </c>
      <c r="D29" s="157">
        <v>1221983</v>
      </c>
      <c r="E29" s="157">
        <f>+D29-C29</f>
        <v>426716</v>
      </c>
      <c r="F29" s="161">
        <f>IF(C29=0,0,E29/C29)</f>
        <v>0.53656947918120579</v>
      </c>
    </row>
    <row r="30" spans="1:6" ht="15.75" customHeight="1" x14ac:dyDescent="0.25">
      <c r="A30" s="147"/>
      <c r="B30" s="162" t="s">
        <v>169</v>
      </c>
      <c r="C30" s="158">
        <f>SUM(C27:C29)</f>
        <v>10258764</v>
      </c>
      <c r="D30" s="158">
        <f>SUM(D27:D29)</f>
        <v>13554868</v>
      </c>
      <c r="E30" s="158">
        <f>+D30-C30</f>
        <v>3296104</v>
      </c>
      <c r="F30" s="159">
        <f>IF(C30=0,0,E30/C30)</f>
        <v>0.32129640568785867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10660064</v>
      </c>
      <c r="D33" s="157">
        <v>11721788</v>
      </c>
      <c r="E33" s="157">
        <f>+D33-C33</f>
        <v>1061724</v>
      </c>
      <c r="F33" s="161">
        <f>IF(C33=0,0,E33/C33)</f>
        <v>9.9598276333050156E-2</v>
      </c>
    </row>
    <row r="34" spans="1:6" ht="15" customHeight="1" x14ac:dyDescent="0.2">
      <c r="A34" s="147">
        <v>2</v>
      </c>
      <c r="B34" s="160" t="s">
        <v>173</v>
      </c>
      <c r="C34" s="157">
        <v>7379776</v>
      </c>
      <c r="D34" s="157">
        <v>8878275</v>
      </c>
      <c r="E34" s="157">
        <f>+D34-C34</f>
        <v>1498499</v>
      </c>
      <c r="F34" s="161">
        <f>IF(C34=0,0,E34/C34)</f>
        <v>0.20305480816761917</v>
      </c>
    </row>
    <row r="35" spans="1:6" ht="15.75" customHeight="1" x14ac:dyDescent="0.25">
      <c r="A35" s="147"/>
      <c r="B35" s="162" t="s">
        <v>174</v>
      </c>
      <c r="C35" s="158">
        <f>SUM(C33:C34)</f>
        <v>18039840</v>
      </c>
      <c r="D35" s="158">
        <f>SUM(D33:D34)</f>
        <v>20600063</v>
      </c>
      <c r="E35" s="158">
        <f>+D35-C35</f>
        <v>2560223</v>
      </c>
      <c r="F35" s="159">
        <f>IF(C35=0,0,E35/C35)</f>
        <v>0.14192049375160756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2132010</v>
      </c>
      <c r="D38" s="157">
        <v>2290218</v>
      </c>
      <c r="E38" s="157">
        <f>+D38-C38</f>
        <v>158208</v>
      </c>
      <c r="F38" s="161">
        <f>IF(C38=0,0,E38/C38)</f>
        <v>7.4206030928560374E-2</v>
      </c>
    </row>
    <row r="39" spans="1:6" ht="15" customHeight="1" x14ac:dyDescent="0.2">
      <c r="A39" s="147">
        <v>2</v>
      </c>
      <c r="B39" s="160" t="s">
        <v>178</v>
      </c>
      <c r="C39" s="157">
        <v>4177139</v>
      </c>
      <c r="D39" s="157">
        <v>4269603</v>
      </c>
      <c r="E39" s="157">
        <f>+D39-C39</f>
        <v>92464</v>
      </c>
      <c r="F39" s="161">
        <f>IF(C39=0,0,E39/C39)</f>
        <v>2.2135724954328789E-2</v>
      </c>
    </row>
    <row r="40" spans="1:6" ht="15" customHeight="1" x14ac:dyDescent="0.2">
      <c r="A40" s="147">
        <v>3</v>
      </c>
      <c r="B40" s="160" t="s">
        <v>179</v>
      </c>
      <c r="C40" s="157">
        <v>54594</v>
      </c>
      <c r="D40" s="157">
        <v>54594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6363743</v>
      </c>
      <c r="D41" s="158">
        <f>SUM(D38:D40)</f>
        <v>6614415</v>
      </c>
      <c r="E41" s="158">
        <f>+D41-C41</f>
        <v>250672</v>
      </c>
      <c r="F41" s="159">
        <f>IF(C41=0,0,E41/C41)</f>
        <v>3.9390654210894438E-2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1421576</v>
      </c>
      <c r="D47" s="157">
        <v>1412468</v>
      </c>
      <c r="E47" s="157">
        <f>+D47-C47</f>
        <v>-9108</v>
      </c>
      <c r="F47" s="161">
        <f>IF(C47=0,0,E47/C47)</f>
        <v>-6.4069736686606978E-3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-168825</v>
      </c>
      <c r="D50" s="157">
        <v>498257</v>
      </c>
      <c r="E50" s="157">
        <f>+D50-C50</f>
        <v>667082</v>
      </c>
      <c r="F50" s="161">
        <f>IF(C50=0,0,E50/C50)</f>
        <v>-3.9513223752406339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69074</v>
      </c>
      <c r="D53" s="157">
        <v>71068</v>
      </c>
      <c r="E53" s="157">
        <f t="shared" ref="E53:E59" si="0">+D53-C53</f>
        <v>1994</v>
      </c>
      <c r="F53" s="161">
        <f t="shared" ref="F53:F59" si="1">IF(C53=0,0,E53/C53)</f>
        <v>2.8867591278918261E-2</v>
      </c>
    </row>
    <row r="54" spans="1:6" ht="15" customHeight="1" x14ac:dyDescent="0.2">
      <c r="A54" s="147">
        <v>2</v>
      </c>
      <c r="B54" s="160" t="s">
        <v>189</v>
      </c>
      <c r="C54" s="157">
        <v>695677</v>
      </c>
      <c r="D54" s="157">
        <v>647617</v>
      </c>
      <c r="E54" s="157">
        <f t="shared" si="0"/>
        <v>-48060</v>
      </c>
      <c r="F54" s="161">
        <f t="shared" si="1"/>
        <v>-6.9083784572438064E-2</v>
      </c>
    </row>
    <row r="55" spans="1:6" ht="15" customHeight="1" x14ac:dyDescent="0.2">
      <c r="A55" s="147">
        <v>3</v>
      </c>
      <c r="B55" s="160" t="s">
        <v>190</v>
      </c>
      <c r="C55" s="157">
        <v>12478</v>
      </c>
      <c r="D55" s="157">
        <v>136287</v>
      </c>
      <c r="E55" s="157">
        <f t="shared" si="0"/>
        <v>123809</v>
      </c>
      <c r="F55" s="161">
        <f t="shared" si="1"/>
        <v>9.9221830421541917</v>
      </c>
    </row>
    <row r="56" spans="1:6" ht="15" customHeight="1" x14ac:dyDescent="0.2">
      <c r="A56" s="147">
        <v>4</v>
      </c>
      <c r="B56" s="160" t="s">
        <v>191</v>
      </c>
      <c r="C56" s="157">
        <v>1452433</v>
      </c>
      <c r="D56" s="157">
        <v>1273785</v>
      </c>
      <c r="E56" s="157">
        <f t="shared" si="0"/>
        <v>-178648</v>
      </c>
      <c r="F56" s="161">
        <f t="shared" si="1"/>
        <v>-0.12299913317860445</v>
      </c>
    </row>
    <row r="57" spans="1:6" ht="15" customHeight="1" x14ac:dyDescent="0.2">
      <c r="A57" s="147">
        <v>5</v>
      </c>
      <c r="B57" s="160" t="s">
        <v>192</v>
      </c>
      <c r="C57" s="157">
        <v>392335</v>
      </c>
      <c r="D57" s="157">
        <v>425197</v>
      </c>
      <c r="E57" s="157">
        <f t="shared" si="0"/>
        <v>32862</v>
      </c>
      <c r="F57" s="161">
        <f t="shared" si="1"/>
        <v>8.3760051996380647E-2</v>
      </c>
    </row>
    <row r="58" spans="1:6" ht="15" customHeight="1" x14ac:dyDescent="0.2">
      <c r="A58" s="147">
        <v>6</v>
      </c>
      <c r="B58" s="160" t="s">
        <v>193</v>
      </c>
      <c r="C58" s="157">
        <v>37418</v>
      </c>
      <c r="D58" s="157">
        <v>40471</v>
      </c>
      <c r="E58" s="157">
        <f t="shared" si="0"/>
        <v>3053</v>
      </c>
      <c r="F58" s="161">
        <f t="shared" si="1"/>
        <v>8.1591747287401789E-2</v>
      </c>
    </row>
    <row r="59" spans="1:6" ht="15.75" customHeight="1" x14ac:dyDescent="0.25">
      <c r="A59" s="147"/>
      <c r="B59" s="162" t="s">
        <v>194</v>
      </c>
      <c r="C59" s="158">
        <f>SUM(C53:C58)</f>
        <v>2659415</v>
      </c>
      <c r="D59" s="158">
        <f>SUM(D53:D58)</f>
        <v>2594425</v>
      </c>
      <c r="E59" s="158">
        <f t="shared" si="0"/>
        <v>-64990</v>
      </c>
      <c r="F59" s="159">
        <f t="shared" si="1"/>
        <v>-2.4437705284808878E-2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171312</v>
      </c>
      <c r="D62" s="157">
        <v>146633</v>
      </c>
      <c r="E62" s="157">
        <f t="shared" ref="E62:E90" si="2">+D62-C62</f>
        <v>-24679</v>
      </c>
      <c r="F62" s="161">
        <f t="shared" ref="F62:F90" si="3">IF(C62=0,0,E62/C62)</f>
        <v>-0.14405879331278604</v>
      </c>
    </row>
    <row r="63" spans="1:6" ht="15" customHeight="1" x14ac:dyDescent="0.2">
      <c r="A63" s="147">
        <v>2</v>
      </c>
      <c r="B63" s="160" t="s">
        <v>198</v>
      </c>
      <c r="C63" s="157">
        <v>807095</v>
      </c>
      <c r="D63" s="157">
        <v>552463</v>
      </c>
      <c r="E63" s="157">
        <f t="shared" si="2"/>
        <v>-254632</v>
      </c>
      <c r="F63" s="161">
        <f t="shared" si="3"/>
        <v>-0.31549198049795873</v>
      </c>
    </row>
    <row r="64" spans="1:6" ht="15" customHeight="1" x14ac:dyDescent="0.2">
      <c r="A64" s="147">
        <v>3</v>
      </c>
      <c r="B64" s="160" t="s">
        <v>199</v>
      </c>
      <c r="C64" s="157">
        <v>1770585</v>
      </c>
      <c r="D64" s="157">
        <v>1622237</v>
      </c>
      <c r="E64" s="157">
        <f t="shared" si="2"/>
        <v>-148348</v>
      </c>
      <c r="F64" s="161">
        <f t="shared" si="3"/>
        <v>-8.3784737812643839E-2</v>
      </c>
    </row>
    <row r="65" spans="1:6" ht="15" customHeight="1" x14ac:dyDescent="0.2">
      <c r="A65" s="147">
        <v>4</v>
      </c>
      <c r="B65" s="160" t="s">
        <v>200</v>
      </c>
      <c r="C65" s="157">
        <v>135537</v>
      </c>
      <c r="D65" s="157">
        <v>265684</v>
      </c>
      <c r="E65" s="157">
        <f t="shared" si="2"/>
        <v>130147</v>
      </c>
      <c r="F65" s="161">
        <f t="shared" si="3"/>
        <v>0.96023226130134209</v>
      </c>
    </row>
    <row r="66" spans="1:6" ht="15" customHeight="1" x14ac:dyDescent="0.2">
      <c r="A66" s="147">
        <v>5</v>
      </c>
      <c r="B66" s="160" t="s">
        <v>201</v>
      </c>
      <c r="C66" s="157">
        <v>1261778</v>
      </c>
      <c r="D66" s="157">
        <v>1253928</v>
      </c>
      <c r="E66" s="157">
        <f t="shared" si="2"/>
        <v>-7850</v>
      </c>
      <c r="F66" s="161">
        <f t="shared" si="3"/>
        <v>-6.221379672176881E-3</v>
      </c>
    </row>
    <row r="67" spans="1:6" ht="15" customHeight="1" x14ac:dyDescent="0.2">
      <c r="A67" s="147">
        <v>6</v>
      </c>
      <c r="B67" s="160" t="s">
        <v>202</v>
      </c>
      <c r="C67" s="157">
        <v>799040</v>
      </c>
      <c r="D67" s="157">
        <v>865631</v>
      </c>
      <c r="E67" s="157">
        <f t="shared" si="2"/>
        <v>66591</v>
      </c>
      <c r="F67" s="161">
        <f t="shared" si="3"/>
        <v>8.3338756507809378E-2</v>
      </c>
    </row>
    <row r="68" spans="1:6" ht="15" customHeight="1" x14ac:dyDescent="0.2">
      <c r="A68" s="147">
        <v>7</v>
      </c>
      <c r="B68" s="160" t="s">
        <v>203</v>
      </c>
      <c r="C68" s="157">
        <v>331185</v>
      </c>
      <c r="D68" s="157">
        <v>250883</v>
      </c>
      <c r="E68" s="157">
        <f t="shared" si="2"/>
        <v>-80302</v>
      </c>
      <c r="F68" s="161">
        <f t="shared" si="3"/>
        <v>-0.24246871084137264</v>
      </c>
    </row>
    <row r="69" spans="1:6" ht="15" customHeight="1" x14ac:dyDescent="0.2">
      <c r="A69" s="147">
        <v>8</v>
      </c>
      <c r="B69" s="160" t="s">
        <v>204</v>
      </c>
      <c r="C69" s="157">
        <v>1351873</v>
      </c>
      <c r="D69" s="157">
        <v>1264305</v>
      </c>
      <c r="E69" s="157">
        <f t="shared" si="2"/>
        <v>-87568</v>
      </c>
      <c r="F69" s="161">
        <f t="shared" si="3"/>
        <v>-6.4775315432736652E-2</v>
      </c>
    </row>
    <row r="70" spans="1:6" ht="15" customHeight="1" x14ac:dyDescent="0.2">
      <c r="A70" s="147">
        <v>9</v>
      </c>
      <c r="B70" s="160" t="s">
        <v>205</v>
      </c>
      <c r="C70" s="157">
        <v>186771</v>
      </c>
      <c r="D70" s="157">
        <v>234642</v>
      </c>
      <c r="E70" s="157">
        <f t="shared" si="2"/>
        <v>47871</v>
      </c>
      <c r="F70" s="161">
        <f t="shared" si="3"/>
        <v>0.25630852755513434</v>
      </c>
    </row>
    <row r="71" spans="1:6" ht="15" customHeight="1" x14ac:dyDescent="0.2">
      <c r="A71" s="147">
        <v>10</v>
      </c>
      <c r="B71" s="160" t="s">
        <v>206</v>
      </c>
      <c r="C71" s="157">
        <v>513</v>
      </c>
      <c r="D71" s="157">
        <v>2735</v>
      </c>
      <c r="E71" s="157">
        <f t="shared" si="2"/>
        <v>2222</v>
      </c>
      <c r="F71" s="161">
        <f t="shared" si="3"/>
        <v>4.3313840155945416</v>
      </c>
    </row>
    <row r="72" spans="1:6" ht="15" customHeight="1" x14ac:dyDescent="0.2">
      <c r="A72" s="147">
        <v>11</v>
      </c>
      <c r="B72" s="160" t="s">
        <v>207</v>
      </c>
      <c r="C72" s="157">
        <v>194997</v>
      </c>
      <c r="D72" s="157">
        <v>110085</v>
      </c>
      <c r="E72" s="157">
        <f t="shared" si="2"/>
        <v>-84912</v>
      </c>
      <c r="F72" s="161">
        <f t="shared" si="3"/>
        <v>-0.43545285312081722</v>
      </c>
    </row>
    <row r="73" spans="1:6" ht="15" customHeight="1" x14ac:dyDescent="0.2">
      <c r="A73" s="147">
        <v>12</v>
      </c>
      <c r="B73" s="160" t="s">
        <v>208</v>
      </c>
      <c r="C73" s="157">
        <v>434178</v>
      </c>
      <c r="D73" s="157">
        <v>442717</v>
      </c>
      <c r="E73" s="157">
        <f t="shared" si="2"/>
        <v>8539</v>
      </c>
      <c r="F73" s="161">
        <f t="shared" si="3"/>
        <v>1.9667048998337086E-2</v>
      </c>
    </row>
    <row r="74" spans="1:6" ht="15" customHeight="1" x14ac:dyDescent="0.2">
      <c r="A74" s="147">
        <v>13</v>
      </c>
      <c r="B74" s="160" t="s">
        <v>209</v>
      </c>
      <c r="C74" s="157">
        <v>2750</v>
      </c>
      <c r="D74" s="157">
        <v>11927</v>
      </c>
      <c r="E74" s="157">
        <f t="shared" si="2"/>
        <v>9177</v>
      </c>
      <c r="F74" s="161">
        <f t="shared" si="3"/>
        <v>3.3370909090909091</v>
      </c>
    </row>
    <row r="75" spans="1:6" ht="15" customHeight="1" x14ac:dyDescent="0.2">
      <c r="A75" s="147">
        <v>14</v>
      </c>
      <c r="B75" s="160" t="s">
        <v>210</v>
      </c>
      <c r="C75" s="157">
        <v>146268</v>
      </c>
      <c r="D75" s="157">
        <v>143072</v>
      </c>
      <c r="E75" s="157">
        <f t="shared" si="2"/>
        <v>-3196</v>
      </c>
      <c r="F75" s="161">
        <f t="shared" si="3"/>
        <v>-2.1850302185030219E-2</v>
      </c>
    </row>
    <row r="76" spans="1:6" ht="15" customHeight="1" x14ac:dyDescent="0.2">
      <c r="A76" s="147">
        <v>15</v>
      </c>
      <c r="B76" s="160" t="s">
        <v>211</v>
      </c>
      <c r="C76" s="157">
        <v>864419</v>
      </c>
      <c r="D76" s="157">
        <v>1675469</v>
      </c>
      <c r="E76" s="157">
        <f t="shared" si="2"/>
        <v>811050</v>
      </c>
      <c r="F76" s="161">
        <f t="shared" si="3"/>
        <v>0.93826026498723425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1960189</v>
      </c>
      <c r="D78" s="157">
        <v>2270156</v>
      </c>
      <c r="E78" s="157">
        <f t="shared" si="2"/>
        <v>309967</v>
      </c>
      <c r="F78" s="161">
        <f t="shared" si="3"/>
        <v>0.15813118020762285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895021</v>
      </c>
      <c r="D80" s="157">
        <v>838052</v>
      </c>
      <c r="E80" s="157">
        <f t="shared" si="2"/>
        <v>-56969</v>
      </c>
      <c r="F80" s="161">
        <f t="shared" si="3"/>
        <v>-6.3651020478849102E-2</v>
      </c>
    </row>
    <row r="81" spans="1:6" ht="15" customHeight="1" x14ac:dyDescent="0.2">
      <c r="A81" s="147">
        <v>20</v>
      </c>
      <c r="B81" s="160" t="s">
        <v>216</v>
      </c>
      <c r="C81" s="157">
        <v>1756306</v>
      </c>
      <c r="D81" s="157">
        <v>1589588</v>
      </c>
      <c r="E81" s="157">
        <f t="shared" si="2"/>
        <v>-166718</v>
      </c>
      <c r="F81" s="161">
        <f t="shared" si="3"/>
        <v>-9.4925371774622416E-2</v>
      </c>
    </row>
    <row r="82" spans="1:6" ht="15" customHeight="1" x14ac:dyDescent="0.2">
      <c r="A82" s="147">
        <v>21</v>
      </c>
      <c r="B82" s="160" t="s">
        <v>217</v>
      </c>
      <c r="C82" s="157">
        <v>1569347</v>
      </c>
      <c r="D82" s="157">
        <v>1721554</v>
      </c>
      <c r="E82" s="157">
        <f t="shared" si="2"/>
        <v>152207</v>
      </c>
      <c r="F82" s="161">
        <f t="shared" si="3"/>
        <v>9.6987473133730143E-2</v>
      </c>
    </row>
    <row r="83" spans="1:6" ht="15" customHeight="1" x14ac:dyDescent="0.2">
      <c r="A83" s="147">
        <v>22</v>
      </c>
      <c r="B83" s="160" t="s">
        <v>218</v>
      </c>
      <c r="C83" s="157">
        <v>288697</v>
      </c>
      <c r="D83" s="157">
        <v>164167</v>
      </c>
      <c r="E83" s="157">
        <f t="shared" si="2"/>
        <v>-124530</v>
      </c>
      <c r="F83" s="161">
        <f t="shared" si="3"/>
        <v>-0.4313519018209403</v>
      </c>
    </row>
    <row r="84" spans="1:6" ht="15" customHeight="1" x14ac:dyDescent="0.2">
      <c r="A84" s="147">
        <v>23</v>
      </c>
      <c r="B84" s="160" t="s">
        <v>219</v>
      </c>
      <c r="C84" s="157">
        <v>103871</v>
      </c>
      <c r="D84" s="157">
        <v>83266</v>
      </c>
      <c r="E84" s="157">
        <f t="shared" si="2"/>
        <v>-20605</v>
      </c>
      <c r="F84" s="161">
        <f t="shared" si="3"/>
        <v>-0.19837105640650421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195988</v>
      </c>
      <c r="D86" s="157">
        <v>180185</v>
      </c>
      <c r="E86" s="157">
        <f t="shared" si="2"/>
        <v>-15803</v>
      </c>
      <c r="F86" s="161">
        <f t="shared" si="3"/>
        <v>-8.0632487703328773E-2</v>
      </c>
    </row>
    <row r="87" spans="1:6" ht="15" customHeight="1" x14ac:dyDescent="0.2">
      <c r="A87" s="147">
        <v>26</v>
      </c>
      <c r="B87" s="160" t="s">
        <v>222</v>
      </c>
      <c r="C87" s="157">
        <v>443956</v>
      </c>
      <c r="D87" s="157">
        <v>667212</v>
      </c>
      <c r="E87" s="157">
        <f t="shared" si="2"/>
        <v>223256</v>
      </c>
      <c r="F87" s="161">
        <f t="shared" si="3"/>
        <v>0.50287866365135281</v>
      </c>
    </row>
    <row r="88" spans="1:6" ht="15" customHeight="1" x14ac:dyDescent="0.2">
      <c r="A88" s="147">
        <v>27</v>
      </c>
      <c r="B88" s="160" t="s">
        <v>223</v>
      </c>
      <c r="C88" s="157">
        <v>262218</v>
      </c>
      <c r="D88" s="157">
        <v>290698</v>
      </c>
      <c r="E88" s="157">
        <f t="shared" si="2"/>
        <v>28480</v>
      </c>
      <c r="F88" s="161">
        <f t="shared" si="3"/>
        <v>0.10861191832749849</v>
      </c>
    </row>
    <row r="89" spans="1:6" ht="15" customHeight="1" x14ac:dyDescent="0.2">
      <c r="A89" s="147">
        <v>28</v>
      </c>
      <c r="B89" s="160" t="s">
        <v>224</v>
      </c>
      <c r="C89" s="157">
        <v>5650355</v>
      </c>
      <c r="D89" s="157">
        <v>5649099</v>
      </c>
      <c r="E89" s="157">
        <f t="shared" si="2"/>
        <v>-1256</v>
      </c>
      <c r="F89" s="161">
        <f t="shared" si="3"/>
        <v>-2.2228691825557862E-4</v>
      </c>
    </row>
    <row r="90" spans="1:6" ht="15.75" customHeight="1" x14ac:dyDescent="0.25">
      <c r="A90" s="147"/>
      <c r="B90" s="162" t="s">
        <v>225</v>
      </c>
      <c r="C90" s="158">
        <f>SUM(C62:C89)</f>
        <v>21584249</v>
      </c>
      <c r="D90" s="158">
        <f>SUM(D62:D89)</f>
        <v>22296388</v>
      </c>
      <c r="E90" s="158">
        <f t="shared" si="2"/>
        <v>712139</v>
      </c>
      <c r="F90" s="159">
        <f t="shared" si="3"/>
        <v>3.2993457404980824E-2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129703674</v>
      </c>
      <c r="D95" s="158">
        <f>+D93+D90+D59+D50+D47+D44+D41+D35+D30+D24+D18</f>
        <v>141228949</v>
      </c>
      <c r="E95" s="158">
        <f>+D95-C95</f>
        <v>11525275</v>
      </c>
      <c r="F95" s="159">
        <f>IF(C95=0,0,E95/C95)</f>
        <v>8.8858508356517332E-2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3493679</v>
      </c>
      <c r="D103" s="157">
        <v>3599915</v>
      </c>
      <c r="E103" s="157">
        <f t="shared" ref="E103:E121" si="4">D103-C103</f>
        <v>106236</v>
      </c>
      <c r="F103" s="161">
        <f t="shared" ref="F103:F121" si="5">IF(C103=0,0,E103/C103)</f>
        <v>3.0408059813165435E-2</v>
      </c>
    </row>
    <row r="104" spans="1:6" ht="15" customHeight="1" x14ac:dyDescent="0.2">
      <c r="A104" s="147">
        <v>2</v>
      </c>
      <c r="B104" s="169" t="s">
        <v>234</v>
      </c>
      <c r="C104" s="157">
        <v>1699882</v>
      </c>
      <c r="D104" s="157">
        <v>1436389</v>
      </c>
      <c r="E104" s="157">
        <f t="shared" si="4"/>
        <v>-263493</v>
      </c>
      <c r="F104" s="161">
        <f t="shared" si="5"/>
        <v>-0.15500664163747838</v>
      </c>
    </row>
    <row r="105" spans="1:6" ht="15" customHeight="1" x14ac:dyDescent="0.2">
      <c r="A105" s="147">
        <v>3</v>
      </c>
      <c r="B105" s="169" t="s">
        <v>235</v>
      </c>
      <c r="C105" s="157">
        <v>2520003</v>
      </c>
      <c r="D105" s="157">
        <v>2444600</v>
      </c>
      <c r="E105" s="157">
        <f t="shared" si="4"/>
        <v>-75403</v>
      </c>
      <c r="F105" s="161">
        <f t="shared" si="5"/>
        <v>-2.9921789775647092E-2</v>
      </c>
    </row>
    <row r="106" spans="1:6" ht="15" customHeight="1" x14ac:dyDescent="0.2">
      <c r="A106" s="147">
        <v>4</v>
      </c>
      <c r="B106" s="169" t="s">
        <v>236</v>
      </c>
      <c r="C106" s="157">
        <v>790858</v>
      </c>
      <c r="D106" s="157">
        <v>817501</v>
      </c>
      <c r="E106" s="157">
        <f t="shared" si="4"/>
        <v>26643</v>
      </c>
      <c r="F106" s="161">
        <f t="shared" si="5"/>
        <v>3.3688727938517404E-2</v>
      </c>
    </row>
    <row r="107" spans="1:6" ht="15" customHeight="1" x14ac:dyDescent="0.2">
      <c r="A107" s="147">
        <v>5</v>
      </c>
      <c r="B107" s="169" t="s">
        <v>237</v>
      </c>
      <c r="C107" s="157">
        <v>4265069</v>
      </c>
      <c r="D107" s="157">
        <v>4779923</v>
      </c>
      <c r="E107" s="157">
        <f t="shared" si="4"/>
        <v>514854</v>
      </c>
      <c r="F107" s="161">
        <f t="shared" si="5"/>
        <v>0.12071410802498155</v>
      </c>
    </row>
    <row r="108" spans="1:6" ht="15" customHeight="1" x14ac:dyDescent="0.2">
      <c r="A108" s="147">
        <v>6</v>
      </c>
      <c r="B108" s="169" t="s">
        <v>238</v>
      </c>
      <c r="C108" s="157">
        <v>240268</v>
      </c>
      <c r="D108" s="157">
        <v>238084</v>
      </c>
      <c r="E108" s="157">
        <f t="shared" si="4"/>
        <v>-2184</v>
      </c>
      <c r="F108" s="161">
        <f t="shared" si="5"/>
        <v>-9.0898496678708772E-3</v>
      </c>
    </row>
    <row r="109" spans="1:6" ht="15" customHeight="1" x14ac:dyDescent="0.2">
      <c r="A109" s="147">
        <v>7</v>
      </c>
      <c r="B109" s="169" t="s">
        <v>239</v>
      </c>
      <c r="C109" s="157">
        <v>908171</v>
      </c>
      <c r="D109" s="157">
        <v>976858</v>
      </c>
      <c r="E109" s="157">
        <f t="shared" si="4"/>
        <v>68687</v>
      </c>
      <c r="F109" s="161">
        <f t="shared" si="5"/>
        <v>7.5632232255819665E-2</v>
      </c>
    </row>
    <row r="110" spans="1:6" ht="15" customHeight="1" x14ac:dyDescent="0.2">
      <c r="A110" s="147">
        <v>8</v>
      </c>
      <c r="B110" s="169" t="s">
        <v>240</v>
      </c>
      <c r="C110" s="157">
        <v>1296926</v>
      </c>
      <c r="D110" s="157">
        <v>1536113</v>
      </c>
      <c r="E110" s="157">
        <f t="shared" si="4"/>
        <v>239187</v>
      </c>
      <c r="F110" s="161">
        <f t="shared" si="5"/>
        <v>0.18442609678578423</v>
      </c>
    </row>
    <row r="111" spans="1:6" ht="15" customHeight="1" x14ac:dyDescent="0.2">
      <c r="A111" s="147">
        <v>9</v>
      </c>
      <c r="B111" s="169" t="s">
        <v>241</v>
      </c>
      <c r="C111" s="157">
        <v>480556</v>
      </c>
      <c r="D111" s="157">
        <v>738753</v>
      </c>
      <c r="E111" s="157">
        <f t="shared" si="4"/>
        <v>258197</v>
      </c>
      <c r="F111" s="161">
        <f t="shared" si="5"/>
        <v>0.53728805799948398</v>
      </c>
    </row>
    <row r="112" spans="1:6" ht="15" customHeight="1" x14ac:dyDescent="0.2">
      <c r="A112" s="147">
        <v>10</v>
      </c>
      <c r="B112" s="169" t="s">
        <v>242</v>
      </c>
      <c r="C112" s="157">
        <v>1685454</v>
      </c>
      <c r="D112" s="157">
        <v>1701924</v>
      </c>
      <c r="E112" s="157">
        <f t="shared" si="4"/>
        <v>16470</v>
      </c>
      <c r="F112" s="161">
        <f t="shared" si="5"/>
        <v>9.7718478226044726E-3</v>
      </c>
    </row>
    <row r="113" spans="1:6" ht="15" customHeight="1" x14ac:dyDescent="0.2">
      <c r="A113" s="147">
        <v>11</v>
      </c>
      <c r="B113" s="169" t="s">
        <v>243</v>
      </c>
      <c r="C113" s="157">
        <v>1591295</v>
      </c>
      <c r="D113" s="157">
        <v>1635050</v>
      </c>
      <c r="E113" s="157">
        <f t="shared" si="4"/>
        <v>43755</v>
      </c>
      <c r="F113" s="161">
        <f t="shared" si="5"/>
        <v>2.7496472998406959E-2</v>
      </c>
    </row>
    <row r="114" spans="1:6" ht="15" customHeight="1" x14ac:dyDescent="0.2">
      <c r="A114" s="147">
        <v>12</v>
      </c>
      <c r="B114" s="169" t="s">
        <v>244</v>
      </c>
      <c r="C114" s="157">
        <v>545270</v>
      </c>
      <c r="D114" s="157">
        <v>569171</v>
      </c>
      <c r="E114" s="157">
        <f t="shared" si="4"/>
        <v>23901</v>
      </c>
      <c r="F114" s="161">
        <f t="shared" si="5"/>
        <v>4.3833330276743632E-2</v>
      </c>
    </row>
    <row r="115" spans="1:6" ht="15" customHeight="1" x14ac:dyDescent="0.2">
      <c r="A115" s="147">
        <v>13</v>
      </c>
      <c r="B115" s="169" t="s">
        <v>245</v>
      </c>
      <c r="C115" s="157">
        <v>62044</v>
      </c>
      <c r="D115" s="157">
        <v>36091</v>
      </c>
      <c r="E115" s="157">
        <f t="shared" si="4"/>
        <v>-25953</v>
      </c>
      <c r="F115" s="161">
        <f t="shared" si="5"/>
        <v>-0.41829991618851137</v>
      </c>
    </row>
    <row r="116" spans="1:6" ht="15" customHeight="1" x14ac:dyDescent="0.2">
      <c r="A116" s="147">
        <v>14</v>
      </c>
      <c r="B116" s="169" t="s">
        <v>246</v>
      </c>
      <c r="C116" s="157">
        <v>379593</v>
      </c>
      <c r="D116" s="157">
        <v>389184</v>
      </c>
      <c r="E116" s="157">
        <f t="shared" si="4"/>
        <v>9591</v>
      </c>
      <c r="F116" s="161">
        <f t="shared" si="5"/>
        <v>2.5266535473520323E-2</v>
      </c>
    </row>
    <row r="117" spans="1:6" ht="15" customHeight="1" x14ac:dyDescent="0.2">
      <c r="A117" s="147">
        <v>15</v>
      </c>
      <c r="B117" s="169" t="s">
        <v>203</v>
      </c>
      <c r="C117" s="157">
        <v>4811924</v>
      </c>
      <c r="D117" s="157">
        <v>4642069</v>
      </c>
      <c r="E117" s="157">
        <f t="shared" si="4"/>
        <v>-169855</v>
      </c>
      <c r="F117" s="161">
        <f t="shared" si="5"/>
        <v>-3.5298770304767906E-2</v>
      </c>
    </row>
    <row r="118" spans="1:6" ht="15" customHeight="1" x14ac:dyDescent="0.2">
      <c r="A118" s="147">
        <v>16</v>
      </c>
      <c r="B118" s="169" t="s">
        <v>247</v>
      </c>
      <c r="C118" s="157">
        <v>427906</v>
      </c>
      <c r="D118" s="157">
        <v>596740</v>
      </c>
      <c r="E118" s="157">
        <f t="shared" si="4"/>
        <v>168834</v>
      </c>
      <c r="F118" s="161">
        <f t="shared" si="5"/>
        <v>0.39455861801423675</v>
      </c>
    </row>
    <row r="119" spans="1:6" ht="15" customHeight="1" x14ac:dyDescent="0.2">
      <c r="A119" s="147">
        <v>17</v>
      </c>
      <c r="B119" s="169" t="s">
        <v>248</v>
      </c>
      <c r="C119" s="157">
        <v>8937896</v>
      </c>
      <c r="D119" s="157">
        <v>10396768</v>
      </c>
      <c r="E119" s="157">
        <f t="shared" si="4"/>
        <v>1458872</v>
      </c>
      <c r="F119" s="161">
        <f t="shared" si="5"/>
        <v>0.16322320152304301</v>
      </c>
    </row>
    <row r="120" spans="1:6" ht="15" customHeight="1" x14ac:dyDescent="0.2">
      <c r="A120" s="147">
        <v>18</v>
      </c>
      <c r="B120" s="169" t="s">
        <v>249</v>
      </c>
      <c r="C120" s="157">
        <v>1700104</v>
      </c>
      <c r="D120" s="157">
        <v>1603400</v>
      </c>
      <c r="E120" s="157">
        <f t="shared" si="4"/>
        <v>-96704</v>
      </c>
      <c r="F120" s="161">
        <f t="shared" si="5"/>
        <v>-5.6881226089698041E-2</v>
      </c>
    </row>
    <row r="121" spans="1:6" ht="15.75" customHeight="1" x14ac:dyDescent="0.25">
      <c r="A121" s="147"/>
      <c r="B121" s="165" t="s">
        <v>250</v>
      </c>
      <c r="C121" s="158">
        <f>SUM(C103:C120)</f>
        <v>35836898</v>
      </c>
      <c r="D121" s="158">
        <f>SUM(D103:D120)</f>
        <v>38138533</v>
      </c>
      <c r="E121" s="158">
        <f t="shared" si="4"/>
        <v>2301635</v>
      </c>
      <c r="F121" s="159">
        <f t="shared" si="5"/>
        <v>6.4225285346962785E-2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2071021</v>
      </c>
      <c r="D124" s="157">
        <v>2621161</v>
      </c>
      <c r="E124" s="157">
        <f t="shared" ref="E124:E130" si="6">D124-C124</f>
        <v>550140</v>
      </c>
      <c r="F124" s="161">
        <f t="shared" ref="F124:F130" si="7">IF(C124=0,0,E124/C124)</f>
        <v>0.26563709397442131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1656938</v>
      </c>
      <c r="D126" s="157">
        <v>1778959</v>
      </c>
      <c r="E126" s="157">
        <f t="shared" si="6"/>
        <v>122021</v>
      </c>
      <c r="F126" s="161">
        <f t="shared" si="7"/>
        <v>7.3642465801375789E-2</v>
      </c>
    </row>
    <row r="127" spans="1:6" ht="15" customHeight="1" x14ac:dyDescent="0.2">
      <c r="A127" s="147">
        <v>4</v>
      </c>
      <c r="B127" s="169" t="s">
        <v>255</v>
      </c>
      <c r="C127" s="157">
        <v>1340929</v>
      </c>
      <c r="D127" s="157">
        <v>1470841</v>
      </c>
      <c r="E127" s="157">
        <f t="shared" si="6"/>
        <v>129912</v>
      </c>
      <c r="F127" s="161">
        <f t="shared" si="7"/>
        <v>9.6882086971047679E-2</v>
      </c>
    </row>
    <row r="128" spans="1:6" ht="15" customHeight="1" x14ac:dyDescent="0.2">
      <c r="A128" s="147">
        <v>5</v>
      </c>
      <c r="B128" s="169" t="s">
        <v>256</v>
      </c>
      <c r="C128" s="157">
        <v>1208248</v>
      </c>
      <c r="D128" s="157">
        <v>1391039</v>
      </c>
      <c r="E128" s="157">
        <f t="shared" si="6"/>
        <v>182791</v>
      </c>
      <c r="F128" s="161">
        <f t="shared" si="7"/>
        <v>0.15128599426607783</v>
      </c>
    </row>
    <row r="129" spans="1:6" ht="15" customHeight="1" x14ac:dyDescent="0.2">
      <c r="A129" s="147">
        <v>6</v>
      </c>
      <c r="B129" s="169" t="s">
        <v>257</v>
      </c>
      <c r="C129" s="157">
        <v>224716</v>
      </c>
      <c r="D129" s="157">
        <v>235050</v>
      </c>
      <c r="E129" s="157">
        <f t="shared" si="6"/>
        <v>10334</v>
      </c>
      <c r="F129" s="161">
        <f t="shared" si="7"/>
        <v>4.5986934619697752E-2</v>
      </c>
    </row>
    <row r="130" spans="1:6" ht="15.75" customHeight="1" x14ac:dyDescent="0.25">
      <c r="A130" s="147"/>
      <c r="B130" s="165" t="s">
        <v>258</v>
      </c>
      <c r="C130" s="158">
        <f>SUM(C124:C129)</f>
        <v>6501852</v>
      </c>
      <c r="D130" s="158">
        <f>SUM(D124:D129)</f>
        <v>7497050</v>
      </c>
      <c r="E130" s="158">
        <f t="shared" si="6"/>
        <v>995198</v>
      </c>
      <c r="F130" s="159">
        <f t="shared" si="7"/>
        <v>0.15306377321415499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8101532</v>
      </c>
      <c r="D133" s="157">
        <v>9057132</v>
      </c>
      <c r="E133" s="157">
        <f t="shared" ref="E133:E167" si="8">D133-C133</f>
        <v>955600</v>
      </c>
      <c r="F133" s="161">
        <f t="shared" ref="F133:F167" si="9">IF(C133=0,0,E133/C133)</f>
        <v>0.11795299950675996</v>
      </c>
    </row>
    <row r="134" spans="1:6" ht="15" customHeight="1" x14ac:dyDescent="0.2">
      <c r="A134" s="147">
        <v>2</v>
      </c>
      <c r="B134" s="169" t="s">
        <v>261</v>
      </c>
      <c r="C134" s="157">
        <v>8011</v>
      </c>
      <c r="D134" s="157">
        <v>0</v>
      </c>
      <c r="E134" s="157">
        <f t="shared" si="8"/>
        <v>-8011</v>
      </c>
      <c r="F134" s="161">
        <f t="shared" si="9"/>
        <v>-1</v>
      </c>
    </row>
    <row r="135" spans="1:6" ht="15" customHeight="1" x14ac:dyDescent="0.2">
      <c r="A135" s="147">
        <v>3</v>
      </c>
      <c r="B135" s="169" t="s">
        <v>262</v>
      </c>
      <c r="C135" s="157">
        <v>333821</v>
      </c>
      <c r="D135" s="157">
        <v>393299</v>
      </c>
      <c r="E135" s="157">
        <f t="shared" si="8"/>
        <v>59478</v>
      </c>
      <c r="F135" s="161">
        <f t="shared" si="9"/>
        <v>0.17817333241467734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2354399</v>
      </c>
      <c r="D137" s="157">
        <v>2424154</v>
      </c>
      <c r="E137" s="157">
        <f t="shared" si="8"/>
        <v>69755</v>
      </c>
      <c r="F137" s="161">
        <f t="shared" si="9"/>
        <v>2.9627518530206648E-2</v>
      </c>
    </row>
    <row r="138" spans="1:6" ht="15" customHeight="1" x14ac:dyDescent="0.2">
      <c r="A138" s="147">
        <v>6</v>
      </c>
      <c r="B138" s="169" t="s">
        <v>265</v>
      </c>
      <c r="C138" s="157">
        <v>456308</v>
      </c>
      <c r="D138" s="157">
        <v>549492</v>
      </c>
      <c r="E138" s="157">
        <f t="shared" si="8"/>
        <v>93184</v>
      </c>
      <c r="F138" s="161">
        <f t="shared" si="9"/>
        <v>0.20421294388877687</v>
      </c>
    </row>
    <row r="139" spans="1:6" ht="15" customHeight="1" x14ac:dyDescent="0.2">
      <c r="A139" s="147">
        <v>7</v>
      </c>
      <c r="B139" s="169" t="s">
        <v>266</v>
      </c>
      <c r="C139" s="157">
        <v>149</v>
      </c>
      <c r="D139" s="157">
        <v>0</v>
      </c>
      <c r="E139" s="157">
        <f t="shared" si="8"/>
        <v>-149</v>
      </c>
      <c r="F139" s="161">
        <f t="shared" si="9"/>
        <v>-1</v>
      </c>
    </row>
    <row r="140" spans="1:6" ht="15" customHeight="1" x14ac:dyDescent="0.2">
      <c r="A140" s="147">
        <v>8</v>
      </c>
      <c r="B140" s="169" t="s">
        <v>267</v>
      </c>
      <c r="C140" s="157">
        <v>489696</v>
      </c>
      <c r="D140" s="157">
        <v>498125</v>
      </c>
      <c r="E140" s="157">
        <f t="shared" si="8"/>
        <v>8429</v>
      </c>
      <c r="F140" s="161">
        <f t="shared" si="9"/>
        <v>1.7212719728157879E-2</v>
      </c>
    </row>
    <row r="141" spans="1:6" ht="15" customHeight="1" x14ac:dyDescent="0.2">
      <c r="A141" s="147">
        <v>9</v>
      </c>
      <c r="B141" s="169" t="s">
        <v>268</v>
      </c>
      <c r="C141" s="157">
        <v>735597</v>
      </c>
      <c r="D141" s="157">
        <v>810846</v>
      </c>
      <c r="E141" s="157">
        <f t="shared" si="8"/>
        <v>75249</v>
      </c>
      <c r="F141" s="161">
        <f t="shared" si="9"/>
        <v>0.10229650202488591</v>
      </c>
    </row>
    <row r="142" spans="1:6" ht="15" customHeight="1" x14ac:dyDescent="0.2">
      <c r="A142" s="147">
        <v>10</v>
      </c>
      <c r="B142" s="169" t="s">
        <v>269</v>
      </c>
      <c r="C142" s="157">
        <v>7332065</v>
      </c>
      <c r="D142" s="157">
        <v>7324158</v>
      </c>
      <c r="E142" s="157">
        <f t="shared" si="8"/>
        <v>-7907</v>
      </c>
      <c r="F142" s="161">
        <f t="shared" si="9"/>
        <v>-1.0784137892940119E-3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597683</v>
      </c>
      <c r="D144" s="157">
        <v>733069</v>
      </c>
      <c r="E144" s="157">
        <f t="shared" si="8"/>
        <v>135386</v>
      </c>
      <c r="F144" s="161">
        <f t="shared" si="9"/>
        <v>0.22651807061602891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23488</v>
      </c>
      <c r="D146" s="157">
        <v>32417</v>
      </c>
      <c r="E146" s="157">
        <f t="shared" si="8"/>
        <v>8929</v>
      </c>
      <c r="F146" s="161">
        <f t="shared" si="9"/>
        <v>0.38015156675749318</v>
      </c>
    </row>
    <row r="147" spans="1:6" ht="15" customHeight="1" x14ac:dyDescent="0.2">
      <c r="A147" s="147">
        <v>15</v>
      </c>
      <c r="B147" s="169" t="s">
        <v>274</v>
      </c>
      <c r="C147" s="157">
        <v>154886</v>
      </c>
      <c r="D147" s="157">
        <v>241655</v>
      </c>
      <c r="E147" s="157">
        <f t="shared" si="8"/>
        <v>86769</v>
      </c>
      <c r="F147" s="161">
        <f t="shared" si="9"/>
        <v>0.56021202691011451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867463</v>
      </c>
      <c r="D150" s="157">
        <v>962725</v>
      </c>
      <c r="E150" s="157">
        <f t="shared" si="8"/>
        <v>95262</v>
      </c>
      <c r="F150" s="161">
        <f t="shared" si="9"/>
        <v>0.10981678757480146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206308</v>
      </c>
      <c r="D152" s="157">
        <v>209918</v>
      </c>
      <c r="E152" s="157">
        <f t="shared" si="8"/>
        <v>3610</v>
      </c>
      <c r="F152" s="161">
        <f t="shared" si="9"/>
        <v>1.7498109622506156E-2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4741652</v>
      </c>
      <c r="D156" s="157">
        <v>4875480</v>
      </c>
      <c r="E156" s="157">
        <f t="shared" si="8"/>
        <v>133828</v>
      </c>
      <c r="F156" s="161">
        <f t="shared" si="9"/>
        <v>2.8223918583649751E-2</v>
      </c>
    </row>
    <row r="157" spans="1:6" ht="15" customHeight="1" x14ac:dyDescent="0.2">
      <c r="A157" s="147">
        <v>25</v>
      </c>
      <c r="B157" s="169" t="s">
        <v>284</v>
      </c>
      <c r="C157" s="157">
        <v>448550</v>
      </c>
      <c r="D157" s="157">
        <v>471443</v>
      </c>
      <c r="E157" s="157">
        <f t="shared" si="8"/>
        <v>22893</v>
      </c>
      <c r="F157" s="161">
        <f t="shared" si="9"/>
        <v>5.1037788429383571E-2</v>
      </c>
    </row>
    <row r="158" spans="1:6" ht="15" customHeight="1" x14ac:dyDescent="0.2">
      <c r="A158" s="147">
        <v>26</v>
      </c>
      <c r="B158" s="169" t="s">
        <v>285</v>
      </c>
      <c r="C158" s="157">
        <v>206530</v>
      </c>
      <c r="D158" s="157">
        <v>239467</v>
      </c>
      <c r="E158" s="157">
        <f t="shared" si="8"/>
        <v>32937</v>
      </c>
      <c r="F158" s="161">
        <f t="shared" si="9"/>
        <v>0.15947804193095433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808208</v>
      </c>
      <c r="D160" s="157">
        <v>1018988</v>
      </c>
      <c r="E160" s="157">
        <f t="shared" si="8"/>
        <v>210780</v>
      </c>
      <c r="F160" s="161">
        <f t="shared" si="9"/>
        <v>0.26079920020588759</v>
      </c>
    </row>
    <row r="161" spans="1:6" ht="15" customHeight="1" x14ac:dyDescent="0.2">
      <c r="A161" s="147">
        <v>29</v>
      </c>
      <c r="B161" s="169" t="s">
        <v>288</v>
      </c>
      <c r="C161" s="157">
        <v>173329</v>
      </c>
      <c r="D161" s="157">
        <v>225766</v>
      </c>
      <c r="E161" s="157">
        <f t="shared" si="8"/>
        <v>52437</v>
      </c>
      <c r="F161" s="161">
        <f t="shared" si="9"/>
        <v>0.30252871706408047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1713970</v>
      </c>
      <c r="D164" s="157">
        <v>1841460</v>
      </c>
      <c r="E164" s="157">
        <f t="shared" si="8"/>
        <v>127490</v>
      </c>
      <c r="F164" s="161">
        <f t="shared" si="9"/>
        <v>7.4382865511064961E-2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3096907</v>
      </c>
      <c r="D166" s="157">
        <v>3791075</v>
      </c>
      <c r="E166" s="157">
        <f t="shared" si="8"/>
        <v>694168</v>
      </c>
      <c r="F166" s="161">
        <f t="shared" si="9"/>
        <v>0.22414880395181386</v>
      </c>
    </row>
    <row r="167" spans="1:6" ht="15.75" customHeight="1" x14ac:dyDescent="0.25">
      <c r="A167" s="147"/>
      <c r="B167" s="165" t="s">
        <v>294</v>
      </c>
      <c r="C167" s="158">
        <f>SUM(C133:C166)</f>
        <v>32850552</v>
      </c>
      <c r="D167" s="158">
        <f>SUM(D133:D166)</f>
        <v>35700669</v>
      </c>
      <c r="E167" s="158">
        <f t="shared" si="8"/>
        <v>2850117</v>
      </c>
      <c r="F167" s="159">
        <f t="shared" si="9"/>
        <v>8.676009462489398E-2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7985829</v>
      </c>
      <c r="D170" s="157">
        <v>8185276</v>
      </c>
      <c r="E170" s="157">
        <f t="shared" ref="E170:E183" si="10">D170-C170</f>
        <v>199447</v>
      </c>
      <c r="F170" s="161">
        <f t="shared" ref="F170:F183" si="11">IF(C170=0,0,E170/C170)</f>
        <v>2.4975115294855424E-2</v>
      </c>
    </row>
    <row r="171" spans="1:6" ht="15" customHeight="1" x14ac:dyDescent="0.2">
      <c r="A171" s="147">
        <v>2</v>
      </c>
      <c r="B171" s="169" t="s">
        <v>297</v>
      </c>
      <c r="C171" s="157">
        <v>2805887</v>
      </c>
      <c r="D171" s="157">
        <v>2995462</v>
      </c>
      <c r="E171" s="157">
        <f t="shared" si="10"/>
        <v>189575</v>
      </c>
      <c r="F171" s="161">
        <f t="shared" si="11"/>
        <v>6.7563305293477607E-2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2222380</v>
      </c>
      <c r="D173" s="157">
        <v>2406453</v>
      </c>
      <c r="E173" s="157">
        <f t="shared" si="10"/>
        <v>184073</v>
      </c>
      <c r="F173" s="161">
        <f t="shared" si="11"/>
        <v>8.2826969285180754E-2</v>
      </c>
    </row>
    <row r="174" spans="1:6" ht="15" customHeight="1" x14ac:dyDescent="0.2">
      <c r="A174" s="147">
        <v>5</v>
      </c>
      <c r="B174" s="169" t="s">
        <v>300</v>
      </c>
      <c r="C174" s="157">
        <v>39142</v>
      </c>
      <c r="D174" s="157">
        <v>6725</v>
      </c>
      <c r="E174" s="157">
        <f t="shared" si="10"/>
        <v>-32417</v>
      </c>
      <c r="F174" s="161">
        <f t="shared" si="11"/>
        <v>-0.828189668386899</v>
      </c>
    </row>
    <row r="175" spans="1:6" ht="15" customHeight="1" x14ac:dyDescent="0.2">
      <c r="A175" s="147">
        <v>6</v>
      </c>
      <c r="B175" s="169" t="s">
        <v>301</v>
      </c>
      <c r="C175" s="157">
        <v>2682811</v>
      </c>
      <c r="D175" s="157">
        <v>2845608</v>
      </c>
      <c r="E175" s="157">
        <f t="shared" si="10"/>
        <v>162797</v>
      </c>
      <c r="F175" s="161">
        <f t="shared" si="11"/>
        <v>6.0681501604101074E-2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22694</v>
      </c>
      <c r="E176" s="157">
        <f t="shared" si="10"/>
        <v>22694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772086</v>
      </c>
      <c r="D179" s="157">
        <v>934671</v>
      </c>
      <c r="E179" s="157">
        <f t="shared" si="10"/>
        <v>162585</v>
      </c>
      <c r="F179" s="161">
        <f t="shared" si="11"/>
        <v>0.21057887333794423</v>
      </c>
    </row>
    <row r="180" spans="1:6" ht="15" customHeight="1" x14ac:dyDescent="0.2">
      <c r="A180" s="147">
        <v>11</v>
      </c>
      <c r="B180" s="169" t="s">
        <v>306</v>
      </c>
      <c r="C180" s="157">
        <v>3262074</v>
      </c>
      <c r="D180" s="157">
        <v>3516019</v>
      </c>
      <c r="E180" s="157">
        <f t="shared" si="10"/>
        <v>253945</v>
      </c>
      <c r="F180" s="161">
        <f t="shared" si="11"/>
        <v>7.7847712835453761E-2</v>
      </c>
    </row>
    <row r="181" spans="1:6" ht="15" customHeight="1" x14ac:dyDescent="0.2">
      <c r="A181" s="147">
        <v>12</v>
      </c>
      <c r="B181" s="169" t="s">
        <v>307</v>
      </c>
      <c r="C181" s="157">
        <v>3556877</v>
      </c>
      <c r="D181" s="157">
        <v>5697265</v>
      </c>
      <c r="E181" s="157">
        <f t="shared" si="10"/>
        <v>2140388</v>
      </c>
      <c r="F181" s="161">
        <f t="shared" si="11"/>
        <v>0.60176047695773571</v>
      </c>
    </row>
    <row r="182" spans="1:6" ht="15" customHeight="1" x14ac:dyDescent="0.2">
      <c r="A182" s="147">
        <v>13</v>
      </c>
      <c r="B182" s="169" t="s">
        <v>308</v>
      </c>
      <c r="C182" s="157">
        <v>243892</v>
      </c>
      <c r="D182" s="157">
        <v>271519</v>
      </c>
      <c r="E182" s="157">
        <f t="shared" si="10"/>
        <v>27627</v>
      </c>
      <c r="F182" s="161">
        <f t="shared" si="11"/>
        <v>0.11327554819346268</v>
      </c>
    </row>
    <row r="183" spans="1:6" ht="15.75" customHeight="1" x14ac:dyDescent="0.25">
      <c r="A183" s="147"/>
      <c r="B183" s="165" t="s">
        <v>309</v>
      </c>
      <c r="C183" s="158">
        <f>SUM(C170:C182)</f>
        <v>23570978</v>
      </c>
      <c r="D183" s="158">
        <f>SUM(D170:D182)</f>
        <v>26881692</v>
      </c>
      <c r="E183" s="158">
        <f t="shared" si="10"/>
        <v>3310714</v>
      </c>
      <c r="F183" s="159">
        <f t="shared" si="11"/>
        <v>0.14045721819434051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30943394</v>
      </c>
      <c r="D186" s="157">
        <v>33011005</v>
      </c>
      <c r="E186" s="157">
        <f>D186-C186</f>
        <v>2067611</v>
      </c>
      <c r="F186" s="161">
        <f>IF(C186=0,0,E186/C186)</f>
        <v>6.6819140783328429E-2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129703674</v>
      </c>
      <c r="D188" s="158">
        <f>+D186+D183+D167+D130+D121</f>
        <v>141228949</v>
      </c>
      <c r="E188" s="158">
        <f>D188-C188</f>
        <v>11525275</v>
      </c>
      <c r="F188" s="159">
        <f>IF(C188=0,0,E188/C188)</f>
        <v>8.8858508356517332E-2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FILING&amp;RBRISTOL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130360493</v>
      </c>
      <c r="D11" s="183">
        <v>126808091</v>
      </c>
      <c r="E11" s="76">
        <v>137976406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5173982</v>
      </c>
      <c r="D12" s="185">
        <v>4242269</v>
      </c>
      <c r="E12" s="185">
        <v>4301391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135534475</v>
      </c>
      <c r="D13" s="76">
        <f>+D11+D12</f>
        <v>131050360</v>
      </c>
      <c r="E13" s="76">
        <f>+E11+E12</f>
        <v>142277797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134486303</v>
      </c>
      <c r="D14" s="185">
        <v>129703674</v>
      </c>
      <c r="E14" s="185">
        <v>141228949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1048172</v>
      </c>
      <c r="D15" s="76">
        <f>+D13-D14</f>
        <v>1346686</v>
      </c>
      <c r="E15" s="76">
        <f>+E13-E14</f>
        <v>1048848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1253154</v>
      </c>
      <c r="D16" s="185">
        <v>844070</v>
      </c>
      <c r="E16" s="185">
        <v>1263862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2301326</v>
      </c>
      <c r="D17" s="76">
        <f>D15+D16</f>
        <v>2190756</v>
      </c>
      <c r="E17" s="76">
        <f>E15+E16</f>
        <v>2312710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7.6627689774489771E-3</v>
      </c>
      <c r="D20" s="189">
        <f>IF(+D27=0,0,+D24/+D27)</f>
        <v>1.0210332612226309E-2</v>
      </c>
      <c r="E20" s="189">
        <f>IF(+E27=0,0,+E24/+E27)</f>
        <v>7.3069240477428229E-3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9.1613109252738061E-3</v>
      </c>
      <c r="D21" s="189">
        <f>IF(D27=0,0,+D26/D27)</f>
        <v>6.3995879128481772E-3</v>
      </c>
      <c r="E21" s="189">
        <f>IF(E27=0,0,+E26/E27)</f>
        <v>8.8048445921890869E-3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1.6824079902722781E-2</v>
      </c>
      <c r="D22" s="189">
        <f>IF(D27=0,0,+D28/D27)</f>
        <v>1.6609920525074484E-2</v>
      </c>
      <c r="E22" s="189">
        <f>IF(E27=0,0,+E28/E27)</f>
        <v>1.6111768639931912E-2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1048172</v>
      </c>
      <c r="D24" s="76">
        <f>+D15</f>
        <v>1346686</v>
      </c>
      <c r="E24" s="76">
        <f>+E15</f>
        <v>1048848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135534475</v>
      </c>
      <c r="D25" s="76">
        <f>+D13</f>
        <v>131050360</v>
      </c>
      <c r="E25" s="76">
        <f>+E13</f>
        <v>142277797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1253154</v>
      </c>
      <c r="D26" s="76">
        <f>+D16</f>
        <v>844070</v>
      </c>
      <c r="E26" s="76">
        <f>+E16</f>
        <v>1263862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136787629</v>
      </c>
      <c r="D27" s="76">
        <f>+D25+D26</f>
        <v>131894430</v>
      </c>
      <c r="E27" s="76">
        <f>+E25+E26</f>
        <v>143541659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2301326</v>
      </c>
      <c r="D28" s="76">
        <f>+D17</f>
        <v>2190756</v>
      </c>
      <c r="E28" s="76">
        <f>+E17</f>
        <v>2312710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-376115</v>
      </c>
      <c r="D31" s="76">
        <v>15896282</v>
      </c>
      <c r="E31" s="76">
        <v>17633376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10631335</v>
      </c>
      <c r="D32" s="76">
        <v>26472271</v>
      </c>
      <c r="E32" s="76">
        <v>28426955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2615647</v>
      </c>
      <c r="D33" s="76">
        <f>+D32-C32</f>
        <v>15840936</v>
      </c>
      <c r="E33" s="76">
        <f>+E32-D32</f>
        <v>1954684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1.3263</v>
      </c>
      <c r="D34" s="193">
        <f>IF(C32=0,0,+D33/C32)</f>
        <v>1.4900232190971312</v>
      </c>
      <c r="E34" s="193">
        <f>IF(D32=0,0,+E33/D32)</f>
        <v>7.3838923755351407E-2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0.34387820028609645</v>
      </c>
      <c r="D38" s="195">
        <f>IF((D40+D41)=0,0,+D39/(D40+D41))</f>
        <v>0.30027690626887354</v>
      </c>
      <c r="E38" s="195">
        <f>IF((E40+E41)=0,0,+E39/(E40+E41))</f>
        <v>0.30876901408895968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134486303</v>
      </c>
      <c r="D39" s="76">
        <v>129703674</v>
      </c>
      <c r="E39" s="196">
        <v>141228949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385913045</v>
      </c>
      <c r="D40" s="76">
        <v>427704615</v>
      </c>
      <c r="E40" s="196">
        <v>453092138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5173982</v>
      </c>
      <c r="D41" s="76">
        <v>4242269</v>
      </c>
      <c r="E41" s="196">
        <v>4301391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1.2544535833334873</v>
      </c>
      <c r="D43" s="197">
        <f>IF(D38=0,0,IF((D46-D47)=0,0,((+D44-D45)/(D46-D47)/D38)))</f>
        <v>1.4221294231932367</v>
      </c>
      <c r="E43" s="197">
        <f>IF(E38=0,0,IF((E46-E47)=0,0,((+E44-E45)/(E46-E47)/E38)))</f>
        <v>1.410200606032382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58148995</v>
      </c>
      <c r="D44" s="76">
        <v>60083826</v>
      </c>
      <c r="E44" s="196">
        <v>64034225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49804</v>
      </c>
      <c r="D45" s="76">
        <v>85575</v>
      </c>
      <c r="E45" s="196">
        <v>67919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142039704</v>
      </c>
      <c r="D46" s="76">
        <v>149192190</v>
      </c>
      <c r="E46" s="196">
        <v>154216460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7357305</v>
      </c>
      <c r="D47" s="76">
        <v>8691798</v>
      </c>
      <c r="E47" s="76">
        <v>7311431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0.83898112177577444</v>
      </c>
      <c r="D49" s="198">
        <f>IF(D38=0,0,IF(D51=0,0,(D50/D51)/D38))</f>
        <v>0.81477976536568053</v>
      </c>
      <c r="E49" s="198">
        <f>IF(E38=0,0,IF(E51=0,0,(E50/E51)/E38))</f>
        <v>0.81118018581483842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49410291</v>
      </c>
      <c r="D50" s="199">
        <v>47894414</v>
      </c>
      <c r="E50" s="199">
        <v>51942733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171261829</v>
      </c>
      <c r="D51" s="199">
        <v>195759432</v>
      </c>
      <c r="E51" s="199">
        <v>207383286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0.66141997292193244</v>
      </c>
      <c r="D53" s="198">
        <f>IF(D38=0,0,IF(D55=0,0,(D54/D55)/D38))</f>
        <v>0.73223484817959372</v>
      </c>
      <c r="E53" s="198">
        <f>IF(E38=0,0,IF(E55=0,0,(E54/E55)/E38))</f>
        <v>0.70956727481545456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16331851</v>
      </c>
      <c r="D54" s="199">
        <v>18000260</v>
      </c>
      <c r="E54" s="199">
        <v>19708135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71804797</v>
      </c>
      <c r="D55" s="199">
        <v>81866543</v>
      </c>
      <c r="E55" s="199">
        <v>89953536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3525524.9350049319</v>
      </c>
      <c r="D57" s="88">
        <f>+D60*D38</f>
        <v>3067593.1414909661</v>
      </c>
      <c r="E57" s="88">
        <f>+E60*E38</f>
        <v>2636400.1428154833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3781958</v>
      </c>
      <c r="D58" s="199">
        <v>5306456</v>
      </c>
      <c r="E58" s="199">
        <v>4530623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6470291</v>
      </c>
      <c r="D59" s="199">
        <v>4909425</v>
      </c>
      <c r="E59" s="199">
        <v>4007799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10252249</v>
      </c>
      <c r="D60" s="76">
        <v>10215881</v>
      </c>
      <c r="E60" s="201">
        <v>8538422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2.6214750917830879E-2</v>
      </c>
      <c r="D62" s="202">
        <f>IF(D63=0,0,+D57/D63)</f>
        <v>2.3650780636259895E-2</v>
      </c>
      <c r="E62" s="202">
        <f>IF(E63=0,0,+E57/E63)</f>
        <v>1.866756186662186E-2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134486303</v>
      </c>
      <c r="D63" s="199">
        <v>129703674</v>
      </c>
      <c r="E63" s="199">
        <v>141228949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1.456965131812562</v>
      </c>
      <c r="D67" s="203">
        <f>IF(D69=0,0,D68/D69)</f>
        <v>1.447309324547523</v>
      </c>
      <c r="E67" s="203">
        <f>IF(E69=0,0,E68/E69)</f>
        <v>1.3763191045252046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39003484</v>
      </c>
      <c r="D68" s="204">
        <v>38926532</v>
      </c>
      <c r="E68" s="204">
        <v>37551284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26770362</v>
      </c>
      <c r="D69" s="204">
        <v>26895793</v>
      </c>
      <c r="E69" s="204">
        <v>27283850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26.977640168966545</v>
      </c>
      <c r="D71" s="203">
        <f>IF((D77/365)=0,0,+D74/(D77/365))</f>
        <v>38.194862497531311</v>
      </c>
      <c r="E71" s="203">
        <f>IF((E77/365)=0,0,+E74/(E77/365))</f>
        <v>37.184210547428705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9376449</v>
      </c>
      <c r="D72" s="183">
        <v>12810191</v>
      </c>
      <c r="E72" s="183">
        <v>13617245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96452</v>
      </c>
      <c r="D73" s="206">
        <v>96526</v>
      </c>
      <c r="E73" s="206">
        <v>96550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9472901</v>
      </c>
      <c r="D74" s="204">
        <f>+D72+D73</f>
        <v>12906717</v>
      </c>
      <c r="E74" s="204">
        <f>+E72+E73</f>
        <v>13713795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134486303</v>
      </c>
      <c r="D75" s="204">
        <f>+D14</f>
        <v>129703674</v>
      </c>
      <c r="E75" s="204">
        <f>+E14</f>
        <v>141228949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6320576</v>
      </c>
      <c r="D76" s="204">
        <v>6363743</v>
      </c>
      <c r="E76" s="204">
        <v>6614415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128165727</v>
      </c>
      <c r="D77" s="204">
        <f>+D75-D76</f>
        <v>123339931</v>
      </c>
      <c r="E77" s="204">
        <f>+E75-E76</f>
        <v>134614534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51.872077301824866</v>
      </c>
      <c r="D79" s="203">
        <f>IF((D84/365)=0,0,+D83/(D84/365))</f>
        <v>56.546492368535063</v>
      </c>
      <c r="E79" s="203">
        <f>IF((E84/365)=0,0,+E83/(E84/365))</f>
        <v>48.40076331601216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16562143</v>
      </c>
      <c r="D80" s="212">
        <v>16887452</v>
      </c>
      <c r="E80" s="212">
        <v>17715144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1964075</v>
      </c>
      <c r="D81" s="212">
        <v>2757898</v>
      </c>
      <c r="E81" s="212">
        <v>581194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18526218</v>
      </c>
      <c r="D83" s="212">
        <f>+D80+D81-D82</f>
        <v>19645350</v>
      </c>
      <c r="E83" s="212">
        <f>+E80+E81-E82</f>
        <v>18296338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130360493</v>
      </c>
      <c r="D84" s="204">
        <f>+D11</f>
        <v>126808091</v>
      </c>
      <c r="E84" s="204">
        <f>+E11</f>
        <v>137976406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76.238650992866454</v>
      </c>
      <c r="D86" s="203">
        <f>IF((D90/365)=0,0,+D87/(D90/365))</f>
        <v>79.592751231553706</v>
      </c>
      <c r="E86" s="203">
        <f>IF((E90/365)=0,0,+E87/(E90/365))</f>
        <v>73.978677889268624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26770362</v>
      </c>
      <c r="D87" s="76">
        <f>+D69</f>
        <v>26895793</v>
      </c>
      <c r="E87" s="76">
        <f>+E69</f>
        <v>27283850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134486303</v>
      </c>
      <c r="D88" s="76">
        <f t="shared" si="0"/>
        <v>129703674</v>
      </c>
      <c r="E88" s="76">
        <f t="shared" si="0"/>
        <v>141228949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6320576</v>
      </c>
      <c r="D89" s="201">
        <f t="shared" si="0"/>
        <v>6363743</v>
      </c>
      <c r="E89" s="201">
        <f t="shared" si="0"/>
        <v>6614415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128165727</v>
      </c>
      <c r="D90" s="76">
        <f>+D88-D89</f>
        <v>123339931</v>
      </c>
      <c r="E90" s="76">
        <f>+E88-E89</f>
        <v>134614534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9.4371539527060726</v>
      </c>
      <c r="D94" s="214">
        <f>IF(D96=0,0,(D95/D96)*100)</f>
        <v>23.234996145182272</v>
      </c>
      <c r="E94" s="214">
        <f>IF(E96=0,0,(E95/E96)*100)</f>
        <v>24.862270091091279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10631335</v>
      </c>
      <c r="D95" s="76">
        <f>+D32</f>
        <v>26472271</v>
      </c>
      <c r="E95" s="76">
        <f>+E32</f>
        <v>28426955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112654038</v>
      </c>
      <c r="D96" s="76">
        <v>113932754</v>
      </c>
      <c r="E96" s="76">
        <v>114337729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16.332314512655774</v>
      </c>
      <c r="D98" s="214">
        <f>IF(D104=0,0,(D101/D104)*100)</f>
        <v>16.081603530723097</v>
      </c>
      <c r="E98" s="214">
        <f>IF(E104=0,0,(E101/E104)*100)</f>
        <v>16.888080228059859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2301326</v>
      </c>
      <c r="D99" s="76">
        <f>+D28</f>
        <v>2190756</v>
      </c>
      <c r="E99" s="76">
        <f>+E28</f>
        <v>2312710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6320576</v>
      </c>
      <c r="D100" s="201">
        <f>+D76</f>
        <v>6363743</v>
      </c>
      <c r="E100" s="201">
        <f>+E76</f>
        <v>6614415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8621902</v>
      </c>
      <c r="D101" s="76">
        <f>+D99+D100</f>
        <v>8554499</v>
      </c>
      <c r="E101" s="76">
        <f>+E99+E100</f>
        <v>8927125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26770362</v>
      </c>
      <c r="D102" s="204">
        <f>+D69</f>
        <v>26895793</v>
      </c>
      <c r="E102" s="204">
        <f>+E69</f>
        <v>27283850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26020086</v>
      </c>
      <c r="D103" s="216">
        <v>26298523</v>
      </c>
      <c r="E103" s="216">
        <v>25576658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52790448</v>
      </c>
      <c r="D104" s="204">
        <f>+D102+D103</f>
        <v>53194316</v>
      </c>
      <c r="E104" s="204">
        <f>+E102+E103</f>
        <v>52860508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70.993389314973626</v>
      </c>
      <c r="D106" s="214">
        <f>IF(D109=0,0,(D107/D109)*100)</f>
        <v>49.835374847685635</v>
      </c>
      <c r="E106" s="214">
        <f>IF(E109=0,0,(E107/E109)*100)</f>
        <v>47.361012678910946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26020086</v>
      </c>
      <c r="D107" s="204">
        <f>+D103</f>
        <v>26298523</v>
      </c>
      <c r="E107" s="204">
        <f>+E103</f>
        <v>25576658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10631335</v>
      </c>
      <c r="D108" s="204">
        <f>+D32</f>
        <v>26472271</v>
      </c>
      <c r="E108" s="204">
        <f>+E32</f>
        <v>28426955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36651421</v>
      </c>
      <c r="D109" s="204">
        <f>+D107+D108</f>
        <v>52770794</v>
      </c>
      <c r="E109" s="204">
        <f>+E107+E108</f>
        <v>54003613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4.2069971287629908</v>
      </c>
      <c r="D111" s="214">
        <f>IF((+D113+D115)=0,0,((+D112+D113+D114)/(+D113+D115)))</f>
        <v>4.5388026950530787</v>
      </c>
      <c r="E111" s="214">
        <f>IF((+E113+E115)=0,0,((+E112+E113+E114)/(+E113+E115)))</f>
        <v>3.8547201676160934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2301326</v>
      </c>
      <c r="D112" s="76">
        <f>+D17</f>
        <v>2190756</v>
      </c>
      <c r="E112" s="76">
        <f>+E17</f>
        <v>2312710</v>
      </c>
    </row>
    <row r="113" spans="1:8" ht="24" customHeight="1" x14ac:dyDescent="0.2">
      <c r="A113" s="85">
        <v>17</v>
      </c>
      <c r="B113" s="75" t="s">
        <v>88</v>
      </c>
      <c r="C113" s="218">
        <v>1641972</v>
      </c>
      <c r="D113" s="76">
        <v>1421576</v>
      </c>
      <c r="E113" s="76">
        <v>1412468</v>
      </c>
    </row>
    <row r="114" spans="1:8" ht="24" customHeight="1" x14ac:dyDescent="0.2">
      <c r="A114" s="85">
        <v>18</v>
      </c>
      <c r="B114" s="75" t="s">
        <v>374</v>
      </c>
      <c r="C114" s="218">
        <v>6320576</v>
      </c>
      <c r="D114" s="76">
        <v>6363743</v>
      </c>
      <c r="E114" s="76">
        <v>6614415</v>
      </c>
    </row>
    <row r="115" spans="1:8" ht="24" customHeight="1" x14ac:dyDescent="0.2">
      <c r="A115" s="85">
        <v>19</v>
      </c>
      <c r="B115" s="75" t="s">
        <v>104</v>
      </c>
      <c r="C115" s="218">
        <v>797743</v>
      </c>
      <c r="D115" s="76">
        <v>776377</v>
      </c>
      <c r="E115" s="76">
        <v>1269852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16.684211850312376</v>
      </c>
      <c r="D119" s="214">
        <f>IF(+D121=0,0,(+D120)/(+D121))</f>
        <v>17.562459389073382</v>
      </c>
      <c r="E119" s="214">
        <f>IF(+E121=0,0,(+E120)/(+E121))</f>
        <v>17.888626431815965</v>
      </c>
    </row>
    <row r="120" spans="1:8" ht="24" customHeight="1" x14ac:dyDescent="0.2">
      <c r="A120" s="85">
        <v>21</v>
      </c>
      <c r="B120" s="75" t="s">
        <v>378</v>
      </c>
      <c r="C120" s="218">
        <v>105453829</v>
      </c>
      <c r="D120" s="218">
        <v>111762978</v>
      </c>
      <c r="E120" s="218">
        <v>118322799</v>
      </c>
    </row>
    <row r="121" spans="1:8" ht="24" customHeight="1" x14ac:dyDescent="0.2">
      <c r="A121" s="85">
        <v>22</v>
      </c>
      <c r="B121" s="75" t="s">
        <v>374</v>
      </c>
      <c r="C121" s="218">
        <v>6320576</v>
      </c>
      <c r="D121" s="218">
        <v>6363743</v>
      </c>
      <c r="E121" s="218">
        <v>6614415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29383</v>
      </c>
      <c r="D124" s="218">
        <v>29710</v>
      </c>
      <c r="E124" s="218">
        <v>29830</v>
      </c>
    </row>
    <row r="125" spans="1:8" ht="24" customHeight="1" x14ac:dyDescent="0.2">
      <c r="A125" s="85">
        <v>2</v>
      </c>
      <c r="B125" s="75" t="s">
        <v>381</v>
      </c>
      <c r="C125" s="218">
        <v>7565</v>
      </c>
      <c r="D125" s="218">
        <v>7448</v>
      </c>
      <c r="E125" s="218">
        <v>7349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3.8840713813615335</v>
      </c>
      <c r="D126" s="219">
        <f>IF(D125=0,0,D124/D125)</f>
        <v>3.9889903329752956</v>
      </c>
      <c r="E126" s="219">
        <f>IF(E125=0,0,E124/E125)</f>
        <v>4.0590556538304527</v>
      </c>
    </row>
    <row r="127" spans="1:8" ht="24" customHeight="1" x14ac:dyDescent="0.2">
      <c r="A127" s="85">
        <v>4</v>
      </c>
      <c r="B127" s="75" t="s">
        <v>383</v>
      </c>
      <c r="C127" s="218">
        <v>132</v>
      </c>
      <c r="D127" s="218">
        <v>115</v>
      </c>
      <c r="E127" s="218">
        <v>115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154</v>
      </c>
      <c r="E128" s="218">
        <v>154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154</v>
      </c>
      <c r="D129" s="218">
        <v>154</v>
      </c>
      <c r="E129" s="218">
        <v>154</v>
      </c>
    </row>
    <row r="130" spans="1:7" ht="24" customHeight="1" x14ac:dyDescent="0.2">
      <c r="A130" s="85">
        <v>7</v>
      </c>
      <c r="B130" s="75" t="s">
        <v>386</v>
      </c>
      <c r="C130" s="193">
        <v>0.60980000000000001</v>
      </c>
      <c r="D130" s="193">
        <v>0.70779999999999998</v>
      </c>
      <c r="E130" s="193">
        <v>0.71060000000000001</v>
      </c>
    </row>
    <row r="131" spans="1:7" ht="24" customHeight="1" x14ac:dyDescent="0.2">
      <c r="A131" s="85">
        <v>8</v>
      </c>
      <c r="B131" s="75" t="s">
        <v>387</v>
      </c>
      <c r="C131" s="193">
        <v>0.52270000000000005</v>
      </c>
      <c r="D131" s="193">
        <v>0.52849999999999997</v>
      </c>
      <c r="E131" s="193">
        <v>0.53059999999999996</v>
      </c>
    </row>
    <row r="132" spans="1:7" ht="24" customHeight="1" x14ac:dyDescent="0.2">
      <c r="A132" s="85">
        <v>9</v>
      </c>
      <c r="B132" s="75" t="s">
        <v>388</v>
      </c>
      <c r="C132" s="219">
        <v>863.7</v>
      </c>
      <c r="D132" s="219">
        <v>855</v>
      </c>
      <c r="E132" s="219">
        <v>895.9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0.34899675132775054</v>
      </c>
      <c r="D135" s="227">
        <f>IF(D149=0,0,D143/D149)</f>
        <v>0.32849865788799121</v>
      </c>
      <c r="E135" s="227">
        <f>IF(E149=0,0,E143/E149)</f>
        <v>0.32422771590885563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0.44378346681698722</v>
      </c>
      <c r="D136" s="227">
        <f>IF(D149=0,0,D144/D149)</f>
        <v>0.4576977314121336</v>
      </c>
      <c r="E136" s="227">
        <f>IF(E149=0,0,E144/E149)</f>
        <v>0.45770665303400165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0.18606470532759523</v>
      </c>
      <c r="D137" s="227">
        <f>IF(D149=0,0,D145/D149)</f>
        <v>0.19140907095426127</v>
      </c>
      <c r="E137" s="227">
        <f>IF(E149=0,0,E145/E149)</f>
        <v>0.19853254659651587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1.9064670384490372E-2</v>
      </c>
      <c r="D139" s="227">
        <f>IF(D149=0,0,D147/D149)</f>
        <v>2.0321964494117044E-2</v>
      </c>
      <c r="E139" s="227">
        <f>IF(E149=0,0,E147/E149)</f>
        <v>1.6136742147576173E-2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2.090406143176632E-3</v>
      </c>
      <c r="D140" s="227">
        <f>IF(D149=0,0,D148/D149)</f>
        <v>2.0725752514968773E-3</v>
      </c>
      <c r="E140" s="227">
        <f>IF(E149=0,0,E148/E149)</f>
        <v>3.3963423130506844E-3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134682399</v>
      </c>
      <c r="D143" s="229">
        <f>+D46-D147</f>
        <v>140500392</v>
      </c>
      <c r="E143" s="229">
        <f>+E46-E147</f>
        <v>146905029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171261829</v>
      </c>
      <c r="D144" s="229">
        <f>+D51</f>
        <v>195759432</v>
      </c>
      <c r="E144" s="229">
        <f>+E51</f>
        <v>207383286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71804797</v>
      </c>
      <c r="D145" s="229">
        <f>+D55</f>
        <v>81866543</v>
      </c>
      <c r="E145" s="229">
        <f>+E55</f>
        <v>89953536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7357305</v>
      </c>
      <c r="D147" s="229">
        <f>+D47</f>
        <v>8691798</v>
      </c>
      <c r="E147" s="229">
        <f>+E47</f>
        <v>7311431</v>
      </c>
    </row>
    <row r="148" spans="1:7" ht="20.100000000000001" customHeight="1" x14ac:dyDescent="0.2">
      <c r="A148" s="226">
        <v>13</v>
      </c>
      <c r="B148" s="224" t="s">
        <v>402</v>
      </c>
      <c r="C148" s="230">
        <v>806715</v>
      </c>
      <c r="D148" s="229">
        <v>886450</v>
      </c>
      <c r="E148" s="229">
        <v>1538856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385913045</v>
      </c>
      <c r="D149" s="229">
        <f>SUM(D143:D148)</f>
        <v>427704615</v>
      </c>
      <c r="E149" s="229">
        <f>SUM(E143:E148)</f>
        <v>453092138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0.46812531819972419</v>
      </c>
      <c r="D152" s="227">
        <f>IF(D166=0,0,D160/D166)</f>
        <v>0.47521480572985092</v>
      </c>
      <c r="E152" s="227">
        <f>IF(E166=0,0,E160/E166)</f>
        <v>0.47044803109769728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0.39811583945662804</v>
      </c>
      <c r="D153" s="227">
        <f>IF(D166=0,0,D161/D166)</f>
        <v>0.37934663536367175</v>
      </c>
      <c r="E153" s="227">
        <f>IF(E166=0,0,E161/E166)</f>
        <v>0.38201919100476717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0.13159138388287511</v>
      </c>
      <c r="D154" s="227">
        <f>IF(D166=0,0,D162/D166)</f>
        <v>0.14257065691776261</v>
      </c>
      <c r="E154" s="227">
        <f>IF(E166=0,0,E162/E166)</f>
        <v>0.1449458924102576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4.0128808932329304E-4</v>
      </c>
      <c r="D156" s="227">
        <f>IF(D166=0,0,D164/D166)</f>
        <v>6.7779487439278844E-4</v>
      </c>
      <c r="E156" s="227">
        <f>IF(E166=0,0,E164/E166)</f>
        <v>4.9951860318656668E-4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1.7661703714493982E-3</v>
      </c>
      <c r="D157" s="227">
        <f>IF(D166=0,0,D165/D166)</f>
        <v>2.1901071143219249E-3</v>
      </c>
      <c r="E157" s="227">
        <f>IF(E166=0,0,E165/E166)</f>
        <v>2.0873668840913706E-3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58099191</v>
      </c>
      <c r="D160" s="229">
        <f>+D44-D164</f>
        <v>59998251</v>
      </c>
      <c r="E160" s="229">
        <f>+E44-E164</f>
        <v>63966306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49410291</v>
      </c>
      <c r="D161" s="229">
        <f>+D50</f>
        <v>47894414</v>
      </c>
      <c r="E161" s="229">
        <f>+E50</f>
        <v>51942733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16331851</v>
      </c>
      <c r="D162" s="229">
        <f>+D54</f>
        <v>18000260</v>
      </c>
      <c r="E162" s="229">
        <f>+E54</f>
        <v>19708135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49804</v>
      </c>
      <c r="D164" s="229">
        <f>+D45</f>
        <v>85575</v>
      </c>
      <c r="E164" s="229">
        <f>+E45</f>
        <v>67919</v>
      </c>
    </row>
    <row r="165" spans="1:6" ht="20.100000000000001" customHeight="1" x14ac:dyDescent="0.2">
      <c r="A165" s="226">
        <v>13</v>
      </c>
      <c r="B165" s="224" t="s">
        <v>417</v>
      </c>
      <c r="C165" s="230">
        <v>219200</v>
      </c>
      <c r="D165" s="229">
        <v>276512</v>
      </c>
      <c r="E165" s="229">
        <v>283817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124110337</v>
      </c>
      <c r="D166" s="229">
        <f>SUM(D160:D165)</f>
        <v>126255012</v>
      </c>
      <c r="E166" s="229">
        <f>SUM(E160:E165)</f>
        <v>135968910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2350</v>
      </c>
      <c r="D169" s="218">
        <v>2202</v>
      </c>
      <c r="E169" s="218">
        <v>2116</v>
      </c>
    </row>
    <row r="170" spans="1:6" ht="20.100000000000001" customHeight="1" x14ac:dyDescent="0.2">
      <c r="A170" s="226">
        <v>2</v>
      </c>
      <c r="B170" s="224" t="s">
        <v>420</v>
      </c>
      <c r="C170" s="218">
        <v>3565</v>
      </c>
      <c r="D170" s="218">
        <v>3584</v>
      </c>
      <c r="E170" s="218">
        <v>3410</v>
      </c>
    </row>
    <row r="171" spans="1:6" ht="20.100000000000001" customHeight="1" x14ac:dyDescent="0.2">
      <c r="A171" s="226">
        <v>3</v>
      </c>
      <c r="B171" s="224" t="s">
        <v>421</v>
      </c>
      <c r="C171" s="218">
        <v>1625</v>
      </c>
      <c r="D171" s="218">
        <v>1646</v>
      </c>
      <c r="E171" s="218">
        <v>1797</v>
      </c>
    </row>
    <row r="172" spans="1:6" ht="20.100000000000001" customHeight="1" x14ac:dyDescent="0.2">
      <c r="A172" s="226">
        <v>4</v>
      </c>
      <c r="B172" s="224" t="s">
        <v>422</v>
      </c>
      <c r="C172" s="218">
        <v>1625</v>
      </c>
      <c r="D172" s="218">
        <v>1646</v>
      </c>
      <c r="E172" s="218">
        <v>1797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25</v>
      </c>
      <c r="D174" s="218">
        <v>16</v>
      </c>
      <c r="E174" s="218">
        <v>26</v>
      </c>
    </row>
    <row r="175" spans="1:6" ht="20.100000000000001" customHeight="1" x14ac:dyDescent="0.2">
      <c r="A175" s="226">
        <v>7</v>
      </c>
      <c r="B175" s="224" t="s">
        <v>425</v>
      </c>
      <c r="C175" s="218">
        <v>119</v>
      </c>
      <c r="D175" s="218">
        <v>132</v>
      </c>
      <c r="E175" s="218">
        <v>113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7565</v>
      </c>
      <c r="D176" s="218">
        <f>+D169+D170+D171+D174</f>
        <v>7448</v>
      </c>
      <c r="E176" s="218">
        <f>+E169+E170+E171+E174</f>
        <v>7349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0.96519999999999995</v>
      </c>
      <c r="D179" s="231">
        <v>1.024</v>
      </c>
      <c r="E179" s="231">
        <v>1.0463</v>
      </c>
    </row>
    <row r="180" spans="1:6" ht="20.100000000000001" customHeight="1" x14ac:dyDescent="0.2">
      <c r="A180" s="226">
        <v>2</v>
      </c>
      <c r="B180" s="224" t="s">
        <v>420</v>
      </c>
      <c r="C180" s="231">
        <v>1.2996000000000001</v>
      </c>
      <c r="D180" s="231">
        <v>1.2511000000000001</v>
      </c>
      <c r="E180" s="231">
        <v>1.3064</v>
      </c>
    </row>
    <row r="181" spans="1:6" ht="20.100000000000001" customHeight="1" x14ac:dyDescent="0.2">
      <c r="A181" s="226">
        <v>3</v>
      </c>
      <c r="B181" s="224" t="s">
        <v>421</v>
      </c>
      <c r="C181" s="231">
        <v>0.9425</v>
      </c>
      <c r="D181" s="231">
        <v>0.94910000000000005</v>
      </c>
      <c r="E181" s="231">
        <v>0.94320000000000004</v>
      </c>
    </row>
    <row r="182" spans="1:6" ht="20.100000000000001" customHeight="1" x14ac:dyDescent="0.2">
      <c r="A182" s="226">
        <v>4</v>
      </c>
      <c r="B182" s="224" t="s">
        <v>422</v>
      </c>
      <c r="C182" s="231">
        <v>0.9425</v>
      </c>
      <c r="D182" s="231">
        <v>0.94910000000000005</v>
      </c>
      <c r="E182" s="231">
        <v>0.94320000000000004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0.73570000000000002</v>
      </c>
      <c r="D184" s="231">
        <v>0.74550000000000005</v>
      </c>
      <c r="E184" s="231">
        <v>1.0066999999999999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0.94</v>
      </c>
      <c r="D185" s="231">
        <v>1.0887</v>
      </c>
      <c r="E185" s="231">
        <v>1.1759999999999999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1.117151</v>
      </c>
      <c r="D186" s="231">
        <v>1.1161300000000001</v>
      </c>
      <c r="E186" s="231">
        <v>1.1416379999999999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5787</v>
      </c>
      <c r="D189" s="218">
        <v>5771</v>
      </c>
      <c r="E189" s="218">
        <v>5323</v>
      </c>
    </row>
    <row r="190" spans="1:6" ht="20.100000000000001" customHeight="1" x14ac:dyDescent="0.2">
      <c r="A190" s="226">
        <v>2</v>
      </c>
      <c r="B190" s="224" t="s">
        <v>433</v>
      </c>
      <c r="C190" s="218">
        <v>32242</v>
      </c>
      <c r="D190" s="218">
        <v>32582</v>
      </c>
      <c r="E190" s="218">
        <v>33489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38029</v>
      </c>
      <c r="D191" s="218">
        <f>+D190+D189</f>
        <v>38353</v>
      </c>
      <c r="E191" s="218">
        <f>+E190+E189</f>
        <v>38812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FILING&amp;RBRISTOL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852621</v>
      </c>
      <c r="D14" s="258">
        <v>686307</v>
      </c>
      <c r="E14" s="258">
        <f t="shared" ref="E14:E24" si="0">D14-C14</f>
        <v>-166314</v>
      </c>
      <c r="F14" s="259">
        <f t="shared" ref="F14:F24" si="1">IF(C14=0,0,E14/C14)</f>
        <v>-0.19506204984395176</v>
      </c>
    </row>
    <row r="15" spans="1:7" ht="20.25" customHeight="1" x14ac:dyDescent="0.3">
      <c r="A15" s="256">
        <v>2</v>
      </c>
      <c r="B15" s="257" t="s">
        <v>442</v>
      </c>
      <c r="C15" s="258">
        <v>273691</v>
      </c>
      <c r="D15" s="258">
        <v>240373</v>
      </c>
      <c r="E15" s="258">
        <f t="shared" si="0"/>
        <v>-33318</v>
      </c>
      <c r="F15" s="259">
        <f t="shared" si="1"/>
        <v>-0.12173582616892774</v>
      </c>
    </row>
    <row r="16" spans="1:7" ht="20.25" customHeight="1" x14ac:dyDescent="0.3">
      <c r="A16" s="256">
        <v>3</v>
      </c>
      <c r="B16" s="257" t="s">
        <v>443</v>
      </c>
      <c r="C16" s="258">
        <v>859784</v>
      </c>
      <c r="D16" s="258">
        <v>1112793</v>
      </c>
      <c r="E16" s="258">
        <f t="shared" si="0"/>
        <v>253009</v>
      </c>
      <c r="F16" s="259">
        <f t="shared" si="1"/>
        <v>0.29427042140816762</v>
      </c>
    </row>
    <row r="17" spans="1:6" ht="20.25" customHeight="1" x14ac:dyDescent="0.3">
      <c r="A17" s="256">
        <v>4</v>
      </c>
      <c r="B17" s="257" t="s">
        <v>444</v>
      </c>
      <c r="C17" s="258">
        <v>215989</v>
      </c>
      <c r="D17" s="258">
        <v>186131</v>
      </c>
      <c r="E17" s="258">
        <f t="shared" si="0"/>
        <v>-29858</v>
      </c>
      <c r="F17" s="259">
        <f t="shared" si="1"/>
        <v>-0.13823852140618273</v>
      </c>
    </row>
    <row r="18" spans="1:6" ht="20.25" customHeight="1" x14ac:dyDescent="0.3">
      <c r="A18" s="256">
        <v>5</v>
      </c>
      <c r="B18" s="257" t="s">
        <v>381</v>
      </c>
      <c r="C18" s="260">
        <v>38</v>
      </c>
      <c r="D18" s="260">
        <v>25</v>
      </c>
      <c r="E18" s="260">
        <f t="shared" si="0"/>
        <v>-13</v>
      </c>
      <c r="F18" s="259">
        <f t="shared" si="1"/>
        <v>-0.34210526315789475</v>
      </c>
    </row>
    <row r="19" spans="1:6" ht="20.25" customHeight="1" x14ac:dyDescent="0.3">
      <c r="A19" s="256">
        <v>6</v>
      </c>
      <c r="B19" s="257" t="s">
        <v>380</v>
      </c>
      <c r="C19" s="260">
        <v>171</v>
      </c>
      <c r="D19" s="260">
        <v>153</v>
      </c>
      <c r="E19" s="260">
        <f t="shared" si="0"/>
        <v>-18</v>
      </c>
      <c r="F19" s="259">
        <f t="shared" si="1"/>
        <v>-0.10526315789473684</v>
      </c>
    </row>
    <row r="20" spans="1:6" ht="20.25" customHeight="1" x14ac:dyDescent="0.3">
      <c r="A20" s="256">
        <v>7</v>
      </c>
      <c r="B20" s="257" t="s">
        <v>445</v>
      </c>
      <c r="C20" s="260">
        <v>649</v>
      </c>
      <c r="D20" s="260">
        <v>442</v>
      </c>
      <c r="E20" s="260">
        <f t="shared" si="0"/>
        <v>-207</v>
      </c>
      <c r="F20" s="259">
        <f t="shared" si="1"/>
        <v>-0.31895223420647151</v>
      </c>
    </row>
    <row r="21" spans="1:6" ht="20.25" customHeight="1" x14ac:dyDescent="0.3">
      <c r="A21" s="256">
        <v>8</v>
      </c>
      <c r="B21" s="257" t="s">
        <v>446</v>
      </c>
      <c r="C21" s="260">
        <v>65</v>
      </c>
      <c r="D21" s="260">
        <v>70</v>
      </c>
      <c r="E21" s="260">
        <f t="shared" si="0"/>
        <v>5</v>
      </c>
      <c r="F21" s="259">
        <f t="shared" si="1"/>
        <v>7.6923076923076927E-2</v>
      </c>
    </row>
    <row r="22" spans="1:6" ht="20.25" customHeight="1" x14ac:dyDescent="0.3">
      <c r="A22" s="256">
        <v>9</v>
      </c>
      <c r="B22" s="257" t="s">
        <v>447</v>
      </c>
      <c r="C22" s="260">
        <v>36</v>
      </c>
      <c r="D22" s="260">
        <v>20</v>
      </c>
      <c r="E22" s="260">
        <f t="shared" si="0"/>
        <v>-16</v>
      </c>
      <c r="F22" s="259">
        <f t="shared" si="1"/>
        <v>-0.44444444444444442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1712405</v>
      </c>
      <c r="D23" s="263">
        <f>+D14+D16</f>
        <v>1799100</v>
      </c>
      <c r="E23" s="263">
        <f t="shared" si="0"/>
        <v>86695</v>
      </c>
      <c r="F23" s="264">
        <f t="shared" si="1"/>
        <v>5.0627626058087891E-2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489680</v>
      </c>
      <c r="D24" s="263">
        <f>+D15+D17</f>
        <v>426504</v>
      </c>
      <c r="E24" s="263">
        <f t="shared" si="0"/>
        <v>-63176</v>
      </c>
      <c r="F24" s="264">
        <f t="shared" si="1"/>
        <v>-0.12901486685182159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5474841</v>
      </c>
      <c r="D40" s="258">
        <v>6775078</v>
      </c>
      <c r="E40" s="258">
        <f t="shared" ref="E40:E50" si="4">D40-C40</f>
        <v>1300237</v>
      </c>
      <c r="F40" s="259">
        <f t="shared" ref="F40:F50" si="5">IF(C40=0,0,E40/C40)</f>
        <v>0.23749310710575888</v>
      </c>
    </row>
    <row r="41" spans="1:6" ht="20.25" customHeight="1" x14ac:dyDescent="0.3">
      <c r="A41" s="256">
        <v>2</v>
      </c>
      <c r="B41" s="257" t="s">
        <v>442</v>
      </c>
      <c r="C41" s="258">
        <v>2021995</v>
      </c>
      <c r="D41" s="258">
        <v>2311719</v>
      </c>
      <c r="E41" s="258">
        <f t="shared" si="4"/>
        <v>289724</v>
      </c>
      <c r="F41" s="259">
        <f t="shared" si="5"/>
        <v>0.14328620990655269</v>
      </c>
    </row>
    <row r="42" spans="1:6" ht="20.25" customHeight="1" x14ac:dyDescent="0.3">
      <c r="A42" s="256">
        <v>3</v>
      </c>
      <c r="B42" s="257" t="s">
        <v>443</v>
      </c>
      <c r="C42" s="258">
        <v>9355259</v>
      </c>
      <c r="D42" s="258">
        <v>8361373</v>
      </c>
      <c r="E42" s="258">
        <f t="shared" si="4"/>
        <v>-993886</v>
      </c>
      <c r="F42" s="259">
        <f t="shared" si="5"/>
        <v>-0.10623821318041542</v>
      </c>
    </row>
    <row r="43" spans="1:6" ht="20.25" customHeight="1" x14ac:dyDescent="0.3">
      <c r="A43" s="256">
        <v>4</v>
      </c>
      <c r="B43" s="257" t="s">
        <v>444</v>
      </c>
      <c r="C43" s="258">
        <v>1590401</v>
      </c>
      <c r="D43" s="258">
        <v>1505277</v>
      </c>
      <c r="E43" s="258">
        <f t="shared" si="4"/>
        <v>-85124</v>
      </c>
      <c r="F43" s="259">
        <f t="shared" si="5"/>
        <v>-5.3523608196926434E-2</v>
      </c>
    </row>
    <row r="44" spans="1:6" ht="20.25" customHeight="1" x14ac:dyDescent="0.3">
      <c r="A44" s="256">
        <v>5</v>
      </c>
      <c r="B44" s="257" t="s">
        <v>381</v>
      </c>
      <c r="C44" s="260">
        <v>221</v>
      </c>
      <c r="D44" s="260">
        <v>237</v>
      </c>
      <c r="E44" s="260">
        <f t="shared" si="4"/>
        <v>16</v>
      </c>
      <c r="F44" s="259">
        <f t="shared" si="5"/>
        <v>7.2398190045248875E-2</v>
      </c>
    </row>
    <row r="45" spans="1:6" ht="20.25" customHeight="1" x14ac:dyDescent="0.3">
      <c r="A45" s="256">
        <v>6</v>
      </c>
      <c r="B45" s="257" t="s">
        <v>380</v>
      </c>
      <c r="C45" s="260">
        <v>953</v>
      </c>
      <c r="D45" s="260">
        <v>1143</v>
      </c>
      <c r="E45" s="260">
        <f t="shared" si="4"/>
        <v>190</v>
      </c>
      <c r="F45" s="259">
        <f t="shared" si="5"/>
        <v>0.1993704092339979</v>
      </c>
    </row>
    <row r="46" spans="1:6" ht="20.25" customHeight="1" x14ac:dyDescent="0.3">
      <c r="A46" s="256">
        <v>7</v>
      </c>
      <c r="B46" s="257" t="s">
        <v>445</v>
      </c>
      <c r="C46" s="260">
        <v>4254</v>
      </c>
      <c r="D46" s="260">
        <v>4555</v>
      </c>
      <c r="E46" s="260">
        <f t="shared" si="4"/>
        <v>301</v>
      </c>
      <c r="F46" s="259">
        <f t="shared" si="5"/>
        <v>7.0756934649741421E-2</v>
      </c>
    </row>
    <row r="47" spans="1:6" ht="20.25" customHeight="1" x14ac:dyDescent="0.3">
      <c r="A47" s="256">
        <v>8</v>
      </c>
      <c r="B47" s="257" t="s">
        <v>446</v>
      </c>
      <c r="C47" s="260">
        <v>395</v>
      </c>
      <c r="D47" s="260">
        <v>429</v>
      </c>
      <c r="E47" s="260">
        <f t="shared" si="4"/>
        <v>34</v>
      </c>
      <c r="F47" s="259">
        <f t="shared" si="5"/>
        <v>8.6075949367088608E-2</v>
      </c>
    </row>
    <row r="48" spans="1:6" ht="20.25" customHeight="1" x14ac:dyDescent="0.3">
      <c r="A48" s="256">
        <v>9</v>
      </c>
      <c r="B48" s="257" t="s">
        <v>447</v>
      </c>
      <c r="C48" s="260">
        <v>193</v>
      </c>
      <c r="D48" s="260">
        <v>201</v>
      </c>
      <c r="E48" s="260">
        <f t="shared" si="4"/>
        <v>8</v>
      </c>
      <c r="F48" s="259">
        <f t="shared" si="5"/>
        <v>4.145077720207254E-2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14830100</v>
      </c>
      <c r="D49" s="263">
        <f>+D40+D42</f>
        <v>15136451</v>
      </c>
      <c r="E49" s="263">
        <f t="shared" si="4"/>
        <v>306351</v>
      </c>
      <c r="F49" s="264">
        <f t="shared" si="5"/>
        <v>2.0657379248959884E-2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3612396</v>
      </c>
      <c r="D50" s="263">
        <f>+D41+D43</f>
        <v>3816996</v>
      </c>
      <c r="E50" s="263">
        <f t="shared" si="4"/>
        <v>204600</v>
      </c>
      <c r="F50" s="264">
        <f t="shared" si="5"/>
        <v>5.6638308756847257E-2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97778</v>
      </c>
      <c r="D66" s="258">
        <v>102265</v>
      </c>
      <c r="E66" s="258">
        <f t="shared" ref="E66:E76" si="8">D66-C66</f>
        <v>4487</v>
      </c>
      <c r="F66" s="259">
        <f t="shared" ref="F66:F76" si="9">IF(C66=0,0,E66/C66)</f>
        <v>4.5889668432571744E-2</v>
      </c>
    </row>
    <row r="67" spans="1:6" ht="20.25" customHeight="1" x14ac:dyDescent="0.3">
      <c r="A67" s="256">
        <v>2</v>
      </c>
      <c r="B67" s="257" t="s">
        <v>442</v>
      </c>
      <c r="C67" s="258">
        <v>29538</v>
      </c>
      <c r="D67" s="258">
        <v>33772</v>
      </c>
      <c r="E67" s="258">
        <f t="shared" si="8"/>
        <v>4234</v>
      </c>
      <c r="F67" s="259">
        <f t="shared" si="9"/>
        <v>0.14334078136637551</v>
      </c>
    </row>
    <row r="68" spans="1:6" ht="20.25" customHeight="1" x14ac:dyDescent="0.3">
      <c r="A68" s="256">
        <v>3</v>
      </c>
      <c r="B68" s="257" t="s">
        <v>443</v>
      </c>
      <c r="C68" s="258">
        <v>157258</v>
      </c>
      <c r="D68" s="258">
        <v>113160</v>
      </c>
      <c r="E68" s="258">
        <f t="shared" si="8"/>
        <v>-44098</v>
      </c>
      <c r="F68" s="259">
        <f t="shared" si="9"/>
        <v>-0.28041816632540156</v>
      </c>
    </row>
    <row r="69" spans="1:6" ht="20.25" customHeight="1" x14ac:dyDescent="0.3">
      <c r="A69" s="256">
        <v>4</v>
      </c>
      <c r="B69" s="257" t="s">
        <v>444</v>
      </c>
      <c r="C69" s="258">
        <v>16591</v>
      </c>
      <c r="D69" s="258">
        <v>21243</v>
      </c>
      <c r="E69" s="258">
        <f t="shared" si="8"/>
        <v>4652</v>
      </c>
      <c r="F69" s="259">
        <f t="shared" si="9"/>
        <v>0.28039298414803204</v>
      </c>
    </row>
    <row r="70" spans="1:6" ht="20.25" customHeight="1" x14ac:dyDescent="0.3">
      <c r="A70" s="256">
        <v>5</v>
      </c>
      <c r="B70" s="257" t="s">
        <v>381</v>
      </c>
      <c r="C70" s="260">
        <v>5</v>
      </c>
      <c r="D70" s="260">
        <v>4</v>
      </c>
      <c r="E70" s="260">
        <f t="shared" si="8"/>
        <v>-1</v>
      </c>
      <c r="F70" s="259">
        <f t="shared" si="9"/>
        <v>-0.2</v>
      </c>
    </row>
    <row r="71" spans="1:6" ht="20.25" customHeight="1" x14ac:dyDescent="0.3">
      <c r="A71" s="256">
        <v>6</v>
      </c>
      <c r="B71" s="257" t="s">
        <v>380</v>
      </c>
      <c r="C71" s="260">
        <v>14</v>
      </c>
      <c r="D71" s="260">
        <v>11</v>
      </c>
      <c r="E71" s="260">
        <f t="shared" si="8"/>
        <v>-3</v>
      </c>
      <c r="F71" s="259">
        <f t="shared" si="9"/>
        <v>-0.21428571428571427</v>
      </c>
    </row>
    <row r="72" spans="1:6" ht="20.25" customHeight="1" x14ac:dyDescent="0.3">
      <c r="A72" s="256">
        <v>7</v>
      </c>
      <c r="B72" s="257" t="s">
        <v>445</v>
      </c>
      <c r="C72" s="260">
        <v>25</v>
      </c>
      <c r="D72" s="260">
        <v>33</v>
      </c>
      <c r="E72" s="260">
        <f t="shared" si="8"/>
        <v>8</v>
      </c>
      <c r="F72" s="259">
        <f t="shared" si="9"/>
        <v>0.32</v>
      </c>
    </row>
    <row r="73" spans="1:6" ht="20.25" customHeight="1" x14ac:dyDescent="0.3">
      <c r="A73" s="256">
        <v>8</v>
      </c>
      <c r="B73" s="257" t="s">
        <v>446</v>
      </c>
      <c r="C73" s="260">
        <v>19</v>
      </c>
      <c r="D73" s="260">
        <v>25</v>
      </c>
      <c r="E73" s="260">
        <f t="shared" si="8"/>
        <v>6</v>
      </c>
      <c r="F73" s="259">
        <f t="shared" si="9"/>
        <v>0.31578947368421051</v>
      </c>
    </row>
    <row r="74" spans="1:6" ht="20.25" customHeight="1" x14ac:dyDescent="0.3">
      <c r="A74" s="256">
        <v>9</v>
      </c>
      <c r="B74" s="257" t="s">
        <v>447</v>
      </c>
      <c r="C74" s="260">
        <v>5</v>
      </c>
      <c r="D74" s="260">
        <v>3</v>
      </c>
      <c r="E74" s="260">
        <f t="shared" si="8"/>
        <v>-2</v>
      </c>
      <c r="F74" s="259">
        <f t="shared" si="9"/>
        <v>-0.4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255036</v>
      </c>
      <c r="D75" s="263">
        <f>+D66+D68</f>
        <v>215425</v>
      </c>
      <c r="E75" s="263">
        <f t="shared" si="8"/>
        <v>-39611</v>
      </c>
      <c r="F75" s="264">
        <f t="shared" si="9"/>
        <v>-0.15531532803212095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46129</v>
      </c>
      <c r="D76" s="263">
        <f>+D67+D69</f>
        <v>55015</v>
      </c>
      <c r="E76" s="263">
        <f t="shared" si="8"/>
        <v>8886</v>
      </c>
      <c r="F76" s="264">
        <f t="shared" si="9"/>
        <v>0.19263370114244835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10100189</v>
      </c>
      <c r="D92" s="258">
        <v>10244161</v>
      </c>
      <c r="E92" s="258">
        <f t="shared" ref="E92:E102" si="12">D92-C92</f>
        <v>143972</v>
      </c>
      <c r="F92" s="259">
        <f t="shared" ref="F92:F102" si="13">IF(C92=0,0,E92/C92)</f>
        <v>1.4254386724842475E-2</v>
      </c>
    </row>
    <row r="93" spans="1:6" ht="20.25" customHeight="1" x14ac:dyDescent="0.3">
      <c r="A93" s="256">
        <v>2</v>
      </c>
      <c r="B93" s="257" t="s">
        <v>442</v>
      </c>
      <c r="C93" s="258">
        <v>3471836</v>
      </c>
      <c r="D93" s="258">
        <v>3409262</v>
      </c>
      <c r="E93" s="258">
        <f t="shared" si="12"/>
        <v>-62574</v>
      </c>
      <c r="F93" s="259">
        <f t="shared" si="13"/>
        <v>-1.8023316769570911E-2</v>
      </c>
    </row>
    <row r="94" spans="1:6" ht="20.25" customHeight="1" x14ac:dyDescent="0.3">
      <c r="A94" s="256">
        <v>3</v>
      </c>
      <c r="B94" s="257" t="s">
        <v>443</v>
      </c>
      <c r="C94" s="258">
        <v>12848491</v>
      </c>
      <c r="D94" s="258">
        <v>13513464</v>
      </c>
      <c r="E94" s="258">
        <f t="shared" si="12"/>
        <v>664973</v>
      </c>
      <c r="F94" s="259">
        <f t="shared" si="13"/>
        <v>5.1754949277701169E-2</v>
      </c>
    </row>
    <row r="95" spans="1:6" ht="20.25" customHeight="1" x14ac:dyDescent="0.3">
      <c r="A95" s="256">
        <v>4</v>
      </c>
      <c r="B95" s="257" t="s">
        <v>444</v>
      </c>
      <c r="C95" s="258">
        <v>2361637</v>
      </c>
      <c r="D95" s="258">
        <v>2227767</v>
      </c>
      <c r="E95" s="258">
        <f t="shared" si="12"/>
        <v>-133870</v>
      </c>
      <c r="F95" s="259">
        <f t="shared" si="13"/>
        <v>-5.6685256879020783E-2</v>
      </c>
    </row>
    <row r="96" spans="1:6" ht="20.25" customHeight="1" x14ac:dyDescent="0.3">
      <c r="A96" s="256">
        <v>5</v>
      </c>
      <c r="B96" s="257" t="s">
        <v>381</v>
      </c>
      <c r="C96" s="260">
        <v>410</v>
      </c>
      <c r="D96" s="260">
        <v>376</v>
      </c>
      <c r="E96" s="260">
        <f t="shared" si="12"/>
        <v>-34</v>
      </c>
      <c r="F96" s="259">
        <f t="shared" si="13"/>
        <v>-8.2926829268292687E-2</v>
      </c>
    </row>
    <row r="97" spans="1:6" ht="20.25" customHeight="1" x14ac:dyDescent="0.3">
      <c r="A97" s="256">
        <v>6</v>
      </c>
      <c r="B97" s="257" t="s">
        <v>380</v>
      </c>
      <c r="C97" s="260">
        <v>1857</v>
      </c>
      <c r="D97" s="260">
        <v>1786</v>
      </c>
      <c r="E97" s="260">
        <f t="shared" si="12"/>
        <v>-71</v>
      </c>
      <c r="F97" s="259">
        <f t="shared" si="13"/>
        <v>-3.8233710285406571E-2</v>
      </c>
    </row>
    <row r="98" spans="1:6" ht="20.25" customHeight="1" x14ac:dyDescent="0.3">
      <c r="A98" s="256">
        <v>7</v>
      </c>
      <c r="B98" s="257" t="s">
        <v>445</v>
      </c>
      <c r="C98" s="260">
        <v>7731</v>
      </c>
      <c r="D98" s="260">
        <v>6867</v>
      </c>
      <c r="E98" s="260">
        <f t="shared" si="12"/>
        <v>-864</v>
      </c>
      <c r="F98" s="259">
        <f t="shared" si="13"/>
        <v>-0.11175785797438882</v>
      </c>
    </row>
    <row r="99" spans="1:6" ht="20.25" customHeight="1" x14ac:dyDescent="0.3">
      <c r="A99" s="256">
        <v>8</v>
      </c>
      <c r="B99" s="257" t="s">
        <v>446</v>
      </c>
      <c r="C99" s="260">
        <v>693</v>
      </c>
      <c r="D99" s="260">
        <v>644</v>
      </c>
      <c r="E99" s="260">
        <f t="shared" si="12"/>
        <v>-49</v>
      </c>
      <c r="F99" s="259">
        <f t="shared" si="13"/>
        <v>-7.0707070707070704E-2</v>
      </c>
    </row>
    <row r="100" spans="1:6" ht="20.25" customHeight="1" x14ac:dyDescent="0.3">
      <c r="A100" s="256">
        <v>9</v>
      </c>
      <c r="B100" s="257" t="s">
        <v>447</v>
      </c>
      <c r="C100" s="260">
        <v>380</v>
      </c>
      <c r="D100" s="260">
        <v>340</v>
      </c>
      <c r="E100" s="260">
        <f t="shared" si="12"/>
        <v>-40</v>
      </c>
      <c r="F100" s="259">
        <f t="shared" si="13"/>
        <v>-0.10526315789473684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22948680</v>
      </c>
      <c r="D101" s="263">
        <f>+D92+D94</f>
        <v>23757625</v>
      </c>
      <c r="E101" s="263">
        <f t="shared" si="12"/>
        <v>808945</v>
      </c>
      <c r="F101" s="264">
        <f t="shared" si="13"/>
        <v>3.525017560922894E-2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5833473</v>
      </c>
      <c r="D102" s="263">
        <f>+D93+D95</f>
        <v>5637029</v>
      </c>
      <c r="E102" s="263">
        <f t="shared" si="12"/>
        <v>-196444</v>
      </c>
      <c r="F102" s="264">
        <f t="shared" si="13"/>
        <v>-3.367530800262554E-2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906040</v>
      </c>
      <c r="D105" s="258">
        <v>796371</v>
      </c>
      <c r="E105" s="258">
        <f t="shared" ref="E105:E115" si="14">D105-C105</f>
        <v>-109669</v>
      </c>
      <c r="F105" s="259">
        <f t="shared" ref="F105:F115" si="15">IF(C105=0,0,E105/C105)</f>
        <v>-0.12104211734581255</v>
      </c>
    </row>
    <row r="106" spans="1:6" ht="20.25" customHeight="1" x14ac:dyDescent="0.3">
      <c r="A106" s="256">
        <v>2</v>
      </c>
      <c r="B106" s="257" t="s">
        <v>442</v>
      </c>
      <c r="C106" s="258">
        <v>323612</v>
      </c>
      <c r="D106" s="258">
        <v>241336</v>
      </c>
      <c r="E106" s="258">
        <f t="shared" si="14"/>
        <v>-82276</v>
      </c>
      <c r="F106" s="259">
        <f t="shared" si="15"/>
        <v>-0.25424273512725115</v>
      </c>
    </row>
    <row r="107" spans="1:6" ht="20.25" customHeight="1" x14ac:dyDescent="0.3">
      <c r="A107" s="256">
        <v>3</v>
      </c>
      <c r="B107" s="257" t="s">
        <v>443</v>
      </c>
      <c r="C107" s="258">
        <v>990015</v>
      </c>
      <c r="D107" s="258">
        <v>1513921</v>
      </c>
      <c r="E107" s="258">
        <f t="shared" si="14"/>
        <v>523906</v>
      </c>
      <c r="F107" s="259">
        <f t="shared" si="15"/>
        <v>0.52918996176825606</v>
      </c>
    </row>
    <row r="108" spans="1:6" ht="20.25" customHeight="1" x14ac:dyDescent="0.3">
      <c r="A108" s="256">
        <v>4</v>
      </c>
      <c r="B108" s="257" t="s">
        <v>444</v>
      </c>
      <c r="C108" s="258">
        <v>182993</v>
      </c>
      <c r="D108" s="258">
        <v>262434</v>
      </c>
      <c r="E108" s="258">
        <f t="shared" si="14"/>
        <v>79441</v>
      </c>
      <c r="F108" s="259">
        <f t="shared" si="15"/>
        <v>0.4341204308361522</v>
      </c>
    </row>
    <row r="109" spans="1:6" ht="20.25" customHeight="1" x14ac:dyDescent="0.3">
      <c r="A109" s="256">
        <v>5</v>
      </c>
      <c r="B109" s="257" t="s">
        <v>381</v>
      </c>
      <c r="C109" s="260">
        <v>38</v>
      </c>
      <c r="D109" s="260">
        <v>33</v>
      </c>
      <c r="E109" s="260">
        <f t="shared" si="14"/>
        <v>-5</v>
      </c>
      <c r="F109" s="259">
        <f t="shared" si="15"/>
        <v>-0.13157894736842105</v>
      </c>
    </row>
    <row r="110" spans="1:6" ht="20.25" customHeight="1" x14ac:dyDescent="0.3">
      <c r="A110" s="256">
        <v>6</v>
      </c>
      <c r="B110" s="257" t="s">
        <v>380</v>
      </c>
      <c r="C110" s="260">
        <v>198</v>
      </c>
      <c r="D110" s="260">
        <v>169</v>
      </c>
      <c r="E110" s="260">
        <f t="shared" si="14"/>
        <v>-29</v>
      </c>
      <c r="F110" s="259">
        <f t="shared" si="15"/>
        <v>-0.14646464646464646</v>
      </c>
    </row>
    <row r="111" spans="1:6" ht="20.25" customHeight="1" x14ac:dyDescent="0.3">
      <c r="A111" s="256">
        <v>7</v>
      </c>
      <c r="B111" s="257" t="s">
        <v>445</v>
      </c>
      <c r="C111" s="260">
        <v>692</v>
      </c>
      <c r="D111" s="260">
        <v>817</v>
      </c>
      <c r="E111" s="260">
        <f t="shared" si="14"/>
        <v>125</v>
      </c>
      <c r="F111" s="259">
        <f t="shared" si="15"/>
        <v>0.18063583815028902</v>
      </c>
    </row>
    <row r="112" spans="1:6" ht="20.25" customHeight="1" x14ac:dyDescent="0.3">
      <c r="A112" s="256">
        <v>8</v>
      </c>
      <c r="B112" s="257" t="s">
        <v>446</v>
      </c>
      <c r="C112" s="260">
        <v>138</v>
      </c>
      <c r="D112" s="260">
        <v>190</v>
      </c>
      <c r="E112" s="260">
        <f t="shared" si="14"/>
        <v>52</v>
      </c>
      <c r="F112" s="259">
        <f t="shared" si="15"/>
        <v>0.37681159420289856</v>
      </c>
    </row>
    <row r="113" spans="1:6" ht="20.25" customHeight="1" x14ac:dyDescent="0.3">
      <c r="A113" s="256">
        <v>9</v>
      </c>
      <c r="B113" s="257" t="s">
        <v>447</v>
      </c>
      <c r="C113" s="260">
        <v>37</v>
      </c>
      <c r="D113" s="260">
        <v>30</v>
      </c>
      <c r="E113" s="260">
        <f t="shared" si="14"/>
        <v>-7</v>
      </c>
      <c r="F113" s="259">
        <f t="shared" si="15"/>
        <v>-0.1891891891891892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1896055</v>
      </c>
      <c r="D114" s="263">
        <f>+D105+D107</f>
        <v>2310292</v>
      </c>
      <c r="E114" s="263">
        <f t="shared" si="14"/>
        <v>414237</v>
      </c>
      <c r="F114" s="264">
        <f t="shared" si="15"/>
        <v>0.21847309281640037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506605</v>
      </c>
      <c r="D115" s="263">
        <f>+D106+D108</f>
        <v>503770</v>
      </c>
      <c r="E115" s="263">
        <f t="shared" si="14"/>
        <v>-2835</v>
      </c>
      <c r="F115" s="264">
        <f t="shared" si="15"/>
        <v>-5.5960758381776729E-3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3205900</v>
      </c>
      <c r="D118" s="258">
        <v>3736257</v>
      </c>
      <c r="E118" s="258">
        <f t="shared" ref="E118:E128" si="16">D118-C118</f>
        <v>530357</v>
      </c>
      <c r="F118" s="259">
        <f t="shared" ref="F118:F128" si="17">IF(C118=0,0,E118/C118)</f>
        <v>0.16543154808322155</v>
      </c>
    </row>
    <row r="119" spans="1:6" ht="20.25" customHeight="1" x14ac:dyDescent="0.3">
      <c r="A119" s="256">
        <v>2</v>
      </c>
      <c r="B119" s="257" t="s">
        <v>442</v>
      </c>
      <c r="C119" s="258">
        <v>1038135</v>
      </c>
      <c r="D119" s="258">
        <v>1272459</v>
      </c>
      <c r="E119" s="258">
        <f t="shared" si="16"/>
        <v>234324</v>
      </c>
      <c r="F119" s="259">
        <f t="shared" si="17"/>
        <v>0.22571630857258448</v>
      </c>
    </row>
    <row r="120" spans="1:6" ht="20.25" customHeight="1" x14ac:dyDescent="0.3">
      <c r="A120" s="256">
        <v>3</v>
      </c>
      <c r="B120" s="257" t="s">
        <v>443</v>
      </c>
      <c r="C120" s="258">
        <v>3932596</v>
      </c>
      <c r="D120" s="258">
        <v>6193829</v>
      </c>
      <c r="E120" s="258">
        <f t="shared" si="16"/>
        <v>2261233</v>
      </c>
      <c r="F120" s="259">
        <f t="shared" si="17"/>
        <v>0.57499753343592885</v>
      </c>
    </row>
    <row r="121" spans="1:6" ht="20.25" customHeight="1" x14ac:dyDescent="0.3">
      <c r="A121" s="256">
        <v>4</v>
      </c>
      <c r="B121" s="257" t="s">
        <v>444</v>
      </c>
      <c r="C121" s="258">
        <v>731684</v>
      </c>
      <c r="D121" s="258">
        <v>1169334</v>
      </c>
      <c r="E121" s="258">
        <f t="shared" si="16"/>
        <v>437650</v>
      </c>
      <c r="F121" s="259">
        <f t="shared" si="17"/>
        <v>0.59814072741784707</v>
      </c>
    </row>
    <row r="122" spans="1:6" ht="20.25" customHeight="1" x14ac:dyDescent="0.3">
      <c r="A122" s="256">
        <v>5</v>
      </c>
      <c r="B122" s="257" t="s">
        <v>381</v>
      </c>
      <c r="C122" s="260">
        <v>114</v>
      </c>
      <c r="D122" s="260">
        <v>140</v>
      </c>
      <c r="E122" s="260">
        <f t="shared" si="16"/>
        <v>26</v>
      </c>
      <c r="F122" s="259">
        <f t="shared" si="17"/>
        <v>0.22807017543859648</v>
      </c>
    </row>
    <row r="123" spans="1:6" ht="20.25" customHeight="1" x14ac:dyDescent="0.3">
      <c r="A123" s="256">
        <v>6</v>
      </c>
      <c r="B123" s="257" t="s">
        <v>380</v>
      </c>
      <c r="C123" s="260">
        <v>485</v>
      </c>
      <c r="D123" s="260">
        <v>640</v>
      </c>
      <c r="E123" s="260">
        <f t="shared" si="16"/>
        <v>155</v>
      </c>
      <c r="F123" s="259">
        <f t="shared" si="17"/>
        <v>0.31958762886597936</v>
      </c>
    </row>
    <row r="124" spans="1:6" ht="20.25" customHeight="1" x14ac:dyDescent="0.3">
      <c r="A124" s="256">
        <v>7</v>
      </c>
      <c r="B124" s="257" t="s">
        <v>445</v>
      </c>
      <c r="C124" s="260">
        <v>1744</v>
      </c>
      <c r="D124" s="260">
        <v>2692</v>
      </c>
      <c r="E124" s="260">
        <f t="shared" si="16"/>
        <v>948</v>
      </c>
      <c r="F124" s="259">
        <f t="shared" si="17"/>
        <v>0.54357798165137616</v>
      </c>
    </row>
    <row r="125" spans="1:6" ht="20.25" customHeight="1" x14ac:dyDescent="0.3">
      <c r="A125" s="256">
        <v>8</v>
      </c>
      <c r="B125" s="257" t="s">
        <v>446</v>
      </c>
      <c r="C125" s="260">
        <v>216</v>
      </c>
      <c r="D125" s="260">
        <v>413</v>
      </c>
      <c r="E125" s="260">
        <f t="shared" si="16"/>
        <v>197</v>
      </c>
      <c r="F125" s="259">
        <f t="shared" si="17"/>
        <v>0.91203703703703709</v>
      </c>
    </row>
    <row r="126" spans="1:6" ht="20.25" customHeight="1" x14ac:dyDescent="0.3">
      <c r="A126" s="256">
        <v>9</v>
      </c>
      <c r="B126" s="257" t="s">
        <v>447</v>
      </c>
      <c r="C126" s="260">
        <v>101</v>
      </c>
      <c r="D126" s="260">
        <v>113</v>
      </c>
      <c r="E126" s="260">
        <f t="shared" si="16"/>
        <v>12</v>
      </c>
      <c r="F126" s="259">
        <f t="shared" si="17"/>
        <v>0.11881188118811881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7138496</v>
      </c>
      <c r="D127" s="263">
        <f>+D118+D120</f>
        <v>9930086</v>
      </c>
      <c r="E127" s="263">
        <f t="shared" si="16"/>
        <v>2791590</v>
      </c>
      <c r="F127" s="264">
        <f t="shared" si="17"/>
        <v>0.39106136642788619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1769819</v>
      </c>
      <c r="D128" s="263">
        <f>+D119+D121</f>
        <v>2441793</v>
      </c>
      <c r="E128" s="263">
        <f t="shared" si="16"/>
        <v>671974</v>
      </c>
      <c r="F128" s="264">
        <f t="shared" si="17"/>
        <v>0.3796851542445866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60386</v>
      </c>
      <c r="D131" s="258">
        <v>45560</v>
      </c>
      <c r="E131" s="258">
        <f t="shared" ref="E131:E141" si="18">D131-C131</f>
        <v>-14826</v>
      </c>
      <c r="F131" s="259">
        <f t="shared" ref="F131:F141" si="19">IF(C131=0,0,E131/C131)</f>
        <v>-0.24552048488060146</v>
      </c>
    </row>
    <row r="132" spans="1:6" ht="20.25" customHeight="1" x14ac:dyDescent="0.3">
      <c r="A132" s="256">
        <v>2</v>
      </c>
      <c r="B132" s="257" t="s">
        <v>442</v>
      </c>
      <c r="C132" s="258">
        <v>21269</v>
      </c>
      <c r="D132" s="258">
        <v>13323</v>
      </c>
      <c r="E132" s="258">
        <f t="shared" si="18"/>
        <v>-7946</v>
      </c>
      <c r="F132" s="259">
        <f t="shared" si="19"/>
        <v>-0.37359537354835676</v>
      </c>
    </row>
    <row r="133" spans="1:6" ht="20.25" customHeight="1" x14ac:dyDescent="0.3">
      <c r="A133" s="256">
        <v>3</v>
      </c>
      <c r="B133" s="257" t="s">
        <v>443</v>
      </c>
      <c r="C133" s="258">
        <v>71451</v>
      </c>
      <c r="D133" s="258">
        <v>23510</v>
      </c>
      <c r="E133" s="258">
        <f t="shared" si="18"/>
        <v>-47941</v>
      </c>
      <c r="F133" s="259">
        <f t="shared" si="19"/>
        <v>-0.6709633175182993</v>
      </c>
    </row>
    <row r="134" spans="1:6" ht="20.25" customHeight="1" x14ac:dyDescent="0.3">
      <c r="A134" s="256">
        <v>4</v>
      </c>
      <c r="B134" s="257" t="s">
        <v>444</v>
      </c>
      <c r="C134" s="258">
        <v>11284</v>
      </c>
      <c r="D134" s="258">
        <v>4495</v>
      </c>
      <c r="E134" s="258">
        <f t="shared" si="18"/>
        <v>-6789</v>
      </c>
      <c r="F134" s="259">
        <f t="shared" si="19"/>
        <v>-0.60164835164835162</v>
      </c>
    </row>
    <row r="135" spans="1:6" ht="20.25" customHeight="1" x14ac:dyDescent="0.3">
      <c r="A135" s="256">
        <v>5</v>
      </c>
      <c r="B135" s="257" t="s">
        <v>381</v>
      </c>
      <c r="C135" s="260">
        <v>3</v>
      </c>
      <c r="D135" s="260">
        <v>2</v>
      </c>
      <c r="E135" s="260">
        <f t="shared" si="18"/>
        <v>-1</v>
      </c>
      <c r="F135" s="259">
        <f t="shared" si="19"/>
        <v>-0.33333333333333331</v>
      </c>
    </row>
    <row r="136" spans="1:6" ht="20.25" customHeight="1" x14ac:dyDescent="0.3">
      <c r="A136" s="256">
        <v>6</v>
      </c>
      <c r="B136" s="257" t="s">
        <v>380</v>
      </c>
      <c r="C136" s="260">
        <v>13</v>
      </c>
      <c r="D136" s="260">
        <v>10</v>
      </c>
      <c r="E136" s="260">
        <f t="shared" si="18"/>
        <v>-3</v>
      </c>
      <c r="F136" s="259">
        <f t="shared" si="19"/>
        <v>-0.23076923076923078</v>
      </c>
    </row>
    <row r="137" spans="1:6" ht="20.25" customHeight="1" x14ac:dyDescent="0.3">
      <c r="A137" s="256">
        <v>7</v>
      </c>
      <c r="B137" s="257" t="s">
        <v>445</v>
      </c>
      <c r="C137" s="260">
        <v>46</v>
      </c>
      <c r="D137" s="260">
        <v>23</v>
      </c>
      <c r="E137" s="260">
        <f t="shared" si="18"/>
        <v>-23</v>
      </c>
      <c r="F137" s="259">
        <f t="shared" si="19"/>
        <v>-0.5</v>
      </c>
    </row>
    <row r="138" spans="1:6" ht="20.25" customHeight="1" x14ac:dyDescent="0.3">
      <c r="A138" s="256">
        <v>8</v>
      </c>
      <c r="B138" s="257" t="s">
        <v>446</v>
      </c>
      <c r="C138" s="260">
        <v>16</v>
      </c>
      <c r="D138" s="260">
        <v>3</v>
      </c>
      <c r="E138" s="260">
        <f t="shared" si="18"/>
        <v>-13</v>
      </c>
      <c r="F138" s="259">
        <f t="shared" si="19"/>
        <v>-0.8125</v>
      </c>
    </row>
    <row r="139" spans="1:6" ht="20.25" customHeight="1" x14ac:dyDescent="0.3">
      <c r="A139" s="256">
        <v>9</v>
      </c>
      <c r="B139" s="257" t="s">
        <v>447</v>
      </c>
      <c r="C139" s="260">
        <v>3</v>
      </c>
      <c r="D139" s="260">
        <v>2</v>
      </c>
      <c r="E139" s="260">
        <f t="shared" si="18"/>
        <v>-1</v>
      </c>
      <c r="F139" s="259">
        <f t="shared" si="19"/>
        <v>-0.33333333333333331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131837</v>
      </c>
      <c r="D140" s="263">
        <f>+D131+D133</f>
        <v>69070</v>
      </c>
      <c r="E140" s="263">
        <f t="shared" si="18"/>
        <v>-62767</v>
      </c>
      <c r="F140" s="264">
        <f t="shared" si="19"/>
        <v>-0.47609548154160064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32553</v>
      </c>
      <c r="D141" s="263">
        <f>+D132+D134</f>
        <v>17818</v>
      </c>
      <c r="E141" s="263">
        <f t="shared" si="18"/>
        <v>-14735</v>
      </c>
      <c r="F141" s="264">
        <f t="shared" si="19"/>
        <v>-0.45264645347587013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396180</v>
      </c>
      <c r="D183" s="258">
        <v>202184</v>
      </c>
      <c r="E183" s="258">
        <f t="shared" ref="E183:E193" si="26">D183-C183</f>
        <v>-193996</v>
      </c>
      <c r="F183" s="259">
        <f t="shared" ref="F183:F193" si="27">IF(C183=0,0,E183/C183)</f>
        <v>-0.48966631329193799</v>
      </c>
    </row>
    <row r="184" spans="1:6" ht="20.25" customHeight="1" x14ac:dyDescent="0.3">
      <c r="A184" s="256">
        <v>2</v>
      </c>
      <c r="B184" s="257" t="s">
        <v>442</v>
      </c>
      <c r="C184" s="258">
        <v>130953</v>
      </c>
      <c r="D184" s="258">
        <v>58407</v>
      </c>
      <c r="E184" s="258">
        <f t="shared" si="26"/>
        <v>-72546</v>
      </c>
      <c r="F184" s="259">
        <f t="shared" si="27"/>
        <v>-0.55398501752537166</v>
      </c>
    </row>
    <row r="185" spans="1:6" ht="20.25" customHeight="1" x14ac:dyDescent="0.3">
      <c r="A185" s="256">
        <v>3</v>
      </c>
      <c r="B185" s="257" t="s">
        <v>443</v>
      </c>
      <c r="C185" s="258">
        <v>133222</v>
      </c>
      <c r="D185" s="258">
        <v>79532</v>
      </c>
      <c r="E185" s="258">
        <f t="shared" si="26"/>
        <v>-53690</v>
      </c>
      <c r="F185" s="259">
        <f t="shared" si="27"/>
        <v>-0.4030115146147033</v>
      </c>
    </row>
    <row r="186" spans="1:6" ht="20.25" customHeight="1" x14ac:dyDescent="0.3">
      <c r="A186" s="256">
        <v>4</v>
      </c>
      <c r="B186" s="257" t="s">
        <v>444</v>
      </c>
      <c r="C186" s="258">
        <v>24158</v>
      </c>
      <c r="D186" s="258">
        <v>12936</v>
      </c>
      <c r="E186" s="258">
        <f t="shared" si="26"/>
        <v>-11222</v>
      </c>
      <c r="F186" s="259">
        <f t="shared" si="27"/>
        <v>-0.4645252090404835</v>
      </c>
    </row>
    <row r="187" spans="1:6" ht="20.25" customHeight="1" x14ac:dyDescent="0.3">
      <c r="A187" s="256">
        <v>5</v>
      </c>
      <c r="B187" s="257" t="s">
        <v>381</v>
      </c>
      <c r="C187" s="260">
        <v>15</v>
      </c>
      <c r="D187" s="260">
        <v>5</v>
      </c>
      <c r="E187" s="260">
        <f t="shared" si="26"/>
        <v>-10</v>
      </c>
      <c r="F187" s="259">
        <f t="shared" si="27"/>
        <v>-0.66666666666666663</v>
      </c>
    </row>
    <row r="188" spans="1:6" ht="20.25" customHeight="1" x14ac:dyDescent="0.3">
      <c r="A188" s="256">
        <v>6</v>
      </c>
      <c r="B188" s="257" t="s">
        <v>380</v>
      </c>
      <c r="C188" s="260">
        <v>85</v>
      </c>
      <c r="D188" s="260">
        <v>42</v>
      </c>
      <c r="E188" s="260">
        <f t="shared" si="26"/>
        <v>-43</v>
      </c>
      <c r="F188" s="259">
        <f t="shared" si="27"/>
        <v>-0.50588235294117645</v>
      </c>
    </row>
    <row r="189" spans="1:6" ht="20.25" customHeight="1" x14ac:dyDescent="0.3">
      <c r="A189" s="256">
        <v>7</v>
      </c>
      <c r="B189" s="257" t="s">
        <v>445</v>
      </c>
      <c r="C189" s="260">
        <v>280</v>
      </c>
      <c r="D189" s="260">
        <v>319</v>
      </c>
      <c r="E189" s="260">
        <f t="shared" si="26"/>
        <v>39</v>
      </c>
      <c r="F189" s="259">
        <f t="shared" si="27"/>
        <v>0.13928571428571429</v>
      </c>
    </row>
    <row r="190" spans="1:6" ht="20.25" customHeight="1" x14ac:dyDescent="0.3">
      <c r="A190" s="256">
        <v>8</v>
      </c>
      <c r="B190" s="257" t="s">
        <v>446</v>
      </c>
      <c r="C190" s="260">
        <v>12</v>
      </c>
      <c r="D190" s="260">
        <v>6</v>
      </c>
      <c r="E190" s="260">
        <f t="shared" si="26"/>
        <v>-6</v>
      </c>
      <c r="F190" s="259">
        <f t="shared" si="27"/>
        <v>-0.5</v>
      </c>
    </row>
    <row r="191" spans="1:6" ht="20.25" customHeight="1" x14ac:dyDescent="0.3">
      <c r="A191" s="256">
        <v>9</v>
      </c>
      <c r="B191" s="257" t="s">
        <v>447</v>
      </c>
      <c r="C191" s="260">
        <v>15</v>
      </c>
      <c r="D191" s="260">
        <v>5</v>
      </c>
      <c r="E191" s="260">
        <f t="shared" si="26"/>
        <v>-10</v>
      </c>
      <c r="F191" s="259">
        <f t="shared" si="27"/>
        <v>-0.66666666666666663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529402</v>
      </c>
      <c r="D192" s="263">
        <f>+D183+D185</f>
        <v>281716</v>
      </c>
      <c r="E192" s="263">
        <f t="shared" si="26"/>
        <v>-247686</v>
      </c>
      <c r="F192" s="264">
        <f t="shared" si="27"/>
        <v>-0.46785996275042407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155111</v>
      </c>
      <c r="D193" s="263">
        <f>+D184+D186</f>
        <v>71343</v>
      </c>
      <c r="E193" s="263">
        <f t="shared" si="26"/>
        <v>-83768</v>
      </c>
      <c r="F193" s="264">
        <f t="shared" si="27"/>
        <v>-0.54005196278793899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21093935</v>
      </c>
      <c r="D198" s="263">
        <f t="shared" si="28"/>
        <v>22588183</v>
      </c>
      <c r="E198" s="263">
        <f t="shared" ref="E198:E208" si="29">D198-C198</f>
        <v>1494248</v>
      </c>
      <c r="F198" s="273">
        <f t="shared" ref="F198:F208" si="30">IF(C198=0,0,E198/C198)</f>
        <v>7.0837802429940172E-2</v>
      </c>
    </row>
    <row r="199" spans="1:9" ht="20.25" customHeight="1" x14ac:dyDescent="0.3">
      <c r="A199" s="271"/>
      <c r="B199" s="272" t="s">
        <v>466</v>
      </c>
      <c r="C199" s="263">
        <f t="shared" si="28"/>
        <v>7311029</v>
      </c>
      <c r="D199" s="263">
        <f t="shared" si="28"/>
        <v>7580651</v>
      </c>
      <c r="E199" s="263">
        <f t="shared" si="29"/>
        <v>269622</v>
      </c>
      <c r="F199" s="273">
        <f t="shared" si="30"/>
        <v>3.6878803243702081E-2</v>
      </c>
    </row>
    <row r="200" spans="1:9" ht="20.25" customHeight="1" x14ac:dyDescent="0.3">
      <c r="A200" s="271"/>
      <c r="B200" s="272" t="s">
        <v>467</v>
      </c>
      <c r="C200" s="263">
        <f t="shared" si="28"/>
        <v>28348076</v>
      </c>
      <c r="D200" s="263">
        <f t="shared" si="28"/>
        <v>30911582</v>
      </c>
      <c r="E200" s="263">
        <f t="shared" si="29"/>
        <v>2563506</v>
      </c>
      <c r="F200" s="273">
        <f t="shared" si="30"/>
        <v>9.0429629157195712E-2</v>
      </c>
    </row>
    <row r="201" spans="1:9" ht="20.25" customHeight="1" x14ac:dyDescent="0.3">
      <c r="A201" s="271"/>
      <c r="B201" s="272" t="s">
        <v>468</v>
      </c>
      <c r="C201" s="263">
        <f t="shared" si="28"/>
        <v>5134737</v>
      </c>
      <c r="D201" s="263">
        <f t="shared" si="28"/>
        <v>5389617</v>
      </c>
      <c r="E201" s="263">
        <f t="shared" si="29"/>
        <v>254880</v>
      </c>
      <c r="F201" s="273">
        <f t="shared" si="30"/>
        <v>4.963837485736855E-2</v>
      </c>
    </row>
    <row r="202" spans="1:9" ht="20.25" customHeight="1" x14ac:dyDescent="0.3">
      <c r="A202" s="271"/>
      <c r="B202" s="272" t="s">
        <v>138</v>
      </c>
      <c r="C202" s="274">
        <f t="shared" si="28"/>
        <v>844</v>
      </c>
      <c r="D202" s="274">
        <f t="shared" si="28"/>
        <v>822</v>
      </c>
      <c r="E202" s="274">
        <f t="shared" si="29"/>
        <v>-22</v>
      </c>
      <c r="F202" s="273">
        <f t="shared" si="30"/>
        <v>-2.6066350710900472E-2</v>
      </c>
    </row>
    <row r="203" spans="1:9" ht="20.25" customHeight="1" x14ac:dyDescent="0.3">
      <c r="A203" s="271"/>
      <c r="B203" s="272" t="s">
        <v>140</v>
      </c>
      <c r="C203" s="274">
        <f t="shared" si="28"/>
        <v>3776</v>
      </c>
      <c r="D203" s="274">
        <f t="shared" si="28"/>
        <v>3954</v>
      </c>
      <c r="E203" s="274">
        <f t="shared" si="29"/>
        <v>178</v>
      </c>
      <c r="F203" s="273">
        <f t="shared" si="30"/>
        <v>4.7139830508474576E-2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15421</v>
      </c>
      <c r="D204" s="274">
        <f t="shared" si="28"/>
        <v>15748</v>
      </c>
      <c r="E204" s="274">
        <f t="shared" si="29"/>
        <v>327</v>
      </c>
      <c r="F204" s="273">
        <f t="shared" si="30"/>
        <v>2.1204850528500099E-2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1554</v>
      </c>
      <c r="D205" s="274">
        <f t="shared" si="28"/>
        <v>1780</v>
      </c>
      <c r="E205" s="274">
        <f t="shared" si="29"/>
        <v>226</v>
      </c>
      <c r="F205" s="273">
        <f t="shared" si="30"/>
        <v>0.14543114543114544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770</v>
      </c>
      <c r="D206" s="274">
        <f t="shared" si="28"/>
        <v>714</v>
      </c>
      <c r="E206" s="274">
        <f t="shared" si="29"/>
        <v>-56</v>
      </c>
      <c r="F206" s="273">
        <f t="shared" si="30"/>
        <v>-7.2727272727272724E-2</v>
      </c>
    </row>
    <row r="207" spans="1:9" ht="20.25" customHeight="1" x14ac:dyDescent="0.3">
      <c r="A207" s="271"/>
      <c r="B207" s="262" t="s">
        <v>471</v>
      </c>
      <c r="C207" s="263">
        <f>+C198+C200</f>
        <v>49442011</v>
      </c>
      <c r="D207" s="263">
        <f>+D198+D200</f>
        <v>53499765</v>
      </c>
      <c r="E207" s="263">
        <f t="shared" si="29"/>
        <v>4057754</v>
      </c>
      <c r="F207" s="273">
        <f t="shared" si="30"/>
        <v>8.2070974014386261E-2</v>
      </c>
    </row>
    <row r="208" spans="1:9" ht="20.25" customHeight="1" x14ac:dyDescent="0.3">
      <c r="A208" s="271"/>
      <c r="B208" s="262" t="s">
        <v>472</v>
      </c>
      <c r="C208" s="263">
        <f>+C199+C201</f>
        <v>12445766</v>
      </c>
      <c r="D208" s="263">
        <f>+D199+D201</f>
        <v>12970268</v>
      </c>
      <c r="E208" s="263">
        <f t="shared" si="29"/>
        <v>524502</v>
      </c>
      <c r="F208" s="273">
        <f t="shared" si="30"/>
        <v>4.2143006706055697E-2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FILING&amp;RBRISTOL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FILING&amp;RBRISTOL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16318029</v>
      </c>
      <c r="D13" s="22">
        <v>18575899</v>
      </c>
      <c r="E13" s="22">
        <f t="shared" ref="E13:E22" si="0">D13-C13</f>
        <v>2257870</v>
      </c>
      <c r="F13" s="306">
        <f t="shared" ref="F13:F22" si="1">IF(C13=0,0,E13/C13)</f>
        <v>0.138366588268718</v>
      </c>
    </row>
    <row r="14" spans="1:8" ht="24" customHeight="1" x14ac:dyDescent="0.2">
      <c r="A14" s="304">
        <v>2</v>
      </c>
      <c r="B14" s="305" t="s">
        <v>17</v>
      </c>
      <c r="C14" s="22">
        <v>96526</v>
      </c>
      <c r="D14" s="22">
        <v>96550</v>
      </c>
      <c r="E14" s="22">
        <f t="shared" si="0"/>
        <v>24</v>
      </c>
      <c r="F14" s="306">
        <f t="shared" si="1"/>
        <v>2.4863767275138304E-4</v>
      </c>
    </row>
    <row r="15" spans="1:8" ht="35.1" customHeight="1" x14ac:dyDescent="0.2">
      <c r="A15" s="304">
        <v>3</v>
      </c>
      <c r="B15" s="305" t="s">
        <v>18</v>
      </c>
      <c r="C15" s="22">
        <v>20536329</v>
      </c>
      <c r="D15" s="22">
        <v>20598344</v>
      </c>
      <c r="E15" s="22">
        <f t="shared" si="0"/>
        <v>62015</v>
      </c>
      <c r="F15" s="306">
        <f t="shared" si="1"/>
        <v>3.0197704760183768E-3</v>
      </c>
    </row>
    <row r="16" spans="1:8" ht="35.1" customHeight="1" x14ac:dyDescent="0.2">
      <c r="A16" s="304">
        <v>4</v>
      </c>
      <c r="B16" s="305" t="s">
        <v>19</v>
      </c>
      <c r="C16" s="22">
        <v>636385</v>
      </c>
      <c r="D16" s="22">
        <v>586306</v>
      </c>
      <c r="E16" s="22">
        <f t="shared" si="0"/>
        <v>-50079</v>
      </c>
      <c r="F16" s="306">
        <f t="shared" si="1"/>
        <v>-7.8692929594506467E-2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2757898</v>
      </c>
      <c r="D18" s="22">
        <v>581194</v>
      </c>
      <c r="E18" s="22">
        <f t="shared" si="0"/>
        <v>-2176704</v>
      </c>
      <c r="F18" s="306">
        <f t="shared" si="1"/>
        <v>-0.78926196690377959</v>
      </c>
    </row>
    <row r="19" spans="1:11" ht="24" customHeight="1" x14ac:dyDescent="0.2">
      <c r="A19" s="304">
        <v>7</v>
      </c>
      <c r="B19" s="305" t="s">
        <v>22</v>
      </c>
      <c r="C19" s="22">
        <v>1476432</v>
      </c>
      <c r="D19" s="22">
        <v>1444885</v>
      </c>
      <c r="E19" s="22">
        <f t="shared" si="0"/>
        <v>-31547</v>
      </c>
      <c r="F19" s="306">
        <f t="shared" si="1"/>
        <v>-2.136705246161015E-2</v>
      </c>
    </row>
    <row r="20" spans="1:11" ht="24" customHeight="1" x14ac:dyDescent="0.2">
      <c r="A20" s="304">
        <v>8</v>
      </c>
      <c r="B20" s="305" t="s">
        <v>23</v>
      </c>
      <c r="C20" s="22">
        <v>876588</v>
      </c>
      <c r="D20" s="22">
        <v>1034720</v>
      </c>
      <c r="E20" s="22">
        <f t="shared" si="0"/>
        <v>158132</v>
      </c>
      <c r="F20" s="306">
        <f t="shared" si="1"/>
        <v>0.18039489475101189</v>
      </c>
    </row>
    <row r="21" spans="1:11" ht="24" customHeight="1" x14ac:dyDescent="0.2">
      <c r="A21" s="304">
        <v>9</v>
      </c>
      <c r="B21" s="305" t="s">
        <v>24</v>
      </c>
      <c r="C21" s="22">
        <v>2790614</v>
      </c>
      <c r="D21" s="22">
        <v>3894775</v>
      </c>
      <c r="E21" s="22">
        <f t="shared" si="0"/>
        <v>1104161</v>
      </c>
      <c r="F21" s="306">
        <f t="shared" si="1"/>
        <v>0.39566955515882885</v>
      </c>
    </row>
    <row r="22" spans="1:11" ht="24" customHeight="1" x14ac:dyDescent="0.25">
      <c r="A22" s="307"/>
      <c r="B22" s="308" t="s">
        <v>25</v>
      </c>
      <c r="C22" s="309">
        <f>SUM(C13:C21)</f>
        <v>45488801</v>
      </c>
      <c r="D22" s="309">
        <f>SUM(D13:D21)</f>
        <v>46812673</v>
      </c>
      <c r="E22" s="309">
        <f t="shared" si="0"/>
        <v>1323872</v>
      </c>
      <c r="F22" s="310">
        <f t="shared" si="1"/>
        <v>2.9103251149662088E-2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7906841</v>
      </c>
      <c r="D26" s="22">
        <v>7865256</v>
      </c>
      <c r="E26" s="22">
        <f>D26-C26</f>
        <v>-41585</v>
      </c>
      <c r="F26" s="306">
        <f>IF(C26=0,0,E26/C26)</f>
        <v>-5.259369702767515E-3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17520048</v>
      </c>
      <c r="D28" s="22">
        <v>16165720</v>
      </c>
      <c r="E28" s="22">
        <f>D28-C28</f>
        <v>-1354328</v>
      </c>
      <c r="F28" s="306">
        <f>IF(C28=0,0,E28/C28)</f>
        <v>-7.7301614698772517E-2</v>
      </c>
    </row>
    <row r="29" spans="1:11" ht="35.1" customHeight="1" x14ac:dyDescent="0.25">
      <c r="A29" s="307"/>
      <c r="B29" s="308" t="s">
        <v>32</v>
      </c>
      <c r="C29" s="309">
        <f>SUM(C25:C28)</f>
        <v>25426889</v>
      </c>
      <c r="D29" s="309">
        <f>SUM(D25:D28)</f>
        <v>24030976</v>
      </c>
      <c r="E29" s="309">
        <f>D29-C29</f>
        <v>-1395913</v>
      </c>
      <c r="F29" s="310">
        <f>IF(C29=0,0,E29/C29)</f>
        <v>-5.4899087340177559E-2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2412864</v>
      </c>
      <c r="D31" s="22">
        <v>2545686</v>
      </c>
      <c r="E31" s="22">
        <f>D31-C31</f>
        <v>132822</v>
      </c>
      <c r="F31" s="306">
        <f>IF(C31=0,0,E31/C31)</f>
        <v>5.504744569109573E-2</v>
      </c>
    </row>
    <row r="32" spans="1:11" ht="24" customHeight="1" x14ac:dyDescent="0.2">
      <c r="A32" s="304">
        <v>6</v>
      </c>
      <c r="B32" s="305" t="s">
        <v>34</v>
      </c>
      <c r="C32" s="22">
        <v>6800181</v>
      </c>
      <c r="D32" s="22">
        <v>6665386</v>
      </c>
      <c r="E32" s="22">
        <f>D32-C32</f>
        <v>-134795</v>
      </c>
      <c r="F32" s="306">
        <f>IF(C32=0,0,E32/C32)</f>
        <v>-1.9822266495553575E-2</v>
      </c>
    </row>
    <row r="33" spans="1:8" ht="24" customHeight="1" x14ac:dyDescent="0.2">
      <c r="A33" s="304">
        <v>7</v>
      </c>
      <c r="B33" s="305" t="s">
        <v>35</v>
      </c>
      <c r="C33" s="22">
        <v>2633889</v>
      </c>
      <c r="D33" s="22">
        <v>2160773</v>
      </c>
      <c r="E33" s="22">
        <f>D33-C33</f>
        <v>-473116</v>
      </c>
      <c r="F33" s="306">
        <f>IF(C33=0,0,E33/C33)</f>
        <v>-0.17962640035324193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162494718</v>
      </c>
      <c r="D36" s="22">
        <v>170802291</v>
      </c>
      <c r="E36" s="22">
        <f>D36-C36</f>
        <v>8307573</v>
      </c>
      <c r="F36" s="306">
        <f>IF(C36=0,0,E36/C36)</f>
        <v>5.1125187958417209E-2</v>
      </c>
    </row>
    <row r="37" spans="1:8" ht="24" customHeight="1" x14ac:dyDescent="0.2">
      <c r="A37" s="304">
        <v>2</v>
      </c>
      <c r="B37" s="305" t="s">
        <v>39</v>
      </c>
      <c r="C37" s="22">
        <v>122919544</v>
      </c>
      <c r="D37" s="22">
        <v>129836351</v>
      </c>
      <c r="E37" s="22">
        <f>D37-C37</f>
        <v>6916807</v>
      </c>
      <c r="F37" s="22">
        <f>IF(C37=0,0,E37/C37)</f>
        <v>5.6271010897990317E-2</v>
      </c>
    </row>
    <row r="38" spans="1:8" ht="24" customHeight="1" x14ac:dyDescent="0.25">
      <c r="A38" s="307"/>
      <c r="B38" s="308" t="s">
        <v>40</v>
      </c>
      <c r="C38" s="309">
        <f>C36-C37</f>
        <v>39575174</v>
      </c>
      <c r="D38" s="309">
        <f>D36-D37</f>
        <v>40965940</v>
      </c>
      <c r="E38" s="309">
        <f>D38-C38</f>
        <v>1390766</v>
      </c>
      <c r="F38" s="310">
        <f>IF(C38=0,0,E38/C38)</f>
        <v>3.5142384970941631E-2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3296604</v>
      </c>
      <c r="D40" s="22">
        <v>1976393</v>
      </c>
      <c r="E40" s="22">
        <f>D40-C40</f>
        <v>-1320211</v>
      </c>
      <c r="F40" s="306">
        <f>IF(C40=0,0,E40/C40)</f>
        <v>-0.40047606567243138</v>
      </c>
    </row>
    <row r="41" spans="1:8" ht="24" customHeight="1" x14ac:dyDescent="0.25">
      <c r="A41" s="307"/>
      <c r="B41" s="308" t="s">
        <v>42</v>
      </c>
      <c r="C41" s="309">
        <f>+C38+C40</f>
        <v>42871778</v>
      </c>
      <c r="D41" s="309">
        <f>+D38+D40</f>
        <v>42942333</v>
      </c>
      <c r="E41" s="309">
        <f>D41-C41</f>
        <v>70555</v>
      </c>
      <c r="F41" s="310">
        <f>IF(C41=0,0,E41/C41)</f>
        <v>1.6457213414381834E-3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125634402</v>
      </c>
      <c r="D43" s="309">
        <f>D22+D29+D31+D32+D33+D41</f>
        <v>125157827</v>
      </c>
      <c r="E43" s="309">
        <f>D43-C43</f>
        <v>-476575</v>
      </c>
      <c r="F43" s="310">
        <f>IF(C43=0,0,E43/C43)</f>
        <v>-3.7933479398421462E-3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13868802</v>
      </c>
      <c r="D49" s="22">
        <v>13769295</v>
      </c>
      <c r="E49" s="22">
        <f t="shared" ref="E49:E56" si="2">D49-C49</f>
        <v>-99507</v>
      </c>
      <c r="F49" s="306">
        <f t="shared" ref="F49:F56" si="3">IF(C49=0,0,E49/C49)</f>
        <v>-7.1748807142823154E-3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12169328</v>
      </c>
      <c r="D50" s="22">
        <v>13804788</v>
      </c>
      <c r="E50" s="22">
        <f t="shared" si="2"/>
        <v>1635460</v>
      </c>
      <c r="F50" s="306">
        <f t="shared" si="3"/>
        <v>0.13439197299965946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1180671</v>
      </c>
      <c r="D53" s="22">
        <v>1230670</v>
      </c>
      <c r="E53" s="22">
        <f t="shared" si="2"/>
        <v>49999</v>
      </c>
      <c r="F53" s="306">
        <f t="shared" si="3"/>
        <v>4.2347952986056231E-2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8226</v>
      </c>
      <c r="D54" s="22">
        <v>8648</v>
      </c>
      <c r="E54" s="22">
        <f t="shared" si="2"/>
        <v>422</v>
      </c>
      <c r="F54" s="306">
        <f t="shared" si="3"/>
        <v>5.1300753707755893E-2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3512933</v>
      </c>
      <c r="D55" s="22">
        <v>3287933</v>
      </c>
      <c r="E55" s="22">
        <f t="shared" si="2"/>
        <v>-225000</v>
      </c>
      <c r="F55" s="306">
        <f t="shared" si="3"/>
        <v>-6.4049043918571746E-2</v>
      </c>
    </row>
    <row r="56" spans="1:6" ht="24" customHeight="1" x14ac:dyDescent="0.25">
      <c r="A56" s="307"/>
      <c r="B56" s="308" t="s">
        <v>54</v>
      </c>
      <c r="C56" s="309">
        <f>SUM(C49:C55)</f>
        <v>30739960</v>
      </c>
      <c r="D56" s="309">
        <f>SUM(D49:D55)</f>
        <v>32101334</v>
      </c>
      <c r="E56" s="309">
        <f t="shared" si="2"/>
        <v>1361374</v>
      </c>
      <c r="F56" s="310">
        <f t="shared" si="3"/>
        <v>4.4286785018588182E-2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29816492</v>
      </c>
      <c r="D59" s="22">
        <v>28552105</v>
      </c>
      <c r="E59" s="22">
        <f>D59-C59</f>
        <v>-1264387</v>
      </c>
      <c r="F59" s="306">
        <f>IF(C59=0,0,E59/C59)</f>
        <v>-4.2405625718813601E-2</v>
      </c>
    </row>
    <row r="60" spans="1:6" ht="24" customHeight="1" x14ac:dyDescent="0.2">
      <c r="A60" s="304">
        <v>2</v>
      </c>
      <c r="B60" s="305" t="s">
        <v>57</v>
      </c>
      <c r="C60" s="22">
        <v>281910</v>
      </c>
      <c r="D60" s="22">
        <v>273261</v>
      </c>
      <c r="E60" s="22">
        <f>D60-C60</f>
        <v>-8649</v>
      </c>
      <c r="F60" s="306">
        <f>IF(C60=0,0,E60/C60)</f>
        <v>-3.0680004256677662E-2</v>
      </c>
    </row>
    <row r="61" spans="1:6" ht="24" customHeight="1" x14ac:dyDescent="0.25">
      <c r="A61" s="307"/>
      <c r="B61" s="308" t="s">
        <v>58</v>
      </c>
      <c r="C61" s="309">
        <f>SUM(C59:C60)</f>
        <v>30098402</v>
      </c>
      <c r="D61" s="309">
        <f>SUM(D59:D60)</f>
        <v>28825366</v>
      </c>
      <c r="E61" s="309">
        <f>D61-C61</f>
        <v>-1273036</v>
      </c>
      <c r="F61" s="310">
        <f>IF(C61=0,0,E61/C61)</f>
        <v>-4.2295800288666488E-2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18682813</v>
      </c>
      <c r="D63" s="22">
        <v>23468844</v>
      </c>
      <c r="E63" s="22">
        <f>D63-C63</f>
        <v>4786031</v>
      </c>
      <c r="F63" s="306">
        <f>IF(C63=0,0,E63/C63)</f>
        <v>0.25617293284474879</v>
      </c>
    </row>
    <row r="64" spans="1:6" ht="24" customHeight="1" x14ac:dyDescent="0.2">
      <c r="A64" s="304">
        <v>4</v>
      </c>
      <c r="B64" s="305" t="s">
        <v>60</v>
      </c>
      <c r="C64" s="22">
        <v>17505502</v>
      </c>
      <c r="D64" s="22">
        <v>11330848</v>
      </c>
      <c r="E64" s="22">
        <f>D64-C64</f>
        <v>-6174654</v>
      </c>
      <c r="F64" s="306">
        <f>IF(C64=0,0,E64/C64)</f>
        <v>-0.35272647422507508</v>
      </c>
    </row>
    <row r="65" spans="1:6" ht="24" customHeight="1" x14ac:dyDescent="0.25">
      <c r="A65" s="307"/>
      <c r="B65" s="308" t="s">
        <v>61</v>
      </c>
      <c r="C65" s="309">
        <f>SUM(C61:C64)</f>
        <v>66286717</v>
      </c>
      <c r="D65" s="309">
        <f>SUM(D61:D64)</f>
        <v>63625058</v>
      </c>
      <c r="E65" s="309">
        <f>D65-C65</f>
        <v>-2661659</v>
      </c>
      <c r="F65" s="310">
        <f>IF(C65=0,0,E65/C65)</f>
        <v>-4.0153730950350131E-2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18001943</v>
      </c>
      <c r="D70" s="22">
        <v>18611817</v>
      </c>
      <c r="E70" s="22">
        <f>D70-C70</f>
        <v>609874</v>
      </c>
      <c r="F70" s="306">
        <f>IF(C70=0,0,E70/C70)</f>
        <v>3.3878231921965311E-2</v>
      </c>
    </row>
    <row r="71" spans="1:6" ht="24" customHeight="1" x14ac:dyDescent="0.2">
      <c r="A71" s="304">
        <v>2</v>
      </c>
      <c r="B71" s="305" t="s">
        <v>65</v>
      </c>
      <c r="C71" s="22">
        <v>3585204</v>
      </c>
      <c r="D71" s="22">
        <v>3734131</v>
      </c>
      <c r="E71" s="22">
        <f>D71-C71</f>
        <v>148927</v>
      </c>
      <c r="F71" s="306">
        <f>IF(C71=0,0,E71/C71)</f>
        <v>4.1539337789425652E-2</v>
      </c>
    </row>
    <row r="72" spans="1:6" ht="24" customHeight="1" x14ac:dyDescent="0.2">
      <c r="A72" s="304">
        <v>3</v>
      </c>
      <c r="B72" s="305" t="s">
        <v>66</v>
      </c>
      <c r="C72" s="22">
        <v>7020578</v>
      </c>
      <c r="D72" s="22">
        <v>7085487</v>
      </c>
      <c r="E72" s="22">
        <f>D72-C72</f>
        <v>64909</v>
      </c>
      <c r="F72" s="306">
        <f>IF(C72=0,0,E72/C72)</f>
        <v>9.2455350542362744E-3</v>
      </c>
    </row>
    <row r="73" spans="1:6" ht="24" customHeight="1" x14ac:dyDescent="0.25">
      <c r="A73" s="304"/>
      <c r="B73" s="308" t="s">
        <v>67</v>
      </c>
      <c r="C73" s="309">
        <f>SUM(C70:C72)</f>
        <v>28607725</v>
      </c>
      <c r="D73" s="309">
        <f>SUM(D70:D72)</f>
        <v>29431435</v>
      </c>
      <c r="E73" s="309">
        <f>D73-C73</f>
        <v>823710</v>
      </c>
      <c r="F73" s="310">
        <f>IF(C73=0,0,E73/C73)</f>
        <v>2.8793271747403891E-2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125634402</v>
      </c>
      <c r="D75" s="309">
        <f>D56+D65+D67+D73</f>
        <v>125157827</v>
      </c>
      <c r="E75" s="309">
        <f>D75-C75</f>
        <v>-476575</v>
      </c>
      <c r="F75" s="310">
        <f>IF(C75=0,0,E75/C75)</f>
        <v>-3.7933479398421462E-3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FILING&amp;RBRISTOL HOSPITAL &amp;AMP; HEALTH CARE GROUP,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477828769</v>
      </c>
      <c r="D11" s="76">
        <v>506994274</v>
      </c>
      <c r="E11" s="76">
        <f t="shared" ref="E11:E20" si="0">D11-C11</f>
        <v>29165505</v>
      </c>
      <c r="F11" s="77">
        <f t="shared" ref="F11:F20" si="1">IF(C11=0,0,E11/C11)</f>
        <v>6.1037565948650528E-2</v>
      </c>
    </row>
    <row r="12" spans="1:7" ht="23.1" customHeight="1" x14ac:dyDescent="0.2">
      <c r="A12" s="74">
        <v>2</v>
      </c>
      <c r="B12" s="75" t="s">
        <v>72</v>
      </c>
      <c r="C12" s="76">
        <v>310870783</v>
      </c>
      <c r="D12" s="76">
        <v>329361820</v>
      </c>
      <c r="E12" s="76">
        <f t="shared" si="0"/>
        <v>18491037</v>
      </c>
      <c r="F12" s="77">
        <f t="shared" si="1"/>
        <v>5.948142447339607E-2</v>
      </c>
    </row>
    <row r="13" spans="1:7" ht="23.1" customHeight="1" x14ac:dyDescent="0.2">
      <c r="A13" s="74">
        <v>3</v>
      </c>
      <c r="B13" s="75" t="s">
        <v>73</v>
      </c>
      <c r="C13" s="76">
        <v>5306456</v>
      </c>
      <c r="D13" s="76">
        <v>4530623</v>
      </c>
      <c r="E13" s="76">
        <f t="shared" si="0"/>
        <v>-775833</v>
      </c>
      <c r="F13" s="77">
        <f t="shared" si="1"/>
        <v>-0.14620549006719363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161651530</v>
      </c>
      <c r="D15" s="79">
        <f>D11-D12-D13-D14</f>
        <v>173101831</v>
      </c>
      <c r="E15" s="79">
        <f t="shared" si="0"/>
        <v>11450301</v>
      </c>
      <c r="F15" s="80">
        <f t="shared" si="1"/>
        <v>7.0833236159286578E-2</v>
      </c>
    </row>
    <row r="16" spans="1:7" ht="23.1" customHeight="1" x14ac:dyDescent="0.2">
      <c r="A16" s="74">
        <v>5</v>
      </c>
      <c r="B16" s="75" t="s">
        <v>76</v>
      </c>
      <c r="C16" s="76">
        <v>6182431</v>
      </c>
      <c r="D16" s="76">
        <v>4869425</v>
      </c>
      <c r="E16" s="76">
        <f t="shared" si="0"/>
        <v>-1313006</v>
      </c>
      <c r="F16" s="77">
        <f t="shared" si="1"/>
        <v>-0.21237697598242503</v>
      </c>
      <c r="G16" s="65"/>
    </row>
    <row r="17" spans="1:7" ht="31.5" customHeight="1" x14ac:dyDescent="0.25">
      <c r="A17" s="71"/>
      <c r="B17" s="81" t="s">
        <v>77</v>
      </c>
      <c r="C17" s="79">
        <f>C15-C16</f>
        <v>155469099</v>
      </c>
      <c r="D17" s="79">
        <f>D15-D16</f>
        <v>168232406</v>
      </c>
      <c r="E17" s="79">
        <f t="shared" si="0"/>
        <v>12763307</v>
      </c>
      <c r="F17" s="80">
        <f t="shared" si="1"/>
        <v>8.2095458725209444E-2</v>
      </c>
    </row>
    <row r="18" spans="1:7" ht="23.1" customHeight="1" x14ac:dyDescent="0.2">
      <c r="A18" s="74">
        <v>6</v>
      </c>
      <c r="B18" s="75" t="s">
        <v>78</v>
      </c>
      <c r="C18" s="76">
        <v>6651756</v>
      </c>
      <c r="D18" s="76">
        <v>7836353</v>
      </c>
      <c r="E18" s="76">
        <f t="shared" si="0"/>
        <v>1184597</v>
      </c>
      <c r="F18" s="77">
        <f t="shared" si="1"/>
        <v>0.1780878613106073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162120855</v>
      </c>
      <c r="D20" s="79">
        <f>SUM(D17:D19)</f>
        <v>176068759</v>
      </c>
      <c r="E20" s="79">
        <f t="shared" si="0"/>
        <v>13947904</v>
      </c>
      <c r="F20" s="80">
        <f t="shared" si="1"/>
        <v>8.6033989889826329E-2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77499039</v>
      </c>
      <c r="D23" s="76">
        <v>82949305</v>
      </c>
      <c r="E23" s="76">
        <f t="shared" ref="E23:E32" si="2">D23-C23</f>
        <v>5450266</v>
      </c>
      <c r="F23" s="77">
        <f t="shared" ref="F23:F32" si="3">IF(C23=0,0,E23/C23)</f>
        <v>7.0326884956599264E-2</v>
      </c>
    </row>
    <row r="24" spans="1:7" ht="23.1" customHeight="1" x14ac:dyDescent="0.2">
      <c r="A24" s="74">
        <v>2</v>
      </c>
      <c r="B24" s="75" t="s">
        <v>83</v>
      </c>
      <c r="C24" s="76">
        <v>18236865</v>
      </c>
      <c r="D24" s="76">
        <v>18390449</v>
      </c>
      <c r="E24" s="76">
        <f t="shared" si="2"/>
        <v>153584</v>
      </c>
      <c r="F24" s="77">
        <f t="shared" si="3"/>
        <v>8.4216229050332932E-3</v>
      </c>
    </row>
    <row r="25" spans="1:7" ht="23.1" customHeight="1" x14ac:dyDescent="0.2">
      <c r="A25" s="74">
        <v>3</v>
      </c>
      <c r="B25" s="75" t="s">
        <v>84</v>
      </c>
      <c r="C25" s="76">
        <v>1984011</v>
      </c>
      <c r="D25" s="76">
        <v>2015725</v>
      </c>
      <c r="E25" s="76">
        <f t="shared" si="2"/>
        <v>31714</v>
      </c>
      <c r="F25" s="77">
        <f t="shared" si="3"/>
        <v>1.5984790406908027E-2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21777702</v>
      </c>
      <c r="D26" s="76">
        <v>28545856</v>
      </c>
      <c r="E26" s="76">
        <f t="shared" si="2"/>
        <v>6768154</v>
      </c>
      <c r="F26" s="77">
        <f t="shared" si="3"/>
        <v>0.31078366303294996</v>
      </c>
    </row>
    <row r="27" spans="1:7" ht="23.1" customHeight="1" x14ac:dyDescent="0.2">
      <c r="A27" s="74">
        <v>5</v>
      </c>
      <c r="B27" s="75" t="s">
        <v>86</v>
      </c>
      <c r="C27" s="76">
        <v>7216365</v>
      </c>
      <c r="D27" s="76">
        <v>7411959</v>
      </c>
      <c r="E27" s="76">
        <f t="shared" si="2"/>
        <v>195594</v>
      </c>
      <c r="F27" s="77">
        <f t="shared" si="3"/>
        <v>2.7104227682496658E-2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1683295</v>
      </c>
      <c r="D29" s="76">
        <v>1651982</v>
      </c>
      <c r="E29" s="76">
        <f t="shared" si="2"/>
        <v>-31313</v>
      </c>
      <c r="F29" s="77">
        <f t="shared" si="3"/>
        <v>-1.8602205792805183E-2</v>
      </c>
    </row>
    <row r="30" spans="1:7" ht="23.1" customHeight="1" x14ac:dyDescent="0.2">
      <c r="A30" s="74">
        <v>8</v>
      </c>
      <c r="B30" s="75" t="s">
        <v>89</v>
      </c>
      <c r="C30" s="76">
        <v>2044820</v>
      </c>
      <c r="D30" s="76">
        <v>2106314</v>
      </c>
      <c r="E30" s="76">
        <f t="shared" si="2"/>
        <v>61494</v>
      </c>
      <c r="F30" s="77">
        <f t="shared" si="3"/>
        <v>3.0073062665662502E-2</v>
      </c>
    </row>
    <row r="31" spans="1:7" ht="23.1" customHeight="1" x14ac:dyDescent="0.2">
      <c r="A31" s="74">
        <v>9</v>
      </c>
      <c r="B31" s="75" t="s">
        <v>90</v>
      </c>
      <c r="C31" s="76">
        <v>31341121</v>
      </c>
      <c r="D31" s="76">
        <v>32314788</v>
      </c>
      <c r="E31" s="76">
        <f t="shared" si="2"/>
        <v>973667</v>
      </c>
      <c r="F31" s="77">
        <f t="shared" si="3"/>
        <v>3.1066757312222495E-2</v>
      </c>
    </row>
    <row r="32" spans="1:7" ht="23.1" customHeight="1" x14ac:dyDescent="0.25">
      <c r="A32" s="71"/>
      <c r="B32" s="78" t="s">
        <v>91</v>
      </c>
      <c r="C32" s="79">
        <f>SUM(C23:C31)</f>
        <v>161783218</v>
      </c>
      <c r="D32" s="79">
        <f>SUM(D23:D31)</f>
        <v>175386378</v>
      </c>
      <c r="E32" s="79">
        <f t="shared" si="2"/>
        <v>13603160</v>
      </c>
      <c r="F32" s="80">
        <f t="shared" si="3"/>
        <v>8.4082639523216804E-2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337637</v>
      </c>
      <c r="D34" s="79">
        <f>+D20-D32</f>
        <v>682381</v>
      </c>
      <c r="E34" s="79">
        <f>D34-C34</f>
        <v>344744</v>
      </c>
      <c r="F34" s="80">
        <f>IF(C34=0,0,E34/C34)</f>
        <v>1.0210492333482408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311303</v>
      </c>
      <c r="D37" s="76">
        <v>403907</v>
      </c>
      <c r="E37" s="76">
        <f>D37-C37</f>
        <v>92604</v>
      </c>
      <c r="F37" s="77">
        <f>IF(C37=0,0,E37/C37)</f>
        <v>0.29747223765912956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546500</v>
      </c>
      <c r="D39" s="76">
        <v>1074662</v>
      </c>
      <c r="E39" s="76">
        <f>D39-C39</f>
        <v>528162</v>
      </c>
      <c r="F39" s="77">
        <f>IF(C39=0,0,E39/C39)</f>
        <v>0.96644464775846295</v>
      </c>
    </row>
    <row r="40" spans="1:6" ht="23.1" customHeight="1" x14ac:dyDescent="0.25">
      <c r="A40" s="83"/>
      <c r="B40" s="78" t="s">
        <v>97</v>
      </c>
      <c r="C40" s="79">
        <f>SUM(C37:C39)</f>
        <v>857803</v>
      </c>
      <c r="D40" s="79">
        <f>SUM(D37:D39)</f>
        <v>1478569</v>
      </c>
      <c r="E40" s="79">
        <f>D40-C40</f>
        <v>620766</v>
      </c>
      <c r="F40" s="80">
        <f>IF(C40=0,0,E40/C40)</f>
        <v>0.7236696537549997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1195440</v>
      </c>
      <c r="D42" s="79">
        <f>D34+D40</f>
        <v>2160950</v>
      </c>
      <c r="E42" s="79">
        <f>D42-C42</f>
        <v>965510</v>
      </c>
      <c r="F42" s="80">
        <f>IF(C42=0,0,E42/C42)</f>
        <v>0.80766077762162891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1195440</v>
      </c>
      <c r="D49" s="79">
        <f>D42+D47</f>
        <v>2160950</v>
      </c>
      <c r="E49" s="79">
        <f>D49-C49</f>
        <v>965510</v>
      </c>
      <c r="F49" s="80">
        <f>IF(C49=0,0,E49/C49)</f>
        <v>0.80766077762162891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FILING&amp;R&amp;8BRISTOL HOSPITAL &amp;AMP; HEALTH CARE GROUP,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2015-07-06T19:35:53Z</cp:lastPrinted>
  <dcterms:created xsi:type="dcterms:W3CDTF">2015-07-06T19:26:59Z</dcterms:created>
  <dcterms:modified xsi:type="dcterms:W3CDTF">2015-07-06T19:36:33Z</dcterms:modified>
</cp:coreProperties>
</file>