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/>
  <c r="D91" i="22"/>
  <c r="D93" i="22"/>
  <c r="C91" i="22"/>
  <c r="C93" i="22" s="1"/>
  <c r="E87" i="22"/>
  <c r="D87" i="22"/>
  <c r="C87" i="22"/>
  <c r="E86" i="22"/>
  <c r="E88" i="22"/>
  <c r="D86" i="22"/>
  <c r="D88" i="22" s="1"/>
  <c r="C86" i="22"/>
  <c r="C88" i="22" s="1"/>
  <c r="E83" i="22"/>
  <c r="D83" i="22"/>
  <c r="D102" i="22"/>
  <c r="C83" i="22"/>
  <c r="C101" i="22" s="1"/>
  <c r="E76" i="22"/>
  <c r="D76" i="22"/>
  <c r="C76" i="22"/>
  <c r="E75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23" i="22" s="1"/>
  <c r="D54" i="22" s="1"/>
  <c r="D34" i="22"/>
  <c r="C12" i="22"/>
  <c r="C33" i="22" s="1"/>
  <c r="D21" i="21"/>
  <c r="E21" i="21"/>
  <c r="F21" i="21" s="1"/>
  <c r="C21" i="21"/>
  <c r="D19" i="21"/>
  <c r="E19" i="21" s="1"/>
  <c r="F19" i="21" s="1"/>
  <c r="C19" i="21"/>
  <c r="E17" i="21"/>
  <c r="F17" i="21" s="1"/>
  <c r="F15" i="21"/>
  <c r="E15" i="21"/>
  <c r="D45" i="20"/>
  <c r="E45" i="20" s="1"/>
  <c r="F45" i="20" s="1"/>
  <c r="C45" i="20"/>
  <c r="D44" i="20"/>
  <c r="C44" i="20"/>
  <c r="D43" i="20"/>
  <c r="C43" i="20"/>
  <c r="C46" i="20"/>
  <c r="D36" i="20"/>
  <c r="D40" i="20" s="1"/>
  <c r="E40" i="20" s="1"/>
  <c r="F40" i="20" s="1"/>
  <c r="C36" i="20"/>
  <c r="C40" i="20" s="1"/>
  <c r="F35" i="20"/>
  <c r="E35" i="20"/>
  <c r="E34" i="20"/>
  <c r="E33" i="20"/>
  <c r="F33" i="20" s="1"/>
  <c r="E30" i="20"/>
  <c r="F30" i="20" s="1"/>
  <c r="F29" i="20"/>
  <c r="E29" i="20"/>
  <c r="E28" i="20"/>
  <c r="F28" i="20" s="1"/>
  <c r="F27" i="20"/>
  <c r="E27" i="20"/>
  <c r="D25" i="20"/>
  <c r="D39" i="20"/>
  <c r="C25" i="20"/>
  <c r="F25" i="20" s="1"/>
  <c r="C39" i="20"/>
  <c r="C41" i="20" s="1"/>
  <c r="F41" i="20" s="1"/>
  <c r="E24" i="20"/>
  <c r="F24" i="20" s="1"/>
  <c r="F23" i="20"/>
  <c r="E23" i="20"/>
  <c r="E22" i="20"/>
  <c r="F22" i="20" s="1"/>
  <c r="E25" i="20"/>
  <c r="D19" i="20"/>
  <c r="D20" i="20"/>
  <c r="C19" i="20"/>
  <c r="C20" i="20"/>
  <c r="E20" i="20" s="1"/>
  <c r="E18" i="20"/>
  <c r="F18" i="20" s="1"/>
  <c r="D16" i="20"/>
  <c r="E16" i="20" s="1"/>
  <c r="C16" i="20"/>
  <c r="F16" i="20" s="1"/>
  <c r="E15" i="20"/>
  <c r="F15" i="20" s="1"/>
  <c r="F13" i="20"/>
  <c r="E13" i="20"/>
  <c r="F12" i="20"/>
  <c r="E12" i="20"/>
  <c r="C115" i="19"/>
  <c r="C105" i="19"/>
  <c r="C137" i="19" s="1"/>
  <c r="C139" i="19"/>
  <c r="C143" i="19"/>
  <c r="C96" i="19"/>
  <c r="C95" i="19"/>
  <c r="C89" i="19"/>
  <c r="C88" i="19"/>
  <c r="C83" i="19"/>
  <c r="C77" i="19"/>
  <c r="C78" i="19"/>
  <c r="C64" i="19"/>
  <c r="C63" i="19"/>
  <c r="C65" i="19" s="1"/>
  <c r="C114" i="19" s="1"/>
  <c r="C116" i="19" s="1"/>
  <c r="C119" i="19" s="1"/>
  <c r="C123" i="19" s="1"/>
  <c r="C59" i="19"/>
  <c r="C60" i="19" s="1"/>
  <c r="C48" i="19"/>
  <c r="C49" i="19" s="1"/>
  <c r="C36" i="19"/>
  <c r="C32" i="19"/>
  <c r="C33" i="19"/>
  <c r="C21" i="19"/>
  <c r="C37" i="19"/>
  <c r="E328" i="18"/>
  <c r="E325" i="18"/>
  <c r="D324" i="18"/>
  <c r="D326" i="18" s="1"/>
  <c r="C324" i="18"/>
  <c r="C326" i="18"/>
  <c r="C330" i="18" s="1"/>
  <c r="E318" i="18"/>
  <c r="E315" i="18"/>
  <c r="D314" i="18"/>
  <c r="D316" i="18"/>
  <c r="C314" i="18"/>
  <c r="C316" i="18" s="1"/>
  <c r="C320" i="18" s="1"/>
  <c r="E308" i="18"/>
  <c r="E305" i="18"/>
  <c r="D301" i="18"/>
  <c r="D303" i="18" s="1"/>
  <c r="C301" i="18"/>
  <c r="D293" i="18"/>
  <c r="E293" i="18" s="1"/>
  <c r="C293" i="18"/>
  <c r="D292" i="18"/>
  <c r="C292" i="18"/>
  <c r="E292" i="18" s="1"/>
  <c r="D291" i="18"/>
  <c r="E291" i="18"/>
  <c r="C291" i="18"/>
  <c r="D290" i="18"/>
  <c r="C290" i="18"/>
  <c r="E290" i="18" s="1"/>
  <c r="D288" i="18"/>
  <c r="C288" i="18"/>
  <c r="E288" i="18" s="1"/>
  <c r="D287" i="18"/>
  <c r="E287" i="18" s="1"/>
  <c r="C287" i="18"/>
  <c r="D282" i="18"/>
  <c r="C282" i="18"/>
  <c r="E282" i="18"/>
  <c r="D281" i="18"/>
  <c r="E281" i="18"/>
  <c r="C281" i="18"/>
  <c r="D280" i="18"/>
  <c r="C280" i="18"/>
  <c r="E280" i="18"/>
  <c r="D279" i="18"/>
  <c r="C279" i="18"/>
  <c r="E279" i="18" s="1"/>
  <c r="D278" i="18"/>
  <c r="E278" i="18" s="1"/>
  <c r="C278" i="18"/>
  <c r="D277" i="18"/>
  <c r="E277" i="18"/>
  <c r="C277" i="18"/>
  <c r="D276" i="18"/>
  <c r="C276" i="18"/>
  <c r="E276" i="18"/>
  <c r="E270" i="18"/>
  <c r="D265" i="18"/>
  <c r="D302" i="18" s="1"/>
  <c r="C265" i="18"/>
  <c r="C302" i="18" s="1"/>
  <c r="D262" i="18"/>
  <c r="E262" i="18" s="1"/>
  <c r="C262" i="18"/>
  <c r="C260" i="18"/>
  <c r="D251" i="18"/>
  <c r="C251" i="18"/>
  <c r="D233" i="18"/>
  <c r="C233" i="18"/>
  <c r="D232" i="18"/>
  <c r="E232" i="18" s="1"/>
  <c r="C232" i="18"/>
  <c r="D231" i="18"/>
  <c r="C231" i="18"/>
  <c r="E231" i="18" s="1"/>
  <c r="D230" i="18"/>
  <c r="E230" i="18" s="1"/>
  <c r="C230" i="18"/>
  <c r="D228" i="18"/>
  <c r="E228" i="18"/>
  <c r="C228" i="18"/>
  <c r="D227" i="18"/>
  <c r="C227" i="18"/>
  <c r="E227" i="18"/>
  <c r="D221" i="18"/>
  <c r="C221" i="18"/>
  <c r="C245" i="18" s="1"/>
  <c r="D220" i="18"/>
  <c r="D244" i="18"/>
  <c r="C220" i="18"/>
  <c r="C244" i="18" s="1"/>
  <c r="E220" i="18"/>
  <c r="D219" i="18"/>
  <c r="E219" i="18" s="1"/>
  <c r="C219" i="18"/>
  <c r="C243" i="18" s="1"/>
  <c r="E243" i="18" s="1"/>
  <c r="D218" i="18"/>
  <c r="D242" i="18" s="1"/>
  <c r="C218" i="18"/>
  <c r="C217" i="18" s="1"/>
  <c r="D216" i="18"/>
  <c r="D240" i="18" s="1"/>
  <c r="C216" i="18"/>
  <c r="C240" i="18"/>
  <c r="C253" i="18"/>
  <c r="D215" i="18"/>
  <c r="E215" i="18" s="1"/>
  <c r="C215" i="18"/>
  <c r="C239" i="18" s="1"/>
  <c r="E209" i="18"/>
  <c r="E208" i="18"/>
  <c r="E207" i="18"/>
  <c r="E206" i="18"/>
  <c r="D205" i="18"/>
  <c r="C205" i="18"/>
  <c r="C210" i="18"/>
  <c r="E204" i="18"/>
  <c r="E203" i="18"/>
  <c r="E197" i="18"/>
  <c r="E196" i="18"/>
  <c r="D195" i="18"/>
  <c r="C195" i="18"/>
  <c r="E194" i="18"/>
  <c r="E193" i="18"/>
  <c r="E192" i="18"/>
  <c r="E191" i="18"/>
  <c r="E190" i="18"/>
  <c r="D189" i="18"/>
  <c r="D188" i="18"/>
  <c r="D261" i="18" s="1"/>
  <c r="C188" i="18"/>
  <c r="E186" i="18"/>
  <c r="E185" i="18"/>
  <c r="D179" i="18"/>
  <c r="E179" i="18" s="1"/>
  <c r="C179" i="18"/>
  <c r="D178" i="18"/>
  <c r="E178" i="18" s="1"/>
  <c r="C178" i="18"/>
  <c r="D177" i="18"/>
  <c r="E177" i="18" s="1"/>
  <c r="C177" i="18"/>
  <c r="D176" i="18"/>
  <c r="C176" i="18"/>
  <c r="E176" i="18" s="1"/>
  <c r="D174" i="18"/>
  <c r="E174" i="18" s="1"/>
  <c r="C174" i="18"/>
  <c r="D173" i="18"/>
  <c r="E173" i="18"/>
  <c r="C173" i="18"/>
  <c r="D167" i="18"/>
  <c r="E167" i="18" s="1"/>
  <c r="C167" i="18"/>
  <c r="D166" i="18"/>
  <c r="C166" i="18"/>
  <c r="D165" i="18"/>
  <c r="E165" i="18" s="1"/>
  <c r="C165" i="18"/>
  <c r="D164" i="18"/>
  <c r="E164" i="18" s="1"/>
  <c r="C164" i="18"/>
  <c r="D162" i="18"/>
  <c r="C162" i="18"/>
  <c r="E162" i="18" s="1"/>
  <c r="D161" i="18"/>
  <c r="E161" i="18" s="1"/>
  <c r="C161" i="18"/>
  <c r="E155" i="18"/>
  <c r="E154" i="18"/>
  <c r="E153" i="18"/>
  <c r="E152" i="18"/>
  <c r="D151" i="18"/>
  <c r="D156" i="18" s="1"/>
  <c r="C151" i="18"/>
  <c r="C156" i="18" s="1"/>
  <c r="E150" i="18"/>
  <c r="E149" i="18"/>
  <c r="D144" i="18"/>
  <c r="D168" i="18" s="1"/>
  <c r="E143" i="18"/>
  <c r="E142" i="18"/>
  <c r="E141" i="18"/>
  <c r="E140" i="18"/>
  <c r="D139" i="18"/>
  <c r="D175" i="18" s="1"/>
  <c r="E175" i="18" s="1"/>
  <c r="C139" i="18"/>
  <c r="C163" i="18" s="1"/>
  <c r="E138" i="18"/>
  <c r="E137" i="18"/>
  <c r="D75" i="18"/>
  <c r="E75" i="18"/>
  <c r="C75" i="18"/>
  <c r="D74" i="18"/>
  <c r="C74" i="18"/>
  <c r="D73" i="18"/>
  <c r="E73" i="18" s="1"/>
  <c r="C73" i="18"/>
  <c r="D72" i="18"/>
  <c r="C72" i="18"/>
  <c r="E72" i="18"/>
  <c r="D71" i="18"/>
  <c r="D70" i="18"/>
  <c r="D76" i="18" s="1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E55" i="18" s="1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E42" i="18"/>
  <c r="D41" i="18"/>
  <c r="E41" i="18" s="1"/>
  <c r="C41" i="18"/>
  <c r="D40" i="18"/>
  <c r="E40" i="18" s="1"/>
  <c r="C40" i="18"/>
  <c r="D39" i="18"/>
  <c r="E39" i="18" s="1"/>
  <c r="C39" i="18"/>
  <c r="D38" i="18"/>
  <c r="E38" i="18" s="1"/>
  <c r="C38" i="18"/>
  <c r="D37" i="18"/>
  <c r="E37" i="18" s="1"/>
  <c r="C37" i="18"/>
  <c r="C43" i="18" s="1"/>
  <c r="C44" i="18" s="1"/>
  <c r="D36" i="18"/>
  <c r="E36" i="18" s="1"/>
  <c r="C36" i="18"/>
  <c r="D32" i="18"/>
  <c r="D33" i="18" s="1"/>
  <c r="D295" i="18" s="1"/>
  <c r="C32" i="18"/>
  <c r="E31" i="18"/>
  <c r="E30" i="18"/>
  <c r="E29" i="18"/>
  <c r="E28" i="18"/>
  <c r="E27" i="18"/>
  <c r="E26" i="18"/>
  <c r="E25" i="18"/>
  <c r="C284" i="18"/>
  <c r="D21" i="18"/>
  <c r="C21" i="18"/>
  <c r="C22" i="18" s="1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 s="1"/>
  <c r="C311" i="17"/>
  <c r="E308" i="17"/>
  <c r="F308" i="17" s="1"/>
  <c r="D307" i="17"/>
  <c r="E307" i="17"/>
  <c r="F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 s="1"/>
  <c r="C250" i="17"/>
  <c r="C306" i="17" s="1"/>
  <c r="E249" i="17"/>
  <c r="F249" i="17" s="1"/>
  <c r="E248" i="17"/>
  <c r="F248" i="17" s="1"/>
  <c r="F245" i="17"/>
  <c r="E245" i="17"/>
  <c r="F244" i="17"/>
  <c r="E244" i="17"/>
  <c r="E243" i="17"/>
  <c r="F243" i="17" s="1"/>
  <c r="D238" i="17"/>
  <c r="E238" i="17"/>
  <c r="F238" i="17" s="1"/>
  <c r="C238" i="17"/>
  <c r="C239" i="17" s="1"/>
  <c r="D237" i="17"/>
  <c r="D239" i="17" s="1"/>
  <c r="C237" i="17"/>
  <c r="E234" i="17"/>
  <c r="F234" i="17" s="1"/>
  <c r="F233" i="17"/>
  <c r="E233" i="17"/>
  <c r="D230" i="17"/>
  <c r="E230" i="17" s="1"/>
  <c r="C230" i="17"/>
  <c r="D229" i="17"/>
  <c r="C229" i="17"/>
  <c r="E228" i="17"/>
  <c r="F228" i="17" s="1"/>
  <c r="D226" i="17"/>
  <c r="D227" i="17"/>
  <c r="C226" i="17"/>
  <c r="C227" i="17"/>
  <c r="E225" i="17"/>
  <c r="F225" i="17" s="1"/>
  <c r="E224" i="17"/>
  <c r="F224" i="17" s="1"/>
  <c r="D223" i="17"/>
  <c r="C223" i="17"/>
  <c r="E222" i="17"/>
  <c r="F222" i="17" s="1"/>
  <c r="E221" i="17"/>
  <c r="F221" i="17" s="1"/>
  <c r="D204" i="17"/>
  <c r="C204" i="17"/>
  <c r="C285" i="17"/>
  <c r="D203" i="17"/>
  <c r="E203" i="17"/>
  <c r="F203" i="17" s="1"/>
  <c r="C203" i="17"/>
  <c r="C283" i="17"/>
  <c r="D198" i="17"/>
  <c r="C198" i="17"/>
  <c r="D191" i="17"/>
  <c r="D280" i="17" s="1"/>
  <c r="C191" i="17"/>
  <c r="C280" i="17"/>
  <c r="D189" i="17"/>
  <c r="D278" i="17"/>
  <c r="C189" i="17"/>
  <c r="C278" i="17" s="1"/>
  <c r="D188" i="17"/>
  <c r="C188" i="17"/>
  <c r="C277" i="17"/>
  <c r="D180" i="17"/>
  <c r="E180" i="17" s="1"/>
  <c r="C180" i="17"/>
  <c r="F179" i="17"/>
  <c r="D179" i="17"/>
  <c r="C179" i="17"/>
  <c r="F171" i="17"/>
  <c r="D171" i="17"/>
  <c r="E171" i="17" s="1"/>
  <c r="C171" i="17"/>
  <c r="C172" i="17" s="1"/>
  <c r="C173" i="17" s="1"/>
  <c r="F173" i="17" s="1"/>
  <c r="D170" i="17"/>
  <c r="E170" i="17"/>
  <c r="C170" i="17"/>
  <c r="F170" i="17" s="1"/>
  <c r="F169" i="17"/>
  <c r="E169" i="17"/>
  <c r="F168" i="17"/>
  <c r="E168" i="17"/>
  <c r="D165" i="17"/>
  <c r="E165" i="17" s="1"/>
  <c r="C165" i="17"/>
  <c r="F165" i="17" s="1"/>
  <c r="F164" i="17"/>
  <c r="D164" i="17"/>
  <c r="E164" i="17" s="1"/>
  <c r="C164" i="17"/>
  <c r="F163" i="17"/>
  <c r="E163" i="17"/>
  <c r="F158" i="17"/>
  <c r="D158" i="17"/>
  <c r="E158" i="17"/>
  <c r="C158" i="17"/>
  <c r="C159" i="17" s="1"/>
  <c r="F159" i="17" s="1"/>
  <c r="F157" i="17"/>
  <c r="E157" i="17"/>
  <c r="F156" i="17"/>
  <c r="E156" i="17"/>
  <c r="F155" i="17"/>
  <c r="D155" i="17"/>
  <c r="E155" i="17" s="1"/>
  <c r="C155" i="17"/>
  <c r="F154" i="17"/>
  <c r="E154" i="17"/>
  <c r="F153" i="17"/>
  <c r="E153" i="17"/>
  <c r="D145" i="17"/>
  <c r="E145" i="17" s="1"/>
  <c r="C145" i="17"/>
  <c r="D144" i="17"/>
  <c r="C144" i="17"/>
  <c r="C146" i="17"/>
  <c r="D136" i="17"/>
  <c r="E136" i="17" s="1"/>
  <c r="F136" i="17" s="1"/>
  <c r="C136" i="17"/>
  <c r="C137" i="17"/>
  <c r="D135" i="17"/>
  <c r="E135" i="17"/>
  <c r="F135" i="17" s="1"/>
  <c r="C135" i="17"/>
  <c r="E134" i="17"/>
  <c r="F134" i="17"/>
  <c r="E133" i="17"/>
  <c r="F133" i="17"/>
  <c r="D130" i="17"/>
  <c r="E130" i="17"/>
  <c r="F130" i="17" s="1"/>
  <c r="C130" i="17"/>
  <c r="D129" i="17"/>
  <c r="C129" i="17"/>
  <c r="E128" i="17"/>
  <c r="F128" i="17" s="1"/>
  <c r="D123" i="17"/>
  <c r="D192" i="17" s="1"/>
  <c r="C123" i="17"/>
  <c r="E122" i="17"/>
  <c r="F122" i="17" s="1"/>
  <c r="E121" i="17"/>
  <c r="F121" i="17" s="1"/>
  <c r="D120" i="17"/>
  <c r="E120" i="17" s="1"/>
  <c r="F120" i="17" s="1"/>
  <c r="C120" i="17"/>
  <c r="E119" i="17"/>
  <c r="F119" i="17" s="1"/>
  <c r="E118" i="17"/>
  <c r="F118" i="17" s="1"/>
  <c r="D110" i="17"/>
  <c r="E110" i="17" s="1"/>
  <c r="F110" i="17" s="1"/>
  <c r="C110" i="17"/>
  <c r="D109" i="17"/>
  <c r="C109" i="17"/>
  <c r="C111" i="17"/>
  <c r="D101" i="17"/>
  <c r="D102" i="17" s="1"/>
  <c r="C101" i="17"/>
  <c r="C102" i="17"/>
  <c r="D100" i="17"/>
  <c r="E100" i="17"/>
  <c r="F100" i="17" s="1"/>
  <c r="C100" i="17"/>
  <c r="E99" i="17"/>
  <c r="F99" i="17" s="1"/>
  <c r="E98" i="17"/>
  <c r="F98" i="17"/>
  <c r="D95" i="17"/>
  <c r="E95" i="17"/>
  <c r="F95" i="17" s="1"/>
  <c r="C95" i="17"/>
  <c r="D94" i="17"/>
  <c r="E94" i="17" s="1"/>
  <c r="C94" i="17"/>
  <c r="F94" i="17" s="1"/>
  <c r="E93" i="17"/>
  <c r="F93" i="17"/>
  <c r="D88" i="17"/>
  <c r="E88" i="17" s="1"/>
  <c r="F88" i="17" s="1"/>
  <c r="D89" i="17"/>
  <c r="E89" i="17" s="1"/>
  <c r="C88" i="17"/>
  <c r="C89" i="17" s="1"/>
  <c r="F87" i="17"/>
  <c r="E87" i="17"/>
  <c r="E86" i="17"/>
  <c r="F86" i="17" s="1"/>
  <c r="D85" i="17"/>
  <c r="E85" i="17"/>
  <c r="F85" i="17" s="1"/>
  <c r="C85" i="17"/>
  <c r="F84" i="17"/>
  <c r="E84" i="17"/>
  <c r="F83" i="17"/>
  <c r="E83" i="17"/>
  <c r="D76" i="17"/>
  <c r="D77" i="17"/>
  <c r="E77" i="17" s="1"/>
  <c r="C76" i="17"/>
  <c r="C77" i="17"/>
  <c r="E74" i="17"/>
  <c r="F74" i="17"/>
  <c r="E73" i="17"/>
  <c r="F73" i="17" s="1"/>
  <c r="D67" i="17"/>
  <c r="D68" i="17" s="1"/>
  <c r="C67" i="17"/>
  <c r="D66" i="17"/>
  <c r="C66" i="17"/>
  <c r="D59" i="17"/>
  <c r="D60" i="17"/>
  <c r="C59" i="17"/>
  <c r="C60" i="17" s="1"/>
  <c r="D58" i="17"/>
  <c r="C58" i="17"/>
  <c r="E57" i="17"/>
  <c r="F57" i="17"/>
  <c r="E56" i="17"/>
  <c r="F56" i="17" s="1"/>
  <c r="D53" i="17"/>
  <c r="C53" i="17"/>
  <c r="D52" i="17"/>
  <c r="C52" i="17"/>
  <c r="E51" i="17"/>
  <c r="F51" i="17"/>
  <c r="D47" i="17"/>
  <c r="D48" i="17" s="1"/>
  <c r="C47" i="17"/>
  <c r="C48" i="17" s="1"/>
  <c r="E46" i="17"/>
  <c r="F46" i="17" s="1"/>
  <c r="E45" i="17"/>
  <c r="F45" i="17" s="1"/>
  <c r="D44" i="17"/>
  <c r="E44" i="17" s="1"/>
  <c r="C44" i="17"/>
  <c r="E43" i="17"/>
  <c r="F43" i="17"/>
  <c r="E42" i="17"/>
  <c r="F42" i="17"/>
  <c r="D36" i="17"/>
  <c r="C36" i="17"/>
  <c r="E36" i="17"/>
  <c r="D35" i="17"/>
  <c r="C35" i="17"/>
  <c r="D30" i="17"/>
  <c r="D31" i="17"/>
  <c r="C30" i="17"/>
  <c r="C31" i="17"/>
  <c r="D29" i="17"/>
  <c r="E29" i="17" s="1"/>
  <c r="C29" i="17"/>
  <c r="E28" i="17"/>
  <c r="F28" i="17" s="1"/>
  <c r="E27" i="17"/>
  <c r="F27" i="17" s="1"/>
  <c r="D24" i="17"/>
  <c r="E24" i="17" s="1"/>
  <c r="C24" i="17"/>
  <c r="D23" i="17"/>
  <c r="C23" i="17"/>
  <c r="E23" i="17" s="1"/>
  <c r="E22" i="17"/>
  <c r="F22" i="17"/>
  <c r="D20" i="17"/>
  <c r="C20" i="17"/>
  <c r="E19" i="17"/>
  <c r="F19" i="17" s="1"/>
  <c r="E18" i="17"/>
  <c r="F18" i="17" s="1"/>
  <c r="D17" i="17"/>
  <c r="C17" i="17"/>
  <c r="E16" i="17"/>
  <c r="F16" i="17"/>
  <c r="E15" i="17"/>
  <c r="F15" i="17" s="1"/>
  <c r="D21" i="16"/>
  <c r="C21" i="16"/>
  <c r="E20" i="16"/>
  <c r="F20" i="16" s="1"/>
  <c r="D17" i="16"/>
  <c r="E17" i="16" s="1"/>
  <c r="C17" i="16"/>
  <c r="E16" i="16"/>
  <c r="F16" i="16" s="1"/>
  <c r="D13" i="16"/>
  <c r="E13" i="16" s="1"/>
  <c r="F13" i="16" s="1"/>
  <c r="C13" i="16"/>
  <c r="E12" i="16"/>
  <c r="F12" i="16" s="1"/>
  <c r="D107" i="15"/>
  <c r="C107" i="15"/>
  <c r="E107" i="15" s="1"/>
  <c r="F106" i="15"/>
  <c r="E106" i="15"/>
  <c r="F105" i="15"/>
  <c r="E105" i="15"/>
  <c r="F104" i="15"/>
  <c r="E104" i="15"/>
  <c r="D100" i="15"/>
  <c r="E100" i="15"/>
  <c r="F100" i="15" s="1"/>
  <c r="C100" i="15"/>
  <c r="F99" i="15"/>
  <c r="E99" i="15"/>
  <c r="F98" i="15"/>
  <c r="E98" i="15"/>
  <c r="E97" i="15"/>
  <c r="F97" i="15" s="1"/>
  <c r="F96" i="15"/>
  <c r="E96" i="15"/>
  <c r="F95" i="15"/>
  <c r="E95" i="15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E73" i="15"/>
  <c r="F73" i="15" s="1"/>
  <c r="E75" i="15"/>
  <c r="F75" i="15" s="1"/>
  <c r="D70" i="15"/>
  <c r="E70" i="15" s="1"/>
  <c r="F70" i="15" s="1"/>
  <c r="C70" i="15"/>
  <c r="E69" i="15"/>
  <c r="F69" i="15" s="1"/>
  <c r="F68" i="15"/>
  <c r="E68" i="15"/>
  <c r="D65" i="15"/>
  <c r="E65" i="15" s="1"/>
  <c r="F65" i="15" s="1"/>
  <c r="C65" i="15"/>
  <c r="E64" i="15"/>
  <c r="F64" i="15" s="1"/>
  <c r="E63" i="15"/>
  <c r="F63" i="15" s="1"/>
  <c r="D60" i="15"/>
  <c r="C60" i="15"/>
  <c r="F60" i="15" s="1"/>
  <c r="F59" i="15"/>
  <c r="E59" i="15"/>
  <c r="F58" i="15"/>
  <c r="E58" i="15"/>
  <c r="E60" i="15" s="1"/>
  <c r="D55" i="15"/>
  <c r="E55" i="15"/>
  <c r="C55" i="15"/>
  <c r="F55" i="15" s="1"/>
  <c r="F54" i="15"/>
  <c r="E54" i="15"/>
  <c r="F53" i="15"/>
  <c r="E53" i="15"/>
  <c r="D50" i="15"/>
  <c r="E50" i="15"/>
  <c r="C50" i="15"/>
  <c r="F50" i="15" s="1"/>
  <c r="F49" i="15"/>
  <c r="E49" i="15"/>
  <c r="F48" i="15"/>
  <c r="E48" i="15"/>
  <c r="D45" i="15"/>
  <c r="E45" i="15"/>
  <c r="C45" i="15"/>
  <c r="F45" i="15" s="1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D30" i="15"/>
  <c r="E30" i="15" s="1"/>
  <c r="F30" i="15" s="1"/>
  <c r="C30" i="15"/>
  <c r="F29" i="15"/>
  <c r="E29" i="15"/>
  <c r="F28" i="15"/>
  <c r="E28" i="15"/>
  <c r="F27" i="15"/>
  <c r="E27" i="15"/>
  <c r="F26" i="15"/>
  <c r="E26" i="15"/>
  <c r="D23" i="15"/>
  <c r="E23" i="15" s="1"/>
  <c r="F23" i="15" s="1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I17" i="14" s="1"/>
  <c r="G31" i="14"/>
  <c r="I31" i="14" s="1"/>
  <c r="F17" i="14"/>
  <c r="F33" i="14" s="1"/>
  <c r="E17" i="14"/>
  <c r="E31" i="14" s="1"/>
  <c r="D17" i="14"/>
  <c r="D33" i="14"/>
  <c r="D36" i="14" s="1"/>
  <c r="D38" i="14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 s="1"/>
  <c r="D77" i="13" s="1"/>
  <c r="C79" i="13"/>
  <c r="E78" i="13"/>
  <c r="E80" i="13" s="1"/>
  <c r="E77" i="13" s="1"/>
  <c r="D78" i="13"/>
  <c r="C78" i="13"/>
  <c r="C80" i="13" s="1"/>
  <c r="C77" i="13" s="1"/>
  <c r="D75" i="13"/>
  <c r="E73" i="13"/>
  <c r="E75" i="13" s="1"/>
  <c r="D73" i="13"/>
  <c r="C73" i="13"/>
  <c r="C75" i="13"/>
  <c r="E71" i="13"/>
  <c r="D71" i="13"/>
  <c r="C71" i="13"/>
  <c r="E66" i="13"/>
  <c r="D66" i="13"/>
  <c r="C66" i="13"/>
  <c r="E65" i="13"/>
  <c r="D65" i="13"/>
  <c r="C65" i="13"/>
  <c r="E60" i="13"/>
  <c r="D60" i="13"/>
  <c r="C60" i="13"/>
  <c r="E58" i="13"/>
  <c r="D58" i="13"/>
  <c r="C58" i="13"/>
  <c r="E55" i="13"/>
  <c r="D55" i="13"/>
  <c r="D50" i="13" s="1"/>
  <c r="C55" i="13"/>
  <c r="C50" i="13" s="1"/>
  <c r="E54" i="13"/>
  <c r="D54" i="13"/>
  <c r="C54" i="13"/>
  <c r="D48" i="13"/>
  <c r="D42" i="13"/>
  <c r="E46" i="13"/>
  <c r="E59" i="13" s="1"/>
  <c r="D46" i="13"/>
  <c r="D59" i="13"/>
  <c r="D61" i="13" s="1"/>
  <c r="D57" i="13" s="1"/>
  <c r="C46" i="13"/>
  <c r="C59" i="13" s="1"/>
  <c r="C61" i="13" s="1"/>
  <c r="C57" i="13" s="1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E25" i="13" s="1"/>
  <c r="E27" i="13" s="1"/>
  <c r="D13" i="13"/>
  <c r="C13" i="13"/>
  <c r="C25" i="13" s="1"/>
  <c r="C27" i="13" s="1"/>
  <c r="D47" i="12"/>
  <c r="E47" i="12" s="1"/>
  <c r="C47" i="12"/>
  <c r="F47" i="12" s="1"/>
  <c r="F46" i="12"/>
  <c r="E46" i="12"/>
  <c r="F45" i="12"/>
  <c r="E45" i="12"/>
  <c r="D40" i="12"/>
  <c r="E40" i="12"/>
  <c r="F40" i="12" s="1"/>
  <c r="C40" i="12"/>
  <c r="F39" i="12"/>
  <c r="E39" i="12"/>
  <c r="F38" i="12"/>
  <c r="E38" i="12"/>
  <c r="E37" i="12"/>
  <c r="F37" i="12" s="1"/>
  <c r="D32" i="12"/>
  <c r="E32" i="12" s="1"/>
  <c r="F32" i="12" s="1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F24" i="12"/>
  <c r="E24" i="12"/>
  <c r="E23" i="12"/>
  <c r="F23" i="12" s="1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E12" i="12"/>
  <c r="F12" i="12" s="1"/>
  <c r="E11" i="12"/>
  <c r="F11" i="12" s="1"/>
  <c r="D73" i="11"/>
  <c r="E73" i="11"/>
  <c r="F73" i="11" s="1"/>
  <c r="C73" i="1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D65" i="11" s="1"/>
  <c r="E65" i="11"/>
  <c r="C61" i="11"/>
  <c r="C65" i="11" s="1"/>
  <c r="C75" i="11" s="1"/>
  <c r="F60" i="11"/>
  <c r="E60" i="11"/>
  <c r="F59" i="11"/>
  <c r="E59" i="11"/>
  <c r="D56" i="11"/>
  <c r="C56" i="11"/>
  <c r="E55" i="11"/>
  <c r="F55" i="11" s="1"/>
  <c r="E54" i="11"/>
  <c r="F54" i="11"/>
  <c r="F53" i="11"/>
  <c r="E53" i="11"/>
  <c r="F52" i="11"/>
  <c r="E52" i="11"/>
  <c r="F51" i="11"/>
  <c r="E51" i="11"/>
  <c r="A51" i="11"/>
  <c r="A52" i="11"/>
  <c r="A53" i="11" s="1"/>
  <c r="A54" i="11" s="1"/>
  <c r="A55" i="11" s="1"/>
  <c r="E50" i="11"/>
  <c r="F50" i="11" s="1"/>
  <c r="A50" i="11"/>
  <c r="E49" i="11"/>
  <c r="F49" i="11" s="1"/>
  <c r="F40" i="11"/>
  <c r="E40" i="11"/>
  <c r="D38" i="11"/>
  <c r="D41" i="11"/>
  <c r="C38" i="11"/>
  <c r="C41" i="11"/>
  <c r="E37" i="11"/>
  <c r="F37" i="11" s="1"/>
  <c r="F36" i="11"/>
  <c r="E36" i="11"/>
  <c r="F33" i="11"/>
  <c r="E33" i="11"/>
  <c r="E32" i="11"/>
  <c r="F32" i="11" s="1"/>
  <c r="E31" i="11"/>
  <c r="F31" i="11" s="1"/>
  <c r="D29" i="11"/>
  <c r="E29" i="11" s="1"/>
  <c r="F29" i="11" s="1"/>
  <c r="C29" i="11"/>
  <c r="F28" i="11"/>
  <c r="E28" i="11"/>
  <c r="F27" i="11"/>
  <c r="E27" i="11"/>
  <c r="E26" i="11"/>
  <c r="F26" i="11" s="1"/>
  <c r="F25" i="11"/>
  <c r="E25" i="11"/>
  <c r="D22" i="11"/>
  <c r="E22" i="11" s="1"/>
  <c r="F22" i="11" s="1"/>
  <c r="D43" i="11"/>
  <c r="C22" i="1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E15" i="11"/>
  <c r="F15" i="11" s="1"/>
  <c r="F14" i="11"/>
  <c r="E14" i="11"/>
  <c r="E13" i="11"/>
  <c r="F13" i="11" s="1"/>
  <c r="D120" i="10"/>
  <c r="C120" i="10"/>
  <c r="E120" i="10" s="1"/>
  <c r="F120" i="10" s="1"/>
  <c r="D119" i="10"/>
  <c r="E119" i="10" s="1"/>
  <c r="C119" i="10"/>
  <c r="D118" i="10"/>
  <c r="E118" i="10"/>
  <c r="F118" i="10" s="1"/>
  <c r="C118" i="10"/>
  <c r="D117" i="10"/>
  <c r="E117" i="10" s="1"/>
  <c r="C117" i="10"/>
  <c r="D116" i="10"/>
  <c r="C116" i="10"/>
  <c r="E116" i="10" s="1"/>
  <c r="D115" i="10"/>
  <c r="E115" i="10" s="1"/>
  <c r="C115" i="10"/>
  <c r="D114" i="10"/>
  <c r="C114" i="10"/>
  <c r="E114" i="10" s="1"/>
  <c r="D113" i="10"/>
  <c r="D122" i="10" s="1"/>
  <c r="E122" i="10" s="1"/>
  <c r="C113" i="10"/>
  <c r="C122" i="10" s="1"/>
  <c r="D112" i="10"/>
  <c r="D121" i="10" s="1"/>
  <c r="C112" i="10"/>
  <c r="D108" i="10"/>
  <c r="C108" i="10"/>
  <c r="D107" i="10"/>
  <c r="E107" i="10"/>
  <c r="F107" i="10" s="1"/>
  <c r="C107" i="10"/>
  <c r="E106" i="10"/>
  <c r="F106" i="10" s="1"/>
  <c r="E105" i="10"/>
  <c r="F105" i="10" s="1"/>
  <c r="E104" i="10"/>
  <c r="F104" i="10" s="1"/>
  <c r="F103" i="10"/>
  <c r="E103" i="10"/>
  <c r="E102" i="10"/>
  <c r="F102" i="10" s="1"/>
  <c r="E101" i="10"/>
  <c r="F101" i="10" s="1"/>
  <c r="F100" i="10"/>
  <c r="E100" i="10"/>
  <c r="F99" i="10"/>
  <c r="E99" i="10"/>
  <c r="E98" i="10"/>
  <c r="F98" i="10" s="1"/>
  <c r="D96" i="10"/>
  <c r="C96" i="10"/>
  <c r="E96" i="10" s="1"/>
  <c r="D95" i="10"/>
  <c r="E95" i="10" s="1"/>
  <c r="C95" i="10"/>
  <c r="F95" i="10" s="1"/>
  <c r="E94" i="10"/>
  <c r="F94" i="10" s="1"/>
  <c r="E93" i="10"/>
  <c r="F93" i="10" s="1"/>
  <c r="F92" i="10"/>
  <c r="E92" i="10"/>
  <c r="E91" i="10"/>
  <c r="F91" i="10" s="1"/>
  <c r="E90" i="10"/>
  <c r="F90" i="10" s="1"/>
  <c r="E89" i="10"/>
  <c r="F89" i="10" s="1"/>
  <c r="F88" i="10"/>
  <c r="E88" i="10"/>
  <c r="E87" i="10"/>
  <c r="F87" i="10" s="1"/>
  <c r="E86" i="10"/>
  <c r="F86" i="10" s="1"/>
  <c r="F84" i="10"/>
  <c r="D84" i="10"/>
  <c r="E84" i="10"/>
  <c r="C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D71" i="10"/>
  <c r="E71" i="10" s="1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E59" i="10"/>
  <c r="F59" i="10" s="1"/>
  <c r="C59" i="10"/>
  <c r="E58" i="10"/>
  <c r="F58" i="10" s="1"/>
  <c r="E57" i="10"/>
  <c r="F57" i="10" s="1"/>
  <c r="F56" i="10"/>
  <c r="E56" i="10"/>
  <c r="F55" i="10"/>
  <c r="E55" i="10"/>
  <c r="E54" i="10"/>
  <c r="F54" i="10" s="1"/>
  <c r="E53" i="10"/>
  <c r="F53" i="10" s="1"/>
  <c r="F52" i="10"/>
  <c r="E52" i="10"/>
  <c r="F51" i="10"/>
  <c r="E51" i="10"/>
  <c r="E50" i="10"/>
  <c r="F50" i="10" s="1"/>
  <c r="D48" i="10"/>
  <c r="E48" i="10" s="1"/>
  <c r="C48" i="10"/>
  <c r="F48" i="10" s="1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F36" i="10" s="1"/>
  <c r="C36" i="10"/>
  <c r="D35" i="10"/>
  <c r="E35" i="10"/>
  <c r="C35" i="10"/>
  <c r="F34" i="10"/>
  <c r="E34" i="10"/>
  <c r="F33" i="10"/>
  <c r="E33" i="10"/>
  <c r="E32" i="10"/>
  <c r="F32" i="10" s="1"/>
  <c r="E31" i="10"/>
  <c r="F31" i="10" s="1"/>
  <c r="F30" i="10"/>
  <c r="E30" i="10"/>
  <c r="F29" i="10"/>
  <c r="E29" i="10"/>
  <c r="E28" i="10"/>
  <c r="F28" i="10" s="1"/>
  <c r="E27" i="10"/>
  <c r="F27" i="10" s="1"/>
  <c r="F26" i="10"/>
  <c r="E26" i="10"/>
  <c r="D24" i="10"/>
  <c r="C24" i="10"/>
  <c r="F24" i="10" s="1"/>
  <c r="D23" i="10"/>
  <c r="E23" i="10" s="1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 s="1"/>
  <c r="F205" i="9" s="1"/>
  <c r="C205" i="9"/>
  <c r="D204" i="9"/>
  <c r="E204" i="9" s="1"/>
  <c r="C204" i="9"/>
  <c r="D203" i="9"/>
  <c r="C203" i="9"/>
  <c r="D202" i="9"/>
  <c r="E202" i="9" s="1"/>
  <c r="C202" i="9"/>
  <c r="D201" i="9"/>
  <c r="C201" i="9"/>
  <c r="D200" i="9"/>
  <c r="E200" i="9"/>
  <c r="C200" i="9"/>
  <c r="F200" i="9" s="1"/>
  <c r="D199" i="9"/>
  <c r="D208" i="9" s="1"/>
  <c r="E208" i="9" s="1"/>
  <c r="C199" i="9"/>
  <c r="C208" i="9" s="1"/>
  <c r="D198" i="9"/>
  <c r="D207" i="9" s="1"/>
  <c r="E207" i="9" s="1"/>
  <c r="C198" i="9"/>
  <c r="C207" i="9" s="1"/>
  <c r="D193" i="9"/>
  <c r="C193" i="9"/>
  <c r="D192" i="9"/>
  <c r="E192" i="9"/>
  <c r="F192" i="9"/>
  <c r="C192" i="9"/>
  <c r="E191" i="9"/>
  <c r="F191" i="9" s="1"/>
  <c r="E190" i="9"/>
  <c r="F190" i="9" s="1"/>
  <c r="E189" i="9"/>
  <c r="F189" i="9" s="1"/>
  <c r="F188" i="9"/>
  <c r="E188" i="9"/>
  <c r="E187" i="9"/>
  <c r="F187" i="9" s="1"/>
  <c r="E186" i="9"/>
  <c r="F186" i="9" s="1"/>
  <c r="E185" i="9"/>
  <c r="F185" i="9" s="1"/>
  <c r="F184" i="9"/>
  <c r="E184" i="9"/>
  <c r="F183" i="9"/>
  <c r="E183" i="9"/>
  <c r="F180" i="9"/>
  <c r="D180" i="9"/>
  <c r="E180" i="9" s="1"/>
  <c r="C180" i="9"/>
  <c r="F179" i="9"/>
  <c r="D179" i="9"/>
  <c r="C179" i="9"/>
  <c r="E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/>
  <c r="C167" i="9"/>
  <c r="F167" i="9" s="1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F141" i="9" s="1"/>
  <c r="D140" i="9"/>
  <c r="E140" i="9"/>
  <c r="F140" i="9" s="1"/>
  <c r="C140" i="9"/>
  <c r="F139" i="9"/>
  <c r="E139" i="9"/>
  <c r="E138" i="9"/>
  <c r="F138" i="9" s="1"/>
  <c r="E137" i="9"/>
  <c r="F137" i="9" s="1"/>
  <c r="F136" i="9"/>
  <c r="E136" i="9"/>
  <c r="E135" i="9"/>
  <c r="F135" i="9" s="1"/>
  <c r="F134" i="9"/>
  <c r="E134" i="9"/>
  <c r="E133" i="9"/>
  <c r="F133" i="9" s="1"/>
  <c r="F132" i="9"/>
  <c r="E132" i="9"/>
  <c r="F131" i="9"/>
  <c r="E131" i="9"/>
  <c r="D128" i="9"/>
  <c r="E128" i="9" s="1"/>
  <c r="C128" i="9"/>
  <c r="D127" i="9"/>
  <c r="C127" i="9"/>
  <c r="E126" i="9"/>
  <c r="F126" i="9" s="1"/>
  <c r="E125" i="9"/>
  <c r="F125" i="9" s="1"/>
  <c r="F124" i="9"/>
  <c r="E124" i="9"/>
  <c r="F123" i="9"/>
  <c r="E123" i="9"/>
  <c r="E122" i="9"/>
  <c r="F122" i="9" s="1"/>
  <c r="E121" i="9"/>
  <c r="F121" i="9" s="1"/>
  <c r="F120" i="9"/>
  <c r="E120" i="9"/>
  <c r="E119" i="9"/>
  <c r="F119" i="9" s="1"/>
  <c r="E118" i="9"/>
  <c r="F118" i="9" s="1"/>
  <c r="D115" i="9"/>
  <c r="E115" i="9"/>
  <c r="F115" i="9"/>
  <c r="C115" i="9"/>
  <c r="D114" i="9"/>
  <c r="C114" i="9"/>
  <c r="E113" i="9"/>
  <c r="F113" i="9" s="1"/>
  <c r="F112" i="9"/>
  <c r="E112" i="9"/>
  <c r="F111" i="9"/>
  <c r="E111" i="9"/>
  <c r="F110" i="9"/>
  <c r="E110" i="9"/>
  <c r="E109" i="9"/>
  <c r="F109" i="9" s="1"/>
  <c r="F108" i="9"/>
  <c r="E108" i="9"/>
  <c r="F107" i="9"/>
  <c r="E107" i="9"/>
  <c r="E106" i="9"/>
  <c r="F106" i="9" s="1"/>
  <c r="E105" i="9"/>
  <c r="F105" i="9" s="1"/>
  <c r="D102" i="9"/>
  <c r="C102" i="9"/>
  <c r="D101" i="9"/>
  <c r="E101" i="9" s="1"/>
  <c r="C101" i="9"/>
  <c r="F100" i="9"/>
  <c r="E100" i="9"/>
  <c r="F99" i="9"/>
  <c r="E99" i="9"/>
  <c r="E98" i="9"/>
  <c r="F98" i="9" s="1"/>
  <c r="E97" i="9"/>
  <c r="F97" i="9" s="1"/>
  <c r="F96" i="9"/>
  <c r="E96" i="9"/>
  <c r="E95" i="9"/>
  <c r="F95" i="9" s="1"/>
  <c r="F94" i="9"/>
  <c r="E94" i="9"/>
  <c r="E93" i="9"/>
  <c r="F93" i="9" s="1"/>
  <c r="F92" i="9"/>
  <c r="E92" i="9"/>
  <c r="D89" i="9"/>
  <c r="C89" i="9"/>
  <c r="F89" i="9" s="1"/>
  <c r="D88" i="9"/>
  <c r="E88" i="9" s="1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E76" i="9" s="1"/>
  <c r="D75" i="9"/>
  <c r="E75" i="9" s="1"/>
  <c r="C75" i="9"/>
  <c r="E74" i="9"/>
  <c r="F74" i="9" s="1"/>
  <c r="E73" i="9"/>
  <c r="F73" i="9" s="1"/>
  <c r="F72" i="9"/>
  <c r="E72" i="9"/>
  <c r="E71" i="9"/>
  <c r="F71" i="9" s="1"/>
  <c r="E70" i="9"/>
  <c r="F70" i="9" s="1"/>
  <c r="E69" i="9"/>
  <c r="F69" i="9" s="1"/>
  <c r="F68" i="9"/>
  <c r="E68" i="9"/>
  <c r="E67" i="9"/>
  <c r="F67" i="9" s="1"/>
  <c r="E66" i="9"/>
  <c r="F66" i="9" s="1"/>
  <c r="F63" i="9"/>
  <c r="D63" i="9"/>
  <c r="E63" i="9" s="1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D49" i="9"/>
  <c r="C49" i="9"/>
  <c r="F48" i="9"/>
  <c r="E48" i="9"/>
  <c r="E47" i="9"/>
  <c r="F47" i="9" s="1"/>
  <c r="E46" i="9"/>
  <c r="F46" i="9" s="1"/>
  <c r="E45" i="9"/>
  <c r="F45" i="9" s="1"/>
  <c r="F44" i="9"/>
  <c r="E44" i="9"/>
  <c r="E43" i="9"/>
  <c r="F43" i="9" s="1"/>
  <c r="E42" i="9"/>
  <c r="F42" i="9" s="1"/>
  <c r="F41" i="9"/>
  <c r="E41" i="9"/>
  <c r="F40" i="9"/>
  <c r="E40" i="9"/>
  <c r="D37" i="9"/>
  <c r="C37" i="9"/>
  <c r="F37" i="9" s="1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E24" i="9" s="1"/>
  <c r="F24" i="9" s="1"/>
  <c r="D23" i="9"/>
  <c r="E23" i="9" s="1"/>
  <c r="C23" i="9"/>
  <c r="E22" i="9"/>
  <c r="F22" i="9" s="1"/>
  <c r="F21" i="9"/>
  <c r="E21" i="9"/>
  <c r="F20" i="9"/>
  <c r="E20" i="9"/>
  <c r="E19" i="9"/>
  <c r="F19" i="9" s="1"/>
  <c r="E18" i="9"/>
  <c r="F18" i="9" s="1"/>
  <c r="F17" i="9"/>
  <c r="E17" i="9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C164" i="8"/>
  <c r="C160" i="8" s="1"/>
  <c r="C166" i="8" s="1"/>
  <c r="E162" i="8"/>
  <c r="D162" i="8"/>
  <c r="C162" i="8"/>
  <c r="E161" i="8"/>
  <c r="D161" i="8"/>
  <c r="C161" i="8"/>
  <c r="E160" i="8"/>
  <c r="E166" i="8" s="1"/>
  <c r="D160" i="8"/>
  <c r="D166" i="8" s="1"/>
  <c r="D155" i="8" s="1"/>
  <c r="E147" i="8"/>
  <c r="E143" i="8" s="1"/>
  <c r="D147" i="8"/>
  <c r="C147" i="8"/>
  <c r="E145" i="8"/>
  <c r="E149" i="8" s="1"/>
  <c r="D145" i="8"/>
  <c r="C145" i="8"/>
  <c r="E144" i="8"/>
  <c r="D144" i="8"/>
  <c r="C144" i="8"/>
  <c r="D143" i="8"/>
  <c r="D149" i="8"/>
  <c r="C143" i="8"/>
  <c r="E126" i="8"/>
  <c r="D126" i="8"/>
  <c r="C126" i="8"/>
  <c r="E119" i="8"/>
  <c r="D119" i="8"/>
  <c r="C119" i="8"/>
  <c r="E108" i="8"/>
  <c r="D108" i="8"/>
  <c r="C108" i="8"/>
  <c r="E107" i="8"/>
  <c r="D107" i="8"/>
  <c r="D109" i="8"/>
  <c r="D106" i="8" s="1"/>
  <c r="C107" i="8"/>
  <c r="C109" i="8" s="1"/>
  <c r="C106" i="8" s="1"/>
  <c r="E102" i="8"/>
  <c r="E104" i="8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C86" i="8" s="1"/>
  <c r="E84" i="8"/>
  <c r="D84" i="8"/>
  <c r="C84" i="8"/>
  <c r="E83" i="8"/>
  <c r="D83" i="8"/>
  <c r="C83" i="8"/>
  <c r="E79" i="8"/>
  <c r="D79" i="8"/>
  <c r="E75" i="8"/>
  <c r="E88" i="8"/>
  <c r="E90" i="8" s="1"/>
  <c r="E86" i="8" s="1"/>
  <c r="D75" i="8"/>
  <c r="D88" i="8" s="1"/>
  <c r="D90" i="8" s="1"/>
  <c r="D86" i="8" s="1"/>
  <c r="C75" i="8"/>
  <c r="C88" i="8"/>
  <c r="C90" i="8" s="1"/>
  <c r="E74" i="8"/>
  <c r="D74" i="8"/>
  <c r="C74" i="8"/>
  <c r="E67" i="8"/>
  <c r="D67" i="8"/>
  <c r="C67" i="8"/>
  <c r="E38" i="8"/>
  <c r="E57" i="8"/>
  <c r="E62" i="8" s="1"/>
  <c r="D38" i="8"/>
  <c r="D53" i="8"/>
  <c r="C38" i="8"/>
  <c r="C57" i="8" s="1"/>
  <c r="C62" i="8" s="1"/>
  <c r="E33" i="8"/>
  <c r="E34" i="8"/>
  <c r="D33" i="8"/>
  <c r="D34" i="8" s="1"/>
  <c r="E26" i="8"/>
  <c r="D26" i="8"/>
  <c r="C26" i="8"/>
  <c r="E13" i="8"/>
  <c r="E25" i="8" s="1"/>
  <c r="E27" i="8"/>
  <c r="E21" i="8" s="1"/>
  <c r="D13" i="8"/>
  <c r="D25" i="8"/>
  <c r="D27" i="8" s="1"/>
  <c r="C13" i="8"/>
  <c r="C25" i="8" s="1"/>
  <c r="C27" i="8" s="1"/>
  <c r="E186" i="7"/>
  <c r="F186" i="7" s="1"/>
  <c r="D183" i="7"/>
  <c r="D188" i="7" s="1"/>
  <c r="C183" i="7"/>
  <c r="E182" i="7"/>
  <c r="F182" i="7" s="1"/>
  <c r="F181" i="7"/>
  <c r="E181" i="7"/>
  <c r="F180" i="7"/>
  <c r="E180" i="7"/>
  <c r="F179" i="7"/>
  <c r="E179" i="7"/>
  <c r="F178" i="7"/>
  <c r="E178" i="7"/>
  <c r="F177" i="7"/>
  <c r="E177" i="7"/>
  <c r="F176" i="7"/>
  <c r="E176" i="7"/>
  <c r="E175" i="7"/>
  <c r="F175" i="7" s="1"/>
  <c r="E174" i="7"/>
  <c r="F174" i="7" s="1"/>
  <c r="E173" i="7"/>
  <c r="F173" i="7" s="1"/>
  <c r="F172" i="7"/>
  <c r="E172" i="7"/>
  <c r="E171" i="7"/>
  <c r="F171" i="7" s="1"/>
  <c r="E170" i="7"/>
  <c r="F170" i="7" s="1"/>
  <c r="D167" i="7"/>
  <c r="C167" i="7"/>
  <c r="E166" i="7"/>
  <c r="F166" i="7"/>
  <c r="F165" i="7"/>
  <c r="E165" i="7"/>
  <c r="E164" i="7"/>
  <c r="F164" i="7"/>
  <c r="F163" i="7"/>
  <c r="E163" i="7"/>
  <c r="F162" i="7"/>
  <c r="E162" i="7"/>
  <c r="E161" i="7"/>
  <c r="F161" i="7" s="1"/>
  <c r="E160" i="7"/>
  <c r="F160" i="7"/>
  <c r="F159" i="7"/>
  <c r="E159" i="7"/>
  <c r="E158" i="7"/>
  <c r="F158" i="7"/>
  <c r="E157" i="7"/>
  <c r="F157" i="7" s="1"/>
  <c r="E156" i="7"/>
  <c r="F156" i="7"/>
  <c r="F155" i="7"/>
  <c r="E155" i="7"/>
  <c r="F154" i="7"/>
  <c r="E154" i="7"/>
  <c r="F153" i="7"/>
  <c r="E153" i="7"/>
  <c r="E152" i="7"/>
  <c r="F152" i="7"/>
  <c r="F151" i="7"/>
  <c r="E151" i="7"/>
  <c r="E150" i="7"/>
  <c r="F150" i="7"/>
  <c r="F149" i="7"/>
  <c r="E149" i="7"/>
  <c r="F148" i="7"/>
  <c r="E148" i="7"/>
  <c r="E147" i="7"/>
  <c r="F147" i="7"/>
  <c r="E146" i="7"/>
  <c r="F146" i="7"/>
  <c r="F145" i="7"/>
  <c r="E145" i="7"/>
  <c r="E144" i="7"/>
  <c r="F144" i="7"/>
  <c r="F143" i="7"/>
  <c r="E143" i="7"/>
  <c r="E142" i="7"/>
  <c r="F142" i="7"/>
  <c r="E141" i="7"/>
  <c r="F141" i="7" s="1"/>
  <c r="E140" i="7"/>
  <c r="F140" i="7"/>
  <c r="E139" i="7"/>
  <c r="F139" i="7"/>
  <c r="E138" i="7"/>
  <c r="F138" i="7" s="1"/>
  <c r="E137" i="7"/>
  <c r="F137" i="7" s="1"/>
  <c r="F136" i="7"/>
  <c r="E136" i="7"/>
  <c r="E135" i="7"/>
  <c r="F135" i="7"/>
  <c r="E134" i="7"/>
  <c r="F134" i="7"/>
  <c r="E133" i="7"/>
  <c r="F133" i="7" s="1"/>
  <c r="D130" i="7"/>
  <c r="C130" i="7"/>
  <c r="E129" i="7"/>
  <c r="F129" i="7"/>
  <c r="E128" i="7"/>
  <c r="F128" i="7" s="1"/>
  <c r="E127" i="7"/>
  <c r="F127" i="7" s="1"/>
  <c r="E126" i="7"/>
  <c r="F126" i="7"/>
  <c r="F125" i="7"/>
  <c r="E125" i="7"/>
  <c r="E124" i="7"/>
  <c r="F124" i="7" s="1"/>
  <c r="D121" i="7"/>
  <c r="C121" i="7"/>
  <c r="E120" i="7"/>
  <c r="F120" i="7"/>
  <c r="E119" i="7"/>
  <c r="F119" i="7"/>
  <c r="E118" i="7"/>
  <c r="F118" i="7" s="1"/>
  <c r="E117" i="7"/>
  <c r="F117" i="7" s="1"/>
  <c r="E116" i="7"/>
  <c r="F116" i="7"/>
  <c r="E115" i="7"/>
  <c r="F115" i="7"/>
  <c r="E114" i="7"/>
  <c r="F114" i="7"/>
  <c r="E113" i="7"/>
  <c r="F113" i="7" s="1"/>
  <c r="E112" i="7"/>
  <c r="F112" i="7"/>
  <c r="E111" i="7"/>
  <c r="F111" i="7"/>
  <c r="E110" i="7"/>
  <c r="F110" i="7" s="1"/>
  <c r="E109" i="7"/>
  <c r="F109" i="7" s="1"/>
  <c r="E108" i="7"/>
  <c r="F108" i="7"/>
  <c r="E107" i="7"/>
  <c r="F107" i="7"/>
  <c r="E106" i="7"/>
  <c r="F106" i="7"/>
  <c r="E105" i="7"/>
  <c r="F105" i="7" s="1"/>
  <c r="E104" i="7"/>
  <c r="F104" i="7"/>
  <c r="E103" i="7"/>
  <c r="F103" i="7"/>
  <c r="F93" i="7"/>
  <c r="E93" i="7"/>
  <c r="D90" i="7"/>
  <c r="E90" i="7" s="1"/>
  <c r="C90" i="7"/>
  <c r="E89" i="7"/>
  <c r="F89" i="7"/>
  <c r="E88" i="7"/>
  <c r="F88" i="7"/>
  <c r="E87" i="7"/>
  <c r="F87" i="7"/>
  <c r="E86" i="7"/>
  <c r="F86" i="7" s="1"/>
  <c r="F85" i="7"/>
  <c r="E85" i="7"/>
  <c r="E84" i="7"/>
  <c r="F84" i="7"/>
  <c r="E83" i="7"/>
  <c r="F83" i="7" s="1"/>
  <c r="E82" i="7"/>
  <c r="F82" i="7" s="1"/>
  <c r="E81" i="7"/>
  <c r="F81" i="7"/>
  <c r="E80" i="7"/>
  <c r="F80" i="7"/>
  <c r="E79" i="7"/>
  <c r="F79" i="7"/>
  <c r="E78" i="7"/>
  <c r="F78" i="7" s="1"/>
  <c r="F77" i="7"/>
  <c r="E77" i="7"/>
  <c r="E76" i="7"/>
  <c r="F76" i="7"/>
  <c r="E75" i="7"/>
  <c r="F75" i="7" s="1"/>
  <c r="E74" i="7"/>
  <c r="F74" i="7" s="1"/>
  <c r="E73" i="7"/>
  <c r="F73" i="7"/>
  <c r="E72" i="7"/>
  <c r="F72" i="7"/>
  <c r="E71" i="7"/>
  <c r="F71" i="7" s="1"/>
  <c r="E70" i="7"/>
  <c r="F70" i="7" s="1"/>
  <c r="E69" i="7"/>
  <c r="F69" i="7"/>
  <c r="E68" i="7"/>
  <c r="F68" i="7"/>
  <c r="E67" i="7"/>
  <c r="F67" i="7" s="1"/>
  <c r="E66" i="7"/>
  <c r="F66" i="7" s="1"/>
  <c r="E65" i="7"/>
  <c r="F65" i="7"/>
  <c r="E64" i="7"/>
  <c r="F64" i="7"/>
  <c r="E63" i="7"/>
  <c r="F63" i="7" s="1"/>
  <c r="E62" i="7"/>
  <c r="F62" i="7" s="1"/>
  <c r="D59" i="7"/>
  <c r="C59" i="7"/>
  <c r="E58" i="7"/>
  <c r="F58" i="7" s="1"/>
  <c r="F57" i="7"/>
  <c r="E57" i="7"/>
  <c r="E56" i="7"/>
  <c r="F56" i="7" s="1"/>
  <c r="E55" i="7"/>
  <c r="F55" i="7" s="1"/>
  <c r="E54" i="7"/>
  <c r="F54" i="7" s="1"/>
  <c r="F53" i="7"/>
  <c r="E53" i="7"/>
  <c r="E50" i="7"/>
  <c r="F50" i="7" s="1"/>
  <c r="E47" i="7"/>
  <c r="F47" i="7" s="1"/>
  <c r="F44" i="7"/>
  <c r="E44" i="7"/>
  <c r="D41" i="7"/>
  <c r="C41" i="7"/>
  <c r="E40" i="7"/>
  <c r="F40" i="7" s="1"/>
  <c r="E39" i="7"/>
  <c r="F39" i="7" s="1"/>
  <c r="F38" i="7"/>
  <c r="E38" i="7"/>
  <c r="D35" i="7"/>
  <c r="C35" i="7"/>
  <c r="E34" i="7"/>
  <c r="F34" i="7" s="1"/>
  <c r="F33" i="7"/>
  <c r="E33" i="7"/>
  <c r="D30" i="7"/>
  <c r="E30" i="7"/>
  <c r="C30" i="7"/>
  <c r="F29" i="7"/>
  <c r="E29" i="7"/>
  <c r="F28" i="7"/>
  <c r="E28" i="7"/>
  <c r="E27" i="7"/>
  <c r="F27" i="7" s="1"/>
  <c r="D24" i="7"/>
  <c r="C24" i="7"/>
  <c r="E24" i="7" s="1"/>
  <c r="F23" i="7"/>
  <c r="E23" i="7"/>
  <c r="E22" i="7"/>
  <c r="F22" i="7" s="1"/>
  <c r="E21" i="7"/>
  <c r="F21" i="7" s="1"/>
  <c r="D18" i="7"/>
  <c r="E18" i="7" s="1"/>
  <c r="F18" i="7" s="1"/>
  <c r="C18" i="7"/>
  <c r="E17" i="7"/>
  <c r="F17" i="7" s="1"/>
  <c r="E16" i="7"/>
  <c r="F16" i="7" s="1"/>
  <c r="E15" i="7"/>
  <c r="F15" i="7" s="1"/>
  <c r="D179" i="6"/>
  <c r="E179" i="6" s="1"/>
  <c r="C179" i="6"/>
  <c r="F178" i="6"/>
  <c r="E178" i="6"/>
  <c r="F177" i="6"/>
  <c r="E177" i="6"/>
  <c r="E176" i="6"/>
  <c r="F176" i="6" s="1"/>
  <c r="F175" i="6"/>
  <c r="E175" i="6"/>
  <c r="F174" i="6"/>
  <c r="E174" i="6"/>
  <c r="E173" i="6"/>
  <c r="F173" i="6" s="1"/>
  <c r="E172" i="6"/>
  <c r="F172" i="6" s="1"/>
  <c r="F171" i="6"/>
  <c r="E171" i="6"/>
  <c r="F170" i="6"/>
  <c r="E170" i="6"/>
  <c r="E169" i="6"/>
  <c r="F169" i="6" s="1"/>
  <c r="E168" i="6"/>
  <c r="F168" i="6" s="1"/>
  <c r="D166" i="6"/>
  <c r="E166" i="6" s="1"/>
  <c r="F166" i="6" s="1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C153" i="6"/>
  <c r="F152" i="6"/>
  <c r="E152" i="6"/>
  <c r="F151" i="6"/>
  <c r="E151" i="6"/>
  <c r="F150" i="6"/>
  <c r="E150" i="6"/>
  <c r="E149" i="6"/>
  <c r="F149" i="6" s="1"/>
  <c r="E148" i="6"/>
  <c r="F148" i="6" s="1"/>
  <c r="F147" i="6"/>
  <c r="E147" i="6"/>
  <c r="F146" i="6"/>
  <c r="E146" i="6"/>
  <c r="E145" i="6"/>
  <c r="F145" i="6" s="1"/>
  <c r="E144" i="6"/>
  <c r="F144" i="6" s="1"/>
  <c r="F143" i="6"/>
  <c r="E143" i="6"/>
  <c r="F142" i="6"/>
  <c r="E142" i="6"/>
  <c r="D137" i="6"/>
  <c r="C137" i="6"/>
  <c r="F136" i="6"/>
  <c r="E136" i="6"/>
  <c r="F135" i="6"/>
  <c r="E135" i="6"/>
  <c r="E134" i="6"/>
  <c r="F134" i="6" s="1"/>
  <c r="E133" i="6"/>
  <c r="F133" i="6" s="1"/>
  <c r="F132" i="6"/>
  <c r="E132" i="6"/>
  <c r="F131" i="6"/>
  <c r="E131" i="6"/>
  <c r="E130" i="6"/>
  <c r="F130" i="6" s="1"/>
  <c r="E129" i="6"/>
  <c r="F129" i="6" s="1"/>
  <c r="F128" i="6"/>
  <c r="E128" i="6"/>
  <c r="F127" i="6"/>
  <c r="E127" i="6"/>
  <c r="E126" i="6"/>
  <c r="F126" i="6" s="1"/>
  <c r="D124" i="6"/>
  <c r="E124" i="6"/>
  <c r="F124" i="6" s="1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 s="1"/>
  <c r="F111" i="6"/>
  <c r="C111" i="6"/>
  <c r="F110" i="6"/>
  <c r="E110" i="6"/>
  <c r="F109" i="6"/>
  <c r="E109" i="6"/>
  <c r="F108" i="6"/>
  <c r="E108" i="6"/>
  <c r="F107" i="6"/>
  <c r="E107" i="6"/>
  <c r="F106" i="6"/>
  <c r="E106" i="6"/>
  <c r="E105" i="6"/>
  <c r="F105" i="6" s="1"/>
  <c r="F104" i="6"/>
  <c r="E104" i="6"/>
  <c r="F103" i="6"/>
  <c r="E103" i="6"/>
  <c r="F102" i="6"/>
  <c r="E102" i="6"/>
  <c r="E101" i="6"/>
  <c r="F101" i="6" s="1"/>
  <c r="F100" i="6"/>
  <c r="E100" i="6"/>
  <c r="F94" i="6"/>
  <c r="D94" i="6"/>
  <c r="E94" i="6"/>
  <c r="C94" i="6"/>
  <c r="F93" i="6"/>
  <c r="D93" i="6"/>
  <c r="E93" i="6" s="1"/>
  <c r="C93" i="6"/>
  <c r="D92" i="6"/>
  <c r="C92" i="6"/>
  <c r="C95" i="6" s="1"/>
  <c r="D91" i="6"/>
  <c r="E91" i="6" s="1"/>
  <c r="F91" i="6" s="1"/>
  <c r="C91" i="6"/>
  <c r="D90" i="6"/>
  <c r="C90" i="6"/>
  <c r="D89" i="6"/>
  <c r="E89" i="6"/>
  <c r="F89" i="6" s="1"/>
  <c r="C89" i="6"/>
  <c r="D88" i="6"/>
  <c r="C88" i="6"/>
  <c r="D87" i="6"/>
  <c r="E87" i="6"/>
  <c r="F87" i="6" s="1"/>
  <c r="C87" i="6"/>
  <c r="D86" i="6"/>
  <c r="E86" i="6" s="1"/>
  <c r="F86" i="6"/>
  <c r="C86" i="6"/>
  <c r="D85" i="6"/>
  <c r="E85" i="6"/>
  <c r="F85" i="6" s="1"/>
  <c r="C85" i="6"/>
  <c r="D84" i="6"/>
  <c r="C84" i="6"/>
  <c r="D81" i="6"/>
  <c r="E81" i="6" s="1"/>
  <c r="C81" i="6"/>
  <c r="F80" i="6"/>
  <c r="E80" i="6"/>
  <c r="F79" i="6"/>
  <c r="E79" i="6"/>
  <c r="F78" i="6"/>
  <c r="E78" i="6"/>
  <c r="E77" i="6"/>
  <c r="F77" i="6" s="1"/>
  <c r="E76" i="6"/>
  <c r="F76" i="6" s="1"/>
  <c r="F75" i="6"/>
  <c r="E75" i="6"/>
  <c r="F74" i="6"/>
  <c r="E74" i="6"/>
  <c r="E73" i="6"/>
  <c r="F73" i="6" s="1"/>
  <c r="E72" i="6"/>
  <c r="F72" i="6" s="1"/>
  <c r="F71" i="6"/>
  <c r="E71" i="6"/>
  <c r="F70" i="6"/>
  <c r="E70" i="6"/>
  <c r="D68" i="6"/>
  <c r="E68" i="6"/>
  <c r="C68" i="6"/>
  <c r="F67" i="6"/>
  <c r="E67" i="6"/>
  <c r="F66" i="6"/>
  <c r="E66" i="6"/>
  <c r="E65" i="6"/>
  <c r="F65" i="6" s="1"/>
  <c r="E64" i="6"/>
  <c r="F64" i="6" s="1"/>
  <c r="F63" i="6"/>
  <c r="E63" i="6"/>
  <c r="F62" i="6"/>
  <c r="E62" i="6"/>
  <c r="E61" i="6"/>
  <c r="F61" i="6" s="1"/>
  <c r="E60" i="6"/>
  <c r="F60" i="6" s="1"/>
  <c r="E59" i="6"/>
  <c r="F59" i="6" s="1"/>
  <c r="F58" i="6"/>
  <c r="E58" i="6"/>
  <c r="E57" i="6"/>
  <c r="F57" i="6" s="1"/>
  <c r="D51" i="6"/>
  <c r="E51" i="6" s="1"/>
  <c r="C51" i="6"/>
  <c r="F51" i="6" s="1"/>
  <c r="D50" i="6"/>
  <c r="C50" i="6"/>
  <c r="F50" i="6" s="1"/>
  <c r="D49" i="6"/>
  <c r="E49" i="6"/>
  <c r="F49" i="6" s="1"/>
  <c r="C49" i="6"/>
  <c r="D48" i="6"/>
  <c r="E48" i="6" s="1"/>
  <c r="C48" i="6"/>
  <c r="D47" i="6"/>
  <c r="E47" i="6"/>
  <c r="F47" i="6"/>
  <c r="C47" i="6"/>
  <c r="D46" i="6"/>
  <c r="E46" i="6" s="1"/>
  <c r="C46" i="6"/>
  <c r="D45" i="6"/>
  <c r="C45" i="6"/>
  <c r="E45" i="6" s="1"/>
  <c r="D44" i="6"/>
  <c r="C44" i="6"/>
  <c r="D43" i="6"/>
  <c r="E43" i="6"/>
  <c r="F43" i="6"/>
  <c r="C43" i="6"/>
  <c r="D42" i="6"/>
  <c r="C42" i="6"/>
  <c r="D41" i="6"/>
  <c r="D52" i="6"/>
  <c r="C41" i="6"/>
  <c r="D38" i="6"/>
  <c r="E38" i="6" s="1"/>
  <c r="F38" i="6"/>
  <c r="C38" i="6"/>
  <c r="F37" i="6"/>
  <c r="E37" i="6"/>
  <c r="F36" i="6"/>
  <c r="E36" i="6"/>
  <c r="F35" i="6"/>
  <c r="E35" i="6"/>
  <c r="F34" i="6"/>
  <c r="E34" i="6"/>
  <c r="E33" i="6"/>
  <c r="F33" i="6" s="1"/>
  <c r="F32" i="6"/>
  <c r="E32" i="6"/>
  <c r="F31" i="6"/>
  <c r="E31" i="6"/>
  <c r="F30" i="6"/>
  <c r="E30" i="6"/>
  <c r="E29" i="6"/>
  <c r="F29" i="6" s="1"/>
  <c r="F28" i="6"/>
  <c r="E28" i="6"/>
  <c r="F27" i="6"/>
  <c r="E27" i="6"/>
  <c r="D25" i="6"/>
  <c r="C25" i="6"/>
  <c r="F24" i="6"/>
  <c r="E24" i="6"/>
  <c r="F23" i="6"/>
  <c r="E23" i="6"/>
  <c r="F22" i="6"/>
  <c r="E22" i="6"/>
  <c r="E21" i="6"/>
  <c r="F21" i="6" s="1"/>
  <c r="F20" i="6"/>
  <c r="E20" i="6"/>
  <c r="F19" i="6"/>
  <c r="E19" i="6"/>
  <c r="F18" i="6"/>
  <c r="E18" i="6"/>
  <c r="E17" i="6"/>
  <c r="F17" i="6" s="1"/>
  <c r="F16" i="6"/>
  <c r="E16" i="6"/>
  <c r="F15" i="6"/>
  <c r="E15" i="6"/>
  <c r="F14" i="6"/>
  <c r="E14" i="6"/>
  <c r="E51" i="5"/>
  <c r="F51" i="5" s="1"/>
  <c r="D48" i="5"/>
  <c r="E48" i="5" s="1"/>
  <c r="C48" i="5"/>
  <c r="F48" i="5" s="1"/>
  <c r="F47" i="5"/>
  <c r="E47" i="5"/>
  <c r="F46" i="5"/>
  <c r="E46" i="5"/>
  <c r="D41" i="5"/>
  <c r="E41" i="5"/>
  <c r="F41" i="5" s="1"/>
  <c r="C41" i="5"/>
  <c r="F40" i="5"/>
  <c r="E40" i="5"/>
  <c r="F39" i="5"/>
  <c r="E39" i="5"/>
  <c r="F38" i="5"/>
  <c r="E38" i="5"/>
  <c r="D33" i="5"/>
  <c r="E33" i="5" s="1"/>
  <c r="F33" i="5" s="1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 s="1"/>
  <c r="C16" i="5"/>
  <c r="F15" i="5"/>
  <c r="E15" i="5"/>
  <c r="F14" i="5"/>
  <c r="E14" i="5"/>
  <c r="F13" i="5"/>
  <c r="E13" i="5"/>
  <c r="F12" i="5"/>
  <c r="E12" i="5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F63" i="4"/>
  <c r="E63" i="4"/>
  <c r="D61" i="4"/>
  <c r="D65" i="4" s="1"/>
  <c r="C61" i="4"/>
  <c r="C65" i="4"/>
  <c r="C75" i="4" s="1"/>
  <c r="E60" i="4"/>
  <c r="F60" i="4" s="1"/>
  <c r="F59" i="4"/>
  <c r="E59" i="4"/>
  <c r="D56" i="4"/>
  <c r="D75" i="4" s="1"/>
  <c r="C56" i="4"/>
  <c r="F55" i="4"/>
  <c r="E55" i="4"/>
  <c r="E54" i="4"/>
  <c r="F54" i="4"/>
  <c r="E53" i="4"/>
  <c r="F53" i="4" s="1"/>
  <c r="F52" i="4"/>
  <c r="E52" i="4"/>
  <c r="F51" i="4"/>
  <c r="E51" i="4"/>
  <c r="A54" i="4"/>
  <c r="A55" i="4" s="1"/>
  <c r="E50" i="4"/>
  <c r="F50" i="4"/>
  <c r="A50" i="4"/>
  <c r="A51" i="4" s="1"/>
  <c r="A52" i="4" s="1"/>
  <c r="A53" i="4" s="1"/>
  <c r="E49" i="4"/>
  <c r="F49" i="4" s="1"/>
  <c r="E40" i="4"/>
  <c r="F40" i="4" s="1"/>
  <c r="D38" i="4"/>
  <c r="E38" i="4" s="1"/>
  <c r="D41" i="4"/>
  <c r="E41" i="4" s="1"/>
  <c r="C38" i="4"/>
  <c r="C41" i="4" s="1"/>
  <c r="F37" i="4"/>
  <c r="E37" i="4"/>
  <c r="E36" i="4"/>
  <c r="F36" i="4" s="1"/>
  <c r="E33" i="4"/>
  <c r="F33" i="4" s="1"/>
  <c r="F32" i="4"/>
  <c r="E32" i="4"/>
  <c r="F31" i="4"/>
  <c r="E31" i="4"/>
  <c r="D29" i="4"/>
  <c r="C29" i="4"/>
  <c r="F28" i="4"/>
  <c r="E28" i="4"/>
  <c r="F27" i="4"/>
  <c r="E27" i="4"/>
  <c r="E26" i="4"/>
  <c r="F26" i="4" s="1"/>
  <c r="F25" i="4"/>
  <c r="E25" i="4"/>
  <c r="D22" i="4"/>
  <c r="C22" i="4"/>
  <c r="E21" i="4"/>
  <c r="F21" i="4" s="1"/>
  <c r="F20" i="4"/>
  <c r="E20" i="4"/>
  <c r="E19" i="4"/>
  <c r="F19" i="4" s="1"/>
  <c r="E18" i="4"/>
  <c r="F18" i="4" s="1"/>
  <c r="F17" i="4"/>
  <c r="E17" i="4"/>
  <c r="F16" i="4"/>
  <c r="E16" i="4"/>
  <c r="E15" i="4"/>
  <c r="F15" i="4" s="1"/>
  <c r="E14" i="4"/>
  <c r="F14" i="4" s="1"/>
  <c r="F13" i="4"/>
  <c r="E13" i="4"/>
  <c r="D108" i="22"/>
  <c r="D109" i="22"/>
  <c r="C109" i="22"/>
  <c r="C108" i="22"/>
  <c r="C103" i="22"/>
  <c r="D22" i="22"/>
  <c r="D110" i="22" s="1"/>
  <c r="C23" i="22"/>
  <c r="C36" i="22" s="1"/>
  <c r="E23" i="22"/>
  <c r="D33" i="22"/>
  <c r="C34" i="22"/>
  <c r="E34" i="22"/>
  <c r="D101" i="22"/>
  <c r="D103" i="22"/>
  <c r="C102" i="22"/>
  <c r="E102" i="22"/>
  <c r="D111" i="22"/>
  <c r="C22" i="22"/>
  <c r="E22" i="22"/>
  <c r="D30" i="22"/>
  <c r="D56" i="22" s="1"/>
  <c r="D36" i="22"/>
  <c r="D40" i="22"/>
  <c r="D46" i="22"/>
  <c r="F20" i="20"/>
  <c r="D41" i="20"/>
  <c r="E39" i="20"/>
  <c r="E41" i="20"/>
  <c r="E19" i="20"/>
  <c r="F19" i="20" s="1"/>
  <c r="E43" i="20"/>
  <c r="C38" i="19"/>
  <c r="C127" i="19"/>
  <c r="C129" i="19" s="1"/>
  <c r="C133" i="19" s="1"/>
  <c r="E294" i="17"/>
  <c r="E295" i="17"/>
  <c r="E296" i="17"/>
  <c r="E298" i="17"/>
  <c r="E299" i="17"/>
  <c r="C22" i="19"/>
  <c r="D283" i="18"/>
  <c r="E283" i="18" s="1"/>
  <c r="D22" i="18"/>
  <c r="D284" i="18" s="1"/>
  <c r="E284" i="18" s="1"/>
  <c r="E21" i="18"/>
  <c r="C33" i="18"/>
  <c r="E32" i="18"/>
  <c r="D43" i="18"/>
  <c r="D44" i="18"/>
  <c r="D258" i="18" s="1"/>
  <c r="E54" i="18"/>
  <c r="C289" i="18"/>
  <c r="E289" i="18" s="1"/>
  <c r="C71" i="18"/>
  <c r="C65" i="18"/>
  <c r="C66" i="18"/>
  <c r="C295" i="18" s="1"/>
  <c r="E60" i="18"/>
  <c r="D157" i="18"/>
  <c r="E17" i="17"/>
  <c r="F17" i="17" s="1"/>
  <c r="E52" i="17"/>
  <c r="F52" i="17" s="1"/>
  <c r="E53" i="17"/>
  <c r="F53" i="17" s="1"/>
  <c r="E58" i="17"/>
  <c r="E67" i="17"/>
  <c r="F67" i="17" s="1"/>
  <c r="D66" i="18"/>
  <c r="E66" i="18" s="1"/>
  <c r="E65" i="18"/>
  <c r="E71" i="18"/>
  <c r="C283" i="18"/>
  <c r="D294" i="18"/>
  <c r="C144" i="18"/>
  <c r="D145" i="18"/>
  <c r="E151" i="18"/>
  <c r="C175" i="18"/>
  <c r="C261" i="18"/>
  <c r="E261" i="18" s="1"/>
  <c r="C189" i="18"/>
  <c r="E189" i="18"/>
  <c r="E188" i="18"/>
  <c r="D260" i="18"/>
  <c r="E195" i="18"/>
  <c r="D217" i="18"/>
  <c r="D239" i="18"/>
  <c r="E239" i="18"/>
  <c r="C242" i="18"/>
  <c r="E242" i="18"/>
  <c r="D243" i="18"/>
  <c r="E302" i="18"/>
  <c r="C303" i="18"/>
  <c r="C306" i="18" s="1"/>
  <c r="C310" i="18" s="1"/>
  <c r="E139" i="18"/>
  <c r="C234" i="18"/>
  <c r="C211" i="18"/>
  <c r="C235" i="18" s="1"/>
  <c r="E216" i="18"/>
  <c r="C241" i="18"/>
  <c r="E241" i="18" s="1"/>
  <c r="E218" i="18"/>
  <c r="C222" i="18"/>
  <c r="C223" i="18" s="1"/>
  <c r="C246" i="18"/>
  <c r="E246" i="18" s="1"/>
  <c r="C229" i="18"/>
  <c r="E251" i="18"/>
  <c r="D320" i="18"/>
  <c r="E320" i="18"/>
  <c r="E316" i="18"/>
  <c r="E326" i="18"/>
  <c r="D330" i="18"/>
  <c r="E330" i="18" s="1"/>
  <c r="D222" i="18"/>
  <c r="D223" i="18" s="1"/>
  <c r="E265" i="18"/>
  <c r="E314" i="18"/>
  <c r="E301" i="18"/>
  <c r="E324" i="18"/>
  <c r="E31" i="17"/>
  <c r="D32" i="17"/>
  <c r="D105" i="17" s="1"/>
  <c r="E48" i="17"/>
  <c r="F48" i="17"/>
  <c r="C61" i="17"/>
  <c r="F89" i="17"/>
  <c r="C103" i="17"/>
  <c r="C32" i="17"/>
  <c r="C210" i="17" s="1"/>
  <c r="F31" i="17"/>
  <c r="C160" i="17"/>
  <c r="C90" i="17"/>
  <c r="E60" i="17"/>
  <c r="F60" i="17"/>
  <c r="D61" i="17"/>
  <c r="D103" i="17"/>
  <c r="D104" i="17" s="1"/>
  <c r="E102" i="17"/>
  <c r="F102" i="17" s="1"/>
  <c r="D21" i="17"/>
  <c r="D161" i="17" s="1"/>
  <c r="F23" i="17"/>
  <c r="F24" i="17"/>
  <c r="F29" i="17"/>
  <c r="F36" i="17"/>
  <c r="F44" i="17"/>
  <c r="F58" i="17"/>
  <c r="E101" i="17"/>
  <c r="F101" i="17"/>
  <c r="E109" i="17"/>
  <c r="F109" i="17"/>
  <c r="C193" i="17"/>
  <c r="C282" i="17" s="1"/>
  <c r="C192" i="17"/>
  <c r="E192" i="17" s="1"/>
  <c r="E123" i="17"/>
  <c r="F123" i="17" s="1"/>
  <c r="C124" i="17"/>
  <c r="F124" i="17" s="1"/>
  <c r="C207" i="17"/>
  <c r="C138" i="17"/>
  <c r="F172" i="17"/>
  <c r="D181" i="17"/>
  <c r="E179" i="17"/>
  <c r="E227" i="17"/>
  <c r="E239" i="17"/>
  <c r="F239" i="17" s="1"/>
  <c r="C266" i="17"/>
  <c r="C265" i="17" s="1"/>
  <c r="E20" i="17"/>
  <c r="F20" i="17" s="1"/>
  <c r="C21" i="17"/>
  <c r="E30" i="17"/>
  <c r="F30" i="17" s="1"/>
  <c r="E35" i="17"/>
  <c r="F35" i="17" s="1"/>
  <c r="C37" i="17"/>
  <c r="E47" i="17"/>
  <c r="F47" i="17"/>
  <c r="E59" i="17"/>
  <c r="F59" i="17" s="1"/>
  <c r="E76" i="17"/>
  <c r="F76" i="17" s="1"/>
  <c r="D124" i="17"/>
  <c r="E124" i="17"/>
  <c r="D137" i="17"/>
  <c r="D146" i="17"/>
  <c r="D159" i="17"/>
  <c r="E159" i="17"/>
  <c r="D172" i="17"/>
  <c r="F227" i="17"/>
  <c r="C287" i="17"/>
  <c r="C284" i="17"/>
  <c r="E188" i="17"/>
  <c r="F188" i="17" s="1"/>
  <c r="C288" i="17"/>
  <c r="E189" i="17"/>
  <c r="F189" i="17" s="1"/>
  <c r="C190" i="17"/>
  <c r="C281" i="17"/>
  <c r="E191" i="17"/>
  <c r="F191" i="17"/>
  <c r="C290" i="17"/>
  <c r="C274" i="17"/>
  <c r="C199" i="17"/>
  <c r="C200" i="17"/>
  <c r="C286" i="17"/>
  <c r="C205" i="17"/>
  <c r="C206" i="17"/>
  <c r="C214" i="17"/>
  <c r="C215" i="17"/>
  <c r="E215" i="17" s="1"/>
  <c r="E226" i="17"/>
  <c r="F226" i="17"/>
  <c r="E237" i="17"/>
  <c r="F237" i="17" s="1"/>
  <c r="E250" i="17"/>
  <c r="F250" i="17" s="1"/>
  <c r="C254" i="17"/>
  <c r="C255" i="17"/>
  <c r="C261" i="17"/>
  <c r="E261" i="17" s="1"/>
  <c r="C262" i="17"/>
  <c r="C264" i="17"/>
  <c r="C267" i="17"/>
  <c r="C269" i="17"/>
  <c r="C270" i="17" s="1"/>
  <c r="E278" i="17"/>
  <c r="E280" i="17"/>
  <c r="F280" i="17"/>
  <c r="D193" i="17"/>
  <c r="D282" i="17" s="1"/>
  <c r="E282" i="17" s="1"/>
  <c r="D290" i="17"/>
  <c r="D274" i="17"/>
  <c r="D199" i="17"/>
  <c r="E199" i="17"/>
  <c r="F199" i="17" s="1"/>
  <c r="D200" i="17"/>
  <c r="D283" i="17"/>
  <c r="E283" i="17" s="1"/>
  <c r="D267" i="17"/>
  <c r="D285" i="17"/>
  <c r="E285" i="17" s="1"/>
  <c r="F285" i="17" s="1"/>
  <c r="D269" i="17"/>
  <c r="E269" i="17" s="1"/>
  <c r="D205" i="17"/>
  <c r="E205" i="17"/>
  <c r="F205" i="17" s="1"/>
  <c r="D206" i="17"/>
  <c r="E206" i="17"/>
  <c r="D215" i="17"/>
  <c r="D261" i="17"/>
  <c r="D262" i="17"/>
  <c r="D264" i="17"/>
  <c r="E264" i="17" s="1"/>
  <c r="F264" i="17" s="1"/>
  <c r="F294" i="17"/>
  <c r="F295" i="17"/>
  <c r="F296" i="17"/>
  <c r="F298" i="17"/>
  <c r="F299" i="17"/>
  <c r="F36" i="14"/>
  <c r="F38" i="14"/>
  <c r="F40" i="14"/>
  <c r="D31" i="14"/>
  <c r="F31" i="14"/>
  <c r="H31" i="14"/>
  <c r="C33" i="14"/>
  <c r="C36" i="14" s="1"/>
  <c r="C38" i="14" s="1"/>
  <c r="C40" i="14" s="1"/>
  <c r="E33" i="14"/>
  <c r="E36" i="14"/>
  <c r="E38" i="14" s="1"/>
  <c r="E40" i="14"/>
  <c r="G33" i="14"/>
  <c r="H17" i="14"/>
  <c r="C21" i="13"/>
  <c r="C15" i="13"/>
  <c r="E15" i="13"/>
  <c r="E17" i="13" s="1"/>
  <c r="E28" i="13" s="1"/>
  <c r="E70" i="13" s="1"/>
  <c r="E72" i="13" s="1"/>
  <c r="E69" i="13" s="1"/>
  <c r="C48" i="13"/>
  <c r="C42" i="13" s="1"/>
  <c r="E48" i="13"/>
  <c r="E42" i="13" s="1"/>
  <c r="D20" i="12"/>
  <c r="D34" i="12" s="1"/>
  <c r="E15" i="12"/>
  <c r="F15" i="12" s="1"/>
  <c r="F65" i="11"/>
  <c r="E38" i="11"/>
  <c r="F38" i="11" s="1"/>
  <c r="E56" i="11"/>
  <c r="F56" i="11"/>
  <c r="E61" i="11"/>
  <c r="F61" i="11"/>
  <c r="F122" i="10"/>
  <c r="E112" i="10"/>
  <c r="F112" i="10" s="1"/>
  <c r="E113" i="10"/>
  <c r="F113" i="10" s="1"/>
  <c r="F207" i="9"/>
  <c r="F208" i="9"/>
  <c r="F204" i="9"/>
  <c r="F206" i="9"/>
  <c r="E198" i="9"/>
  <c r="F198" i="9"/>
  <c r="E199" i="9"/>
  <c r="F199" i="9" s="1"/>
  <c r="E140" i="8"/>
  <c r="E138" i="8"/>
  <c r="E137" i="8"/>
  <c r="C157" i="8"/>
  <c r="C155" i="8"/>
  <c r="C153" i="8"/>
  <c r="C156" i="8"/>
  <c r="E157" i="8"/>
  <c r="C21" i="8"/>
  <c r="D140" i="8"/>
  <c r="D153" i="8"/>
  <c r="D15" i="8"/>
  <c r="D17" i="8" s="1"/>
  <c r="C43" i="8"/>
  <c r="E43" i="8"/>
  <c r="D49" i="8"/>
  <c r="C53" i="8"/>
  <c r="E53" i="8"/>
  <c r="D57" i="8"/>
  <c r="D62" i="8"/>
  <c r="D77" i="8"/>
  <c r="D71" i="8"/>
  <c r="C15" i="8"/>
  <c r="E15" i="8"/>
  <c r="D43" i="8"/>
  <c r="C49" i="8"/>
  <c r="E49" i="8"/>
  <c r="C77" i="8"/>
  <c r="C71" i="8"/>
  <c r="E77" i="8"/>
  <c r="E71" i="8" s="1"/>
  <c r="D95" i="7"/>
  <c r="E95" i="7" s="1"/>
  <c r="F90" i="7"/>
  <c r="C95" i="7"/>
  <c r="E121" i="7"/>
  <c r="F121" i="7" s="1"/>
  <c r="E130" i="7"/>
  <c r="F130" i="7" s="1"/>
  <c r="F179" i="6"/>
  <c r="E41" i="6"/>
  <c r="F41" i="6" s="1"/>
  <c r="E84" i="6"/>
  <c r="D21" i="5"/>
  <c r="E22" i="4"/>
  <c r="F22" i="4"/>
  <c r="F38" i="4"/>
  <c r="E53" i="22"/>
  <c r="E45" i="22"/>
  <c r="E39" i="22"/>
  <c r="E35" i="22"/>
  <c r="E29" i="22"/>
  <c r="C111" i="22"/>
  <c r="C54" i="22"/>
  <c r="C46" i="22"/>
  <c r="C40" i="22"/>
  <c r="C30" i="22"/>
  <c r="C113" i="22" s="1"/>
  <c r="D48" i="22"/>
  <c r="D38" i="22"/>
  <c r="C53" i="22"/>
  <c r="C45" i="22"/>
  <c r="C35" i="22"/>
  <c r="C110" i="22"/>
  <c r="E54" i="22"/>
  <c r="E46" i="22"/>
  <c r="E40" i="22"/>
  <c r="E36" i="22"/>
  <c r="E30" i="22"/>
  <c r="E56" i="22" s="1"/>
  <c r="D53" i="22"/>
  <c r="D45" i="22"/>
  <c r="D39" i="22"/>
  <c r="D35" i="22"/>
  <c r="D29" i="22"/>
  <c r="F43" i="20"/>
  <c r="D101" i="18"/>
  <c r="D99" i="18"/>
  <c r="E99" i="18" s="1"/>
  <c r="D97" i="18"/>
  <c r="E97" i="18" s="1"/>
  <c r="D100" i="18"/>
  <c r="E100" i="18" s="1"/>
  <c r="D87" i="18"/>
  <c r="E87" i="18" s="1"/>
  <c r="D85" i="18"/>
  <c r="D83" i="18"/>
  <c r="E83" i="18" s="1"/>
  <c r="D95" i="18"/>
  <c r="E95" i="18" s="1"/>
  <c r="D88" i="18"/>
  <c r="E88" i="18" s="1"/>
  <c r="D84" i="18"/>
  <c r="E84" i="18" s="1"/>
  <c r="D246" i="18"/>
  <c r="E222" i="18"/>
  <c r="D252" i="18"/>
  <c r="D169" i="18"/>
  <c r="C145" i="18"/>
  <c r="E145" i="18" s="1"/>
  <c r="C168" i="18"/>
  <c r="E168" i="18" s="1"/>
  <c r="C258" i="18"/>
  <c r="C100" i="18"/>
  <c r="C98" i="18"/>
  <c r="C101" i="18"/>
  <c r="E101" i="18" s="1"/>
  <c r="C99" i="18"/>
  <c r="C97" i="18"/>
  <c r="C95" i="18"/>
  <c r="C88" i="18"/>
  <c r="C84" i="18"/>
  <c r="C90" i="18" s="1"/>
  <c r="C87" i="18"/>
  <c r="C83" i="18"/>
  <c r="C91" i="18" s="1"/>
  <c r="C89" i="18"/>
  <c r="C85" i="18"/>
  <c r="C294" i="18"/>
  <c r="E294" i="18" s="1"/>
  <c r="E22" i="18"/>
  <c r="E217" i="18"/>
  <c r="D241" i="18"/>
  <c r="E260" i="18"/>
  <c r="D259" i="18"/>
  <c r="E43" i="18"/>
  <c r="D300" i="17"/>
  <c r="E300" i="17"/>
  <c r="D271" i="17"/>
  <c r="D268" i="17"/>
  <c r="D263" i="17"/>
  <c r="D255" i="17"/>
  <c r="E255" i="17"/>
  <c r="D270" i="17"/>
  <c r="E267" i="17"/>
  <c r="F267" i="17" s="1"/>
  <c r="E200" i="17"/>
  <c r="F200" i="17"/>
  <c r="E274" i="17"/>
  <c r="D194" i="17"/>
  <c r="E194" i="17" s="1"/>
  <c r="E193" i="17"/>
  <c r="F193" i="17" s="1"/>
  <c r="D288" i="17"/>
  <c r="E288" i="17"/>
  <c r="F288" i="17" s="1"/>
  <c r="C300" i="17"/>
  <c r="F300" i="17" s="1"/>
  <c r="F206" i="17"/>
  <c r="C291" i="17"/>
  <c r="C305" i="17" s="1"/>
  <c r="C289" i="17"/>
  <c r="D207" i="17"/>
  <c r="E207" i="17" s="1"/>
  <c r="F207" i="17" s="1"/>
  <c r="E137" i="17"/>
  <c r="F137" i="17" s="1"/>
  <c r="D138" i="17"/>
  <c r="C208" i="17"/>
  <c r="C194" i="17"/>
  <c r="D266" i="17"/>
  <c r="E266" i="17"/>
  <c r="E103" i="17"/>
  <c r="F103" i="17" s="1"/>
  <c r="C175" i="17"/>
  <c r="C62" i="17"/>
  <c r="C105" i="17"/>
  <c r="C209" i="17"/>
  <c r="C174" i="17"/>
  <c r="C104" i="17"/>
  <c r="D160" i="17"/>
  <c r="E160" i="17"/>
  <c r="F160" i="17"/>
  <c r="D272" i="17"/>
  <c r="E262" i="17"/>
  <c r="F283" i="17"/>
  <c r="D286" i="17"/>
  <c r="E286" i="17" s="1"/>
  <c r="F286" i="17" s="1"/>
  <c r="F255" i="17"/>
  <c r="F274" i="17"/>
  <c r="E172" i="17"/>
  <c r="D173" i="17"/>
  <c r="E173" i="17"/>
  <c r="C161" i="17"/>
  <c r="C49" i="17"/>
  <c r="C126" i="17"/>
  <c r="C91" i="17"/>
  <c r="D126" i="17"/>
  <c r="D127" i="17" s="1"/>
  <c r="E21" i="17"/>
  <c r="F21" i="17"/>
  <c r="E104" i="17"/>
  <c r="E61" i="17"/>
  <c r="F61" i="17"/>
  <c r="C125" i="17"/>
  <c r="D125" i="17"/>
  <c r="E125" i="17"/>
  <c r="E32" i="17"/>
  <c r="F32" i="17"/>
  <c r="D62" i="17"/>
  <c r="G36" i="14"/>
  <c r="G38" i="14"/>
  <c r="G40" i="14"/>
  <c r="I33" i="14"/>
  <c r="I36" i="14" s="1"/>
  <c r="I38" i="14" s="1"/>
  <c r="I40" i="14" s="1"/>
  <c r="E24" i="13"/>
  <c r="C24" i="13"/>
  <c r="C20" i="13"/>
  <c r="C17" i="13"/>
  <c r="C28" i="13"/>
  <c r="C22" i="13" s="1"/>
  <c r="E24" i="8"/>
  <c r="E20" i="8"/>
  <c r="E17" i="8"/>
  <c r="C24" i="8"/>
  <c r="C20" i="8"/>
  <c r="C17" i="8"/>
  <c r="C28" i="8" s="1"/>
  <c r="D24" i="8"/>
  <c r="F95" i="7"/>
  <c r="D35" i="5"/>
  <c r="D37" i="22"/>
  <c r="E38" i="22"/>
  <c r="C48" i="22"/>
  <c r="C38" i="22"/>
  <c r="E55" i="22"/>
  <c r="E47" i="22"/>
  <c r="E37" i="22"/>
  <c r="D174" i="17"/>
  <c r="E174" i="17" s="1"/>
  <c r="D140" i="17"/>
  <c r="D175" i="17"/>
  <c r="D176" i="17" s="1"/>
  <c r="E176" i="17" s="1"/>
  <c r="C181" i="18"/>
  <c r="E85" i="18"/>
  <c r="D263" i="18"/>
  <c r="D247" i="18"/>
  <c r="F282" i="17"/>
  <c r="C92" i="17"/>
  <c r="D141" i="17"/>
  <c r="D139" i="17"/>
  <c r="C162" i="17"/>
  <c r="F104" i="17"/>
  <c r="C63" i="17"/>
  <c r="C176" i="17"/>
  <c r="F176" i="17"/>
  <c r="C195" i="17"/>
  <c r="D195" i="17"/>
  <c r="E270" i="17"/>
  <c r="F270" i="17"/>
  <c r="D265" i="17"/>
  <c r="E265" i="17" s="1"/>
  <c r="E62" i="17"/>
  <c r="F62" i="17"/>
  <c r="D63" i="17"/>
  <c r="E63" i="17"/>
  <c r="F63" i="17" s="1"/>
  <c r="C106" i="17"/>
  <c r="D208" i="17"/>
  <c r="D42" i="12"/>
  <c r="D49" i="12" s="1"/>
  <c r="C112" i="8"/>
  <c r="C111" i="8"/>
  <c r="C309" i="17"/>
  <c r="D322" i="17"/>
  <c r="D21" i="8" l="1"/>
  <c r="F44" i="6"/>
  <c r="D137" i="8"/>
  <c r="D138" i="8"/>
  <c r="D136" i="8"/>
  <c r="D135" i="8"/>
  <c r="D139" i="8"/>
  <c r="E112" i="8"/>
  <c r="E111" i="8" s="1"/>
  <c r="E28" i="8"/>
  <c r="F75" i="4"/>
  <c r="F61" i="4"/>
  <c r="F102" i="9"/>
  <c r="E21" i="13"/>
  <c r="E20" i="13"/>
  <c r="C252" i="18"/>
  <c r="E303" i="18"/>
  <c r="D306" i="18"/>
  <c r="E22" i="13"/>
  <c r="D90" i="18"/>
  <c r="E90" i="18" s="1"/>
  <c r="D20" i="8"/>
  <c r="D273" i="17"/>
  <c r="D304" i="17"/>
  <c r="E146" i="17"/>
  <c r="F146" i="17" s="1"/>
  <c r="C70" i="13"/>
  <c r="C72" i="13" s="1"/>
  <c r="C69" i="13" s="1"/>
  <c r="F125" i="17"/>
  <c r="F174" i="17"/>
  <c r="F194" i="17"/>
  <c r="F215" i="17"/>
  <c r="F37" i="17"/>
  <c r="F153" i="6"/>
  <c r="E183" i="7"/>
  <c r="F183" i="7" s="1"/>
  <c r="C188" i="7"/>
  <c r="E155" i="8"/>
  <c r="E153" i="8"/>
  <c r="E156" i="8"/>
  <c r="E154" i="8"/>
  <c r="E152" i="8"/>
  <c r="E158" i="8" s="1"/>
  <c r="E29" i="4"/>
  <c r="F29" i="4" s="1"/>
  <c r="C43" i="4"/>
  <c r="F195" i="17"/>
  <c r="E195" i="17"/>
  <c r="D43" i="5"/>
  <c r="F265" i="17"/>
  <c r="C22" i="8"/>
  <c r="C99" i="8"/>
  <c r="C101" i="8" s="1"/>
  <c r="C98" i="8" s="1"/>
  <c r="D47" i="22"/>
  <c r="D55" i="22"/>
  <c r="D112" i="22"/>
  <c r="E223" i="18"/>
  <c r="C247" i="18"/>
  <c r="E247" i="18" s="1"/>
  <c r="E75" i="4"/>
  <c r="E188" i="7"/>
  <c r="E193" i="9"/>
  <c r="F193" i="9" s="1"/>
  <c r="E295" i="18"/>
  <c r="E76" i="18"/>
  <c r="D148" i="17"/>
  <c r="D210" i="17"/>
  <c r="D209" i="17"/>
  <c r="E209" i="17" s="1"/>
  <c r="F209" i="17" s="1"/>
  <c r="E208" i="17"/>
  <c r="F208" i="17" s="1"/>
  <c r="C323" i="17"/>
  <c r="F323" i="17" s="1"/>
  <c r="C183" i="17"/>
  <c r="F183" i="17" s="1"/>
  <c r="F162" i="17"/>
  <c r="D28" i="8"/>
  <c r="D99" i="8" s="1"/>
  <c r="D101" i="8" s="1"/>
  <c r="D98" i="8" s="1"/>
  <c r="D112" i="8"/>
  <c r="D111" i="8" s="1"/>
  <c r="F262" i="17"/>
  <c r="C263" i="17"/>
  <c r="C272" i="17"/>
  <c r="F290" i="17"/>
  <c r="E290" i="17"/>
  <c r="E105" i="17"/>
  <c r="F105" i="17" s="1"/>
  <c r="D106" i="17"/>
  <c r="E106" i="17" s="1"/>
  <c r="F106" i="17" s="1"/>
  <c r="F16" i="5"/>
  <c r="C18" i="5"/>
  <c r="E16" i="5"/>
  <c r="C113" i="17"/>
  <c r="C127" i="17"/>
  <c r="D281" i="17"/>
  <c r="E281" i="17" s="1"/>
  <c r="F281" i="17" s="1"/>
  <c r="C139" i="17"/>
  <c r="D162" i="17"/>
  <c r="E161" i="17"/>
  <c r="F161" i="17" s="1"/>
  <c r="D264" i="18"/>
  <c r="E258" i="18"/>
  <c r="E44" i="6"/>
  <c r="F17" i="12"/>
  <c r="C20" i="12"/>
  <c r="C268" i="17"/>
  <c r="F167" i="7"/>
  <c r="C56" i="22"/>
  <c r="C196" i="17"/>
  <c r="C271" i="17"/>
  <c r="E271" i="17" s="1"/>
  <c r="C216" i="17"/>
  <c r="E42" i="6"/>
  <c r="E92" i="6"/>
  <c r="C68" i="17"/>
  <c r="F66" i="17"/>
  <c r="C304" i="17"/>
  <c r="D229" i="18"/>
  <c r="E229" i="18" s="1"/>
  <c r="D210" i="18"/>
  <c r="C324" i="17"/>
  <c r="E126" i="17"/>
  <c r="F126" i="17" s="1"/>
  <c r="E175" i="17"/>
  <c r="F175" i="17" s="1"/>
  <c r="H33" i="14"/>
  <c r="H36" i="14" s="1"/>
  <c r="H38" i="14" s="1"/>
  <c r="H40" i="14" s="1"/>
  <c r="C140" i="17"/>
  <c r="F261" i="17"/>
  <c r="F107" i="15"/>
  <c r="D90" i="17"/>
  <c r="E90" i="17" s="1"/>
  <c r="F90" i="17" s="1"/>
  <c r="E33" i="18"/>
  <c r="C39" i="22"/>
  <c r="C29" i="22"/>
  <c r="E65" i="4"/>
  <c r="F65" i="4" s="1"/>
  <c r="F68" i="6"/>
  <c r="F84" i="6"/>
  <c r="E137" i="6"/>
  <c r="F137" i="6"/>
  <c r="C154" i="8"/>
  <c r="C152" i="8"/>
  <c r="D277" i="17"/>
  <c r="D214" i="17"/>
  <c r="D190" i="17"/>
  <c r="E190" i="17" s="1"/>
  <c r="F190" i="17" s="1"/>
  <c r="E50" i="6"/>
  <c r="E101" i="22"/>
  <c r="E103" i="22" s="1"/>
  <c r="E77" i="22"/>
  <c r="E17" i="12"/>
  <c r="F92" i="6"/>
  <c r="F45" i="6"/>
  <c r="D156" i="8"/>
  <c r="D154" i="8"/>
  <c r="D157" i="8"/>
  <c r="D91" i="18"/>
  <c r="F39" i="20"/>
  <c r="D152" i="8"/>
  <c r="F192" i="17"/>
  <c r="D77" i="18"/>
  <c r="D96" i="18"/>
  <c r="D86" i="18"/>
  <c r="E25" i="6"/>
  <c r="F25" i="6" s="1"/>
  <c r="F90" i="6"/>
  <c r="E109" i="8"/>
  <c r="E106" i="8" s="1"/>
  <c r="E49" i="9"/>
  <c r="F49" i="9"/>
  <c r="F278" i="17"/>
  <c r="C279" i="17"/>
  <c r="C96" i="18"/>
  <c r="C102" i="18" s="1"/>
  <c r="C103" i="18" s="1"/>
  <c r="C105" i="18" s="1"/>
  <c r="C86" i="18"/>
  <c r="E272" i="17"/>
  <c r="C76" i="18"/>
  <c r="C157" i="18"/>
  <c r="E156" i="18"/>
  <c r="C50" i="17"/>
  <c r="E48" i="22"/>
  <c r="E20" i="12"/>
  <c r="F266" i="17"/>
  <c r="E138" i="17"/>
  <c r="F138" i="17" s="1"/>
  <c r="F269" i="17"/>
  <c r="D89" i="18"/>
  <c r="E89" i="18" s="1"/>
  <c r="E61" i="4"/>
  <c r="E66" i="17"/>
  <c r="E205" i="18"/>
  <c r="E144" i="18"/>
  <c r="C180" i="18"/>
  <c r="E70" i="18"/>
  <c r="F41" i="4"/>
  <c r="E73" i="4"/>
  <c r="F73" i="4" s="1"/>
  <c r="D95" i="6"/>
  <c r="E95" i="6" s="1"/>
  <c r="F95" i="6" s="1"/>
  <c r="F76" i="9"/>
  <c r="E89" i="9"/>
  <c r="F114" i="10"/>
  <c r="E223" i="17"/>
  <c r="F223" i="17" s="1"/>
  <c r="E233" i="18"/>
  <c r="D253" i="18"/>
  <c r="D91" i="17"/>
  <c r="F42" i="6"/>
  <c r="C52" i="6"/>
  <c r="E74" i="18"/>
  <c r="D196" i="17"/>
  <c r="D49" i="17"/>
  <c r="E44" i="18"/>
  <c r="D98" i="18"/>
  <c r="E98" i="18" s="1"/>
  <c r="D113" i="22"/>
  <c r="E297" i="17"/>
  <c r="F297" i="17" s="1"/>
  <c r="D43" i="4"/>
  <c r="C149" i="8"/>
  <c r="E136" i="8"/>
  <c r="E139" i="8"/>
  <c r="E135" i="8"/>
  <c r="E108" i="10"/>
  <c r="F108" i="10"/>
  <c r="E229" i="17"/>
  <c r="F229" i="17"/>
  <c r="E56" i="4"/>
  <c r="F56" i="4" s="1"/>
  <c r="F48" i="6"/>
  <c r="E167" i="7"/>
  <c r="E37" i="9"/>
  <c r="E62" i="9"/>
  <c r="E83" i="10"/>
  <c r="E61" i="13"/>
  <c r="E57" i="13" s="1"/>
  <c r="E50" i="13"/>
  <c r="E92" i="15"/>
  <c r="F92" i="15" s="1"/>
  <c r="D37" i="17"/>
  <c r="E37" i="17" s="1"/>
  <c r="E129" i="17"/>
  <c r="F129" i="17"/>
  <c r="E144" i="17"/>
  <c r="F144" i="17"/>
  <c r="E244" i="18"/>
  <c r="E90" i="6"/>
  <c r="D111" i="17"/>
  <c r="E111" i="17" s="1"/>
  <c r="F111" i="17" s="1"/>
  <c r="E240" i="18"/>
  <c r="E44" i="20"/>
  <c r="E46" i="20" s="1"/>
  <c r="F46" i="20" s="1"/>
  <c r="D46" i="20"/>
  <c r="F46" i="6"/>
  <c r="F81" i="6"/>
  <c r="F24" i="7"/>
  <c r="F30" i="7"/>
  <c r="E35" i="7"/>
  <c r="F35" i="7" s="1"/>
  <c r="E41" i="7"/>
  <c r="F41" i="7" s="1"/>
  <c r="E59" i="7"/>
  <c r="F59" i="7" s="1"/>
  <c r="C79" i="8"/>
  <c r="F75" i="9"/>
  <c r="E114" i="9"/>
  <c r="F114" i="9" s="1"/>
  <c r="F202" i="9"/>
  <c r="F116" i="10"/>
  <c r="F119" i="10"/>
  <c r="E88" i="6"/>
  <c r="F88" i="6" s="1"/>
  <c r="E153" i="6"/>
  <c r="F23" i="9"/>
  <c r="F50" i="9"/>
  <c r="E102" i="9"/>
  <c r="D75" i="11"/>
  <c r="E75" i="11" s="1"/>
  <c r="F75" i="11" s="1"/>
  <c r="F17" i="16"/>
  <c r="E198" i="17"/>
  <c r="F198" i="17"/>
  <c r="E221" i="18"/>
  <c r="D245" i="18"/>
  <c r="E245" i="18" s="1"/>
  <c r="E24" i="10"/>
  <c r="F35" i="10"/>
  <c r="E60" i="10"/>
  <c r="F60" i="10"/>
  <c r="C121" i="10"/>
  <c r="E121" i="10" s="1"/>
  <c r="F117" i="10"/>
  <c r="D25" i="13"/>
  <c r="D27" i="13" s="1"/>
  <c r="D15" i="13"/>
  <c r="E204" i="17"/>
  <c r="F204" i="17" s="1"/>
  <c r="E166" i="18"/>
  <c r="E127" i="9"/>
  <c r="F127" i="9" s="1"/>
  <c r="E203" i="9"/>
  <c r="F203" i="9" s="1"/>
  <c r="E36" i="20"/>
  <c r="F36" i="20" s="1"/>
  <c r="F101" i="9"/>
  <c r="F128" i="9"/>
  <c r="E47" i="10"/>
  <c r="F96" i="10"/>
  <c r="F115" i="10"/>
  <c r="C43" i="11"/>
  <c r="E21" i="16"/>
  <c r="F21" i="16" s="1"/>
  <c r="C181" i="17"/>
  <c r="F180" i="17"/>
  <c r="F34" i="20"/>
  <c r="E201" i="9"/>
  <c r="F201" i="9" s="1"/>
  <c r="E41" i="11"/>
  <c r="F41" i="11" s="1"/>
  <c r="F145" i="17"/>
  <c r="F230" i="17"/>
  <c r="D163" i="18"/>
  <c r="E163" i="18" s="1"/>
  <c r="F181" i="17" l="1"/>
  <c r="E181" i="17"/>
  <c r="D197" i="17"/>
  <c r="E196" i="17"/>
  <c r="D266" i="18"/>
  <c r="F43" i="11"/>
  <c r="E43" i="4"/>
  <c r="F43" i="4" s="1"/>
  <c r="E268" i="17"/>
  <c r="F268" i="17" s="1"/>
  <c r="E304" i="17"/>
  <c r="C254" i="18"/>
  <c r="E252" i="18"/>
  <c r="C70" i="17"/>
  <c r="D102" i="18"/>
  <c r="E96" i="18"/>
  <c r="E162" i="17"/>
  <c r="D183" i="17"/>
  <c r="E183" i="17" s="1"/>
  <c r="D323" i="17"/>
  <c r="E323" i="17" s="1"/>
  <c r="E210" i="17"/>
  <c r="F210" i="17" s="1"/>
  <c r="D211" i="17"/>
  <c r="D50" i="5"/>
  <c r="E22" i="8"/>
  <c r="E99" i="8"/>
  <c r="E101" i="8" s="1"/>
  <c r="E98" i="8" s="1"/>
  <c r="E91" i="17"/>
  <c r="F91" i="17" s="1"/>
  <c r="D92" i="17"/>
  <c r="D124" i="18"/>
  <c r="D123" i="18"/>
  <c r="D125" i="18"/>
  <c r="D126" i="18"/>
  <c r="D121" i="18"/>
  <c r="D122" i="18"/>
  <c r="D114" i="18"/>
  <c r="D113" i="18"/>
  <c r="D110" i="18"/>
  <c r="D115" i="18"/>
  <c r="D112" i="18"/>
  <c r="D111" i="18"/>
  <c r="D109" i="18"/>
  <c r="D127" i="18"/>
  <c r="D254" i="17"/>
  <c r="D216" i="17"/>
  <c r="E216" i="17" s="1"/>
  <c r="E214" i="17"/>
  <c r="F214" i="17" s="1"/>
  <c r="F20" i="12"/>
  <c r="C34" i="12"/>
  <c r="E273" i="17"/>
  <c r="D22" i="8"/>
  <c r="E91" i="18"/>
  <c r="E306" i="18"/>
  <c r="D310" i="18"/>
  <c r="E310" i="18" s="1"/>
  <c r="F121" i="10"/>
  <c r="C140" i="8"/>
  <c r="C138" i="8"/>
  <c r="C139" i="8"/>
  <c r="C136" i="8"/>
  <c r="C137" i="8"/>
  <c r="C135" i="8"/>
  <c r="C197" i="17"/>
  <c r="F127" i="17"/>
  <c r="C148" i="17"/>
  <c r="F68" i="17"/>
  <c r="E157" i="18"/>
  <c r="C169" i="18"/>
  <c r="E169" i="18" s="1"/>
  <c r="F216" i="17"/>
  <c r="E139" i="17"/>
  <c r="F139" i="17"/>
  <c r="E43" i="11"/>
  <c r="F272" i="17"/>
  <c r="C310" i="17"/>
  <c r="F304" i="17"/>
  <c r="F44" i="20"/>
  <c r="E86" i="18"/>
  <c r="E68" i="17"/>
  <c r="E253" i="18"/>
  <c r="D254" i="18"/>
  <c r="E277" i="17"/>
  <c r="F277" i="17" s="1"/>
  <c r="D284" i="17"/>
  <c r="E284" i="17" s="1"/>
  <c r="F284" i="17" s="1"/>
  <c r="D279" i="17"/>
  <c r="E279" i="17" s="1"/>
  <c r="F279" i="17" s="1"/>
  <c r="D287" i="17"/>
  <c r="C141" i="17"/>
  <c r="E140" i="17"/>
  <c r="F140" i="17"/>
  <c r="D234" i="18"/>
  <c r="E234" i="18" s="1"/>
  <c r="D180" i="18"/>
  <c r="E180" i="18" s="1"/>
  <c r="D211" i="18"/>
  <c r="E210" i="18"/>
  <c r="E127" i="17"/>
  <c r="D24" i="13"/>
  <c r="D20" i="13" s="1"/>
  <c r="D17" i="13"/>
  <c r="D28" i="13" s="1"/>
  <c r="D70" i="13" s="1"/>
  <c r="D72" i="13" s="1"/>
  <c r="D69" i="13" s="1"/>
  <c r="E141" i="8"/>
  <c r="D158" i="8"/>
  <c r="C47" i="22"/>
  <c r="C112" i="22"/>
  <c r="C37" i="22"/>
  <c r="C55" i="22"/>
  <c r="C273" i="17"/>
  <c r="F271" i="17"/>
  <c r="E52" i="6"/>
  <c r="F52" i="6" s="1"/>
  <c r="D141" i="8"/>
  <c r="D21" i="13"/>
  <c r="E49" i="17"/>
  <c r="F49" i="17" s="1"/>
  <c r="D50" i="17"/>
  <c r="C77" i="18"/>
  <c r="E77" i="18" s="1"/>
  <c r="C259" i="18"/>
  <c r="E109" i="22"/>
  <c r="E110" i="22"/>
  <c r="E111" i="22"/>
  <c r="E108" i="22"/>
  <c r="E113" i="22"/>
  <c r="E112" i="22"/>
  <c r="C158" i="8"/>
  <c r="F196" i="17"/>
  <c r="C21" i="5"/>
  <c r="E18" i="5"/>
  <c r="F18" i="5" s="1"/>
  <c r="E263" i="17"/>
  <c r="F263" i="17"/>
  <c r="F188" i="7"/>
  <c r="E121" i="18" l="1"/>
  <c r="F148" i="17"/>
  <c r="C211" i="17"/>
  <c r="E211" i="17" s="1"/>
  <c r="E141" i="17"/>
  <c r="C322" i="17"/>
  <c r="F141" i="17"/>
  <c r="C42" i="12"/>
  <c r="E34" i="12"/>
  <c r="F34" i="12" s="1"/>
  <c r="E287" i="17"/>
  <c r="F287" i="17" s="1"/>
  <c r="D289" i="17"/>
  <c r="E289" i="17" s="1"/>
  <c r="F289" i="17" s="1"/>
  <c r="D291" i="17"/>
  <c r="D267" i="18"/>
  <c r="D22" i="13"/>
  <c r="C141" i="8"/>
  <c r="E110" i="18"/>
  <c r="D116" i="18"/>
  <c r="E123" i="18"/>
  <c r="C112" i="18"/>
  <c r="E112" i="18" s="1"/>
  <c r="C115" i="18"/>
  <c r="E115" i="18" s="1"/>
  <c r="C124" i="18"/>
  <c r="C113" i="18"/>
  <c r="C127" i="18"/>
  <c r="C110" i="18"/>
  <c r="C125" i="18"/>
  <c r="E125" i="18" s="1"/>
  <c r="C126" i="18"/>
  <c r="E126" i="18" s="1"/>
  <c r="C111" i="18"/>
  <c r="E111" i="18" s="1"/>
  <c r="C109" i="18"/>
  <c r="C123" i="18"/>
  <c r="C121" i="18"/>
  <c r="C114" i="18"/>
  <c r="C122" i="18"/>
  <c r="E148" i="17"/>
  <c r="E50" i="17"/>
  <c r="F50" i="17" s="1"/>
  <c r="D70" i="17"/>
  <c r="E70" i="17" s="1"/>
  <c r="F70" i="17" s="1"/>
  <c r="C263" i="18"/>
  <c r="E259" i="18"/>
  <c r="F273" i="17"/>
  <c r="D235" i="18"/>
  <c r="E235" i="18" s="1"/>
  <c r="E211" i="18"/>
  <c r="D181" i="18"/>
  <c r="E181" i="18" s="1"/>
  <c r="E113" i="18"/>
  <c r="E124" i="18"/>
  <c r="E102" i="18"/>
  <c r="D103" i="18"/>
  <c r="E197" i="17"/>
  <c r="F197" i="17" s="1"/>
  <c r="E254" i="17"/>
  <c r="F254" i="17" s="1"/>
  <c r="E114" i="18"/>
  <c r="E92" i="17"/>
  <c r="F92" i="17" s="1"/>
  <c r="D324" i="17"/>
  <c r="D113" i="17"/>
  <c r="E113" i="17" s="1"/>
  <c r="F113" i="17" s="1"/>
  <c r="F21" i="5"/>
  <c r="C35" i="5"/>
  <c r="E21" i="5"/>
  <c r="E254" i="18"/>
  <c r="C312" i="17"/>
  <c r="E127" i="18"/>
  <c r="D128" i="18"/>
  <c r="D129" i="18" s="1"/>
  <c r="D268" i="18" l="1"/>
  <c r="D269" i="18"/>
  <c r="C49" i="12"/>
  <c r="E42" i="12"/>
  <c r="F42" i="12" s="1"/>
  <c r="C128" i="18"/>
  <c r="C116" i="18"/>
  <c r="C117" i="18" s="1"/>
  <c r="C131" i="18" s="1"/>
  <c r="E116" i="18"/>
  <c r="D325" i="17"/>
  <c r="E324" i="17"/>
  <c r="F324" i="17" s="1"/>
  <c r="E263" i="18"/>
  <c r="C264" i="18"/>
  <c r="F211" i="17"/>
  <c r="C313" i="17"/>
  <c r="C43" i="5"/>
  <c r="E35" i="5"/>
  <c r="F35" i="5" s="1"/>
  <c r="E128" i="18"/>
  <c r="E103" i="18"/>
  <c r="D105" i="18"/>
  <c r="E105" i="18" s="1"/>
  <c r="C129" i="18"/>
  <c r="E129" i="18" s="1"/>
  <c r="E291" i="17"/>
  <c r="F291" i="17" s="1"/>
  <c r="D305" i="17"/>
  <c r="E322" i="17"/>
  <c r="F322" i="17"/>
  <c r="C325" i="17"/>
  <c r="E109" i="18"/>
  <c r="E122" i="18"/>
  <c r="D117" i="18"/>
  <c r="E49" i="12" l="1"/>
  <c r="F49" i="12" s="1"/>
  <c r="E325" i="17"/>
  <c r="C266" i="18"/>
  <c r="E264" i="18"/>
  <c r="F325" i="17"/>
  <c r="F43" i="5"/>
  <c r="C50" i="5"/>
  <c r="E43" i="5"/>
  <c r="D309" i="17"/>
  <c r="E305" i="17"/>
  <c r="F305" i="17" s="1"/>
  <c r="D271" i="18"/>
  <c r="C314" i="17"/>
  <c r="C251" i="17"/>
  <c r="C315" i="17"/>
  <c r="C256" i="17"/>
  <c r="D131" i="18"/>
  <c r="E131" i="18" s="1"/>
  <c r="E117" i="18"/>
  <c r="C318" i="17" l="1"/>
  <c r="C267" i="18"/>
  <c r="E266" i="18"/>
  <c r="C257" i="17"/>
  <c r="E309" i="17"/>
  <c r="F309" i="17" s="1"/>
  <c r="D310" i="17"/>
  <c r="E50" i="5"/>
  <c r="F50" i="5" s="1"/>
  <c r="C269" i="18" l="1"/>
  <c r="E269" i="18" s="1"/>
  <c r="C268" i="18"/>
  <c r="E267" i="18"/>
  <c r="D312" i="17"/>
  <c r="E310" i="17"/>
  <c r="F310" i="17" s="1"/>
  <c r="E312" i="17" l="1"/>
  <c r="F312" i="17" s="1"/>
  <c r="D313" i="17"/>
  <c r="C271" i="18"/>
  <c r="E271" i="18" s="1"/>
  <c r="E268" i="18"/>
  <c r="D314" i="17" l="1"/>
  <c r="E313" i="17"/>
  <c r="F313" i="17" s="1"/>
  <c r="D251" i="17"/>
  <c r="E251" i="17" s="1"/>
  <c r="F251" i="17" s="1"/>
  <c r="D315" i="17"/>
  <c r="E315" i="17" s="1"/>
  <c r="F315" i="17" s="1"/>
  <c r="D256" i="17"/>
  <c r="D257" i="17" l="1"/>
  <c r="E257" i="17" s="1"/>
  <c r="F257" i="17" s="1"/>
  <c r="E256" i="17"/>
  <c r="F256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<sst xmlns="http://schemas.openxmlformats.org/spreadsheetml/2006/main" count="2333" uniqueCount="1008">
  <si>
    <t>BRISTOL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</si>
  <si>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</si>
  <si>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</si>
  <si>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</si>
  <si>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</si>
  <si>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</si>
  <si>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</si>
  <si>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</si>
  <si>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</si>
  <si>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</si>
  <si>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</si>
  <si>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</si>
  <si>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</si>
  <si>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</si>
  <si>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</si>
  <si>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</si>
  <si>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</si>
  <si>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</si>
  <si>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</si>
  <si>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</si>
  <si>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</si>
  <si>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</si>
  <si>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</si>
  <si>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</si>
  <si>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</si>
  <si>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</si>
  <si>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</si>
  <si>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</si>
  <si>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</si>
  <si>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</si>
  <si>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</si>
  <si>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</si>
  <si>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</si>
  <si>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</si>
  <si>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</si>
  <si>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</si>
  <si>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</si>
  <si>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</si>
  <si>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</si>
  <si>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</si>
  <si>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</si>
  <si>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</si>
  <si>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</si>
  <si>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</si>
  <si>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</si>
  <si>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</si>
  <si>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</si>
  <si>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</si>
  <si>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</si>
  <si>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</si>
  <si>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</si>
  <si>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</si>
  <si>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</si>
  <si>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</si>
  <si>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</si>
  <si>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</si>
  <si>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</si>
  <si>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</si>
  <si>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</si>
  <si>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</si>
  <si>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</si>
  <si>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</si>
  <si>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</si>
  <si>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</si>
  <si>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</si>
  <si>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</si>
  <si>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</si>
  <si>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</si>
  <si>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</si>
  <si>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</si>
  <si>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</si>
  <si>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</si>
  <si>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</si>
  <si>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</si>
  <si>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</si>
  <si>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</si>
  <si>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</si>
  <si>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</si>
  <si>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</si>
  <si>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</si>
  <si>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</si>
  <si>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</si>
  <si>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</si>
  <si>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</si>
  <si>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</si>
  <si>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</si>
  <si>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</si>
  <si>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</si>
  <si>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</si>
  <si>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</si>
  <si>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</si>
  <si>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</si>
  <si>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</si>
  <si>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</si>
  <si>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</si>
  <si>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</si>
  <si>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</si>
  <si>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</si>
  <si>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</si>
  <si>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</si>
  <si>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</si>
  <si>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</si>
  <si>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</si>
  <si>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</si>
  <si>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</si>
  <si>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</si>
  <si>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</si>
  <si>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</si>
  <si>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</si>
  <si>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</si>
  <si>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</si>
  <si>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</si>
  <si>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</si>
  <si>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</si>
  <si>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</si>
  <si>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</si>
  <si>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</si>
  <si>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</si>
  <si>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</si>
  <si>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</si>
  <si>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</si>
  <si>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</si>
  <si>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</si>
  <si>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</si>
  <si>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</si>
  <si>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</si>
  <si>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</si>
  <si>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</si>
  <si>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</si>
  <si>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</si>
  <si>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</si>
  <si>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</si>
  <si>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</si>
  <si>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</si>
  <si>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</si>
  <si>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</si>
  <si>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</si>
  <si>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</si>
  <si>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</si>
  <si>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</si>
  <si>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</si>
  <si>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</si>
  <si>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</si>
  <si>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</si>
  <si>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</si>
  <si>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</si>
  <si>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</si>
  <si>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</si>
  <si>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</si>
  <si>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</si>
  <si>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</si>
  <si>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</si>
  <si>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</si>
  <si>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</si>
  <si>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</si>
  <si>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</si>
  <si>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</si>
  <si>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</si>
  <si>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</si>
  <si>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</si>
  <si>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</si>
  <si>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</si>
  <si>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</si>
  <si>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</si>
  <si>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</si>
  <si>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</si>
  <si>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</si>
  <si>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</si>
  <si>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</si>
  <si>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</si>
  <si>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</si>
  <si>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</si>
  <si>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</si>
  <si>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</si>
  <si>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</si>
  <si>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</si>
  <si>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</si>
  <si>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</si>
  <si>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</si>
  <si>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</si>
  <si>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</si>
  <si>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</si>
  <si>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</si>
  <si>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</si>
  <si>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</si>
  <si>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</si>
  <si>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</si>
  <si>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</si>
  <si>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</si>
  <si>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</si>
  <si>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</si>
  <si>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</si>
  <si>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</si>
  <si>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</si>
  <si>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</si>
  <si>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</si>
  <si>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</si>
  <si>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</si>
  <si>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</si>
  <si>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</si>
  <si>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</si>
  <si>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</si>
  <si>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</si>
  <si>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</si>
  <si>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</si>
  <si>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</si>
  <si>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</si>
  <si>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</si>
  <si>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</si>
  <si>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</si>
  <si>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</si>
  <si>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</si>
  <si>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</si>
  <si>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</si>
  <si>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</si>
  <si>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</si>
  <si>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</si>
  <si>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</si>
  <si>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</si>
  <si>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</si>
  <si>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</si>
  <si>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</si>
  <si>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</si>
  <si>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</si>
  <si>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</si>
  <si>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</si>
  <si>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</si>
  <si>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</si>
  <si>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</si>
  <si>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</si>
  <si>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</si>
  <si>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</si>
  <si>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</si>
  <si>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</si>
  <si>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</si>
  <si>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</si>
  <si>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</si>
  <si>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</si>
  <si>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</si>
  <si>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</si>
  <si>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</si>
  <si>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</si>
  <si>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</si>
  <si>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</si>
  <si>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</si>
  <si>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</si>
  <si>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</si>
  <si>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</si>
  <si>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</si>
  <si>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</si>
  <si>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</si>
  <si>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</si>
  <si>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</si>
  <si>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</si>
  <si>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</si>
  <si>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</si>
  <si>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</si>
  <si>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</si>
  <si>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</si>
  <si>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</si>
  <si>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</si>
  <si>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</si>
  <si>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</si>
  <si>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</si>
  <si>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</si>
  <si>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</si>
  <si>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</si>
  <si>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</si>
  <si>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</si>
  <si>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</si>
  <si>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</si>
  <si>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</si>
  <si>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</si>
  <si>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</si>
  <si>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</si>
  <si>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</si>
  <si>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</si>
  <si>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</si>
  <si>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</si>
  <si>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</si>
  <si>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</si>
  <si>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</si>
  <si>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</si>
  <si>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</si>
  <si>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</si>
  <si>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</si>
  <si>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</si>
  <si>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</si>
  <si>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</si>
  <si>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</si>
  <si>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</si>
  <si>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</si>
  <si>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</si>
  <si>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</si>
  <si>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</si>
  <si>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</si>
  <si>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</si>
  <si>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</si>
  <si>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</si>
  <si>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</si>
  <si>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</si>
  <si>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</si>
  <si>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</si>
  <si>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</si>
  <si>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</si>
  <si>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</si>
  <si>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</si>
  <si>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</si>
  <si>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</si>
  <si>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</si>
  <si>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</si>
  <si>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</si>
  <si>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</si>
  <si>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</si>
  <si>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</si>
  <si>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</si>
  <si>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</si>
  <si>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</si>
  <si>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</si>
  <si>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</si>
  <si>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</si>
  <si>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</si>
  <si>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</si>
  <si>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</si>
  <si>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</si>
  <si>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</si>
  <si>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</si>
  <si>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</si>
  <si>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</si>
  <si>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</si>
  <si>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</si>
  <si>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</si>
  <si>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</si>
  <si>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</si>
  <si>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</si>
  <si>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</si>
  <si>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</si>
  <si>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</si>
  <si>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</si>
  <si>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</si>
  <si>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</si>
  <si>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</si>
  <si>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</si>
  <si>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</si>
  <si>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</si>
  <si>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</si>
  <si>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</si>
  <si>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</si>
  <si>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</si>
  <si>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</si>
  <si>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</si>
  <si>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</si>
  <si>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</si>
  <si>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</si>
  <si>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</si>
  <si>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</si>
  <si>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</si>
  <si>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</si>
  <si>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</si>
  <si>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</si>
  <si>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</si>
  <si>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</si>
  <si>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</si>
  <si>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</si>
  <si>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</si>
  <si>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</si>
  <si>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</si>
  <si>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</si>
  <si>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</si>
  <si>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</si>
  <si>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</si>
  <si>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</si>
  <si>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</si>
  <si>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</si>
  <si>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</si>
  <si>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</si>
  <si>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</si>
  <si>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</si>
  <si>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</si>
  <si>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</si>
  <si>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</si>
  <si>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</si>
  <si>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</si>
  <si>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</si>
  <si>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</si>
  <si>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</si>
  <si>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</si>
  <si>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</si>
  <si>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</si>
  <si>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</si>
  <si>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</si>
  <si>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</si>
  <si>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</si>
  <si>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</si>
  <si>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</si>
  <si>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</si>
  <si>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</si>
  <si>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</si>
  <si>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</si>
  <si>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</si>
  <si>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</si>
  <si>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</si>
  <si>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</si>
  <si>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</si>
  <si>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</si>
  <si>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</si>
  <si>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</si>
  <si>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</si>
  <si>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</si>
  <si>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</si>
  <si>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</si>
  <si>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</si>
  <si>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</si>
  <si>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</si>
  <si>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</si>
  <si>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</si>
  <si>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</si>
  <si>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</si>
  <si>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</si>
  <si>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</si>
  <si>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</si>
  <si>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</si>
  <si>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</si>
  <si>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</si>
  <si>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</si>
  <si>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</si>
  <si>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</si>
  <si>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</si>
  <si>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</si>
  <si>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</si>
  <si>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</si>
  <si>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</si>
  <si>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</si>
  <si>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</si>
  <si>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</si>
  <si>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</si>
  <si>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</si>
  <si>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</si>
  <si>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</si>
  <si>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</si>
  <si>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</si>
  <si>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</si>
  <si>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</si>
  <si>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</si>
  <si>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</si>
  <si>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</si>
  <si>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</si>
  <si>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</si>
  <si>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</si>
  <si>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</si>
  <si>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</si>
  <si>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</si>
  <si>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</si>
  <si>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</si>
  <si>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</si>
  <si>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</si>
  <si>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</si>
  <si>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</si>
  <si>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</si>
  <si>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</si>
  <si>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</si>
  <si>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</si>
  <si>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</si>
  <si>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</si>
  <si>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</si>
  <si>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</si>
  <si>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</si>
  <si>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</si>
  <si>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</si>
  <si>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</si>
  <si>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</si>
  <si>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</si>
  <si>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</si>
  <si>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</si>
  <si>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</si>
  <si>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</si>
  <si>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</si>
  <si>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</si>
  <si>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</si>
  <si>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</si>
  <si>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</si>
  <si>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</si>
  <si>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</si>
  <si>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</si>
  <si>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</si>
  <si>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</si>
  <si>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</si>
  <si>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</si>
  <si>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</si>
  <si>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</si>
  <si>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</si>
  <si>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</si>
  <si>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</si>
  <si>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</si>
  <si>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</si>
  <si>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</si>
  <si>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</si>
  <si>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</si>
  <si>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</si>
  <si>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</si>
  <si>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BRISTOL HOSPITAL &amp; HEALTH CARE GROUP,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</si>
  <si>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</si>
  <si>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</si>
  <si>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</si>
  <si>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</si>
  <si>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</si>
  <si>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</si>
  <si>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</si>
  <si>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</si>
  <si>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</si>
  <si>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</si>
  <si>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</si>
  <si>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</si>
  <si>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</si>
  <si>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</si>
  <si>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</si>
  <si>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</si>
  <si>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</si>
  <si>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</si>
  <si>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</si>
  <si>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</si>
  <si>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</si>
  <si>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</si>
  <si>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</si>
  <si>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</si>
  <si>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</si>
  <si>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</si>
  <si>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</si>
  <si>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</si>
  <si>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</si>
  <si>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</si>
  <si>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</si>
  <si>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</si>
  <si>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</si>
  <si>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</si>
  <si>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</si>
  <si>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</si>
  <si>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</si>
  <si>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</si>
  <si>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</si>
  <si>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</si>
  <si>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</si>
  <si>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</si>
  <si>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</si>
  <si>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</si>
  <si>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</si>
  <si>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</si>
  <si>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</si>
  <si>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</si>
  <si>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</si>
  <si>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</si>
  <si>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</si>
  <si>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</si>
  <si>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</si>
  <si>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</si>
  <si>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</si>
  <si>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</si>
  <si>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</si>
  <si>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</si>
  <si>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</si>
  <si>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</si>
  <si>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</si>
  <si>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</si>
  <si>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</si>
  <si>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</si>
  <si>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</si>
  <si>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</si>
  <si>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</si>
  <si>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</si>
  <si>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</si>
  <si>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</si>
  <si>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</si>
  <si>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</si>
  <si>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</si>
  <si>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</si>
  <si>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</si>
  <si>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</si>
  <si>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</si>
  <si>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</si>
  <si>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</si>
  <si>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</si>
  <si>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</si>
  <si>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</si>
  <si>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</si>
  <si>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</si>
  <si>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</si>
  <si>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</si>
  <si>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</si>
  <si>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</si>
  <si>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</si>
  <si>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</si>
  <si>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</si>
  <si>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</si>
  <si>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</si>
  <si>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</si>
  <si>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</si>
  <si>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</si>
  <si>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</si>
  <si>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</si>
  <si>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</si>
  <si>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</si>
  <si>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</si>
  <si>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</si>
  <si>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</si>
  <si>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</si>
  <si>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</si>
  <si>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</si>
  <si>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</si>
  <si>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</si>
  <si>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</si>
  <si>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</si>
  <si>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</si>
  <si>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</si>
  <si>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</si>
  <si>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</si>
  <si>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</si>
  <si>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</si>
  <si>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</si>
  <si>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</si>
  <si>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</si>
  <si>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</si>
  <si>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Bristol Hospital Campus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</si>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</sst>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9376449</v>
      </c>
      <c r="D13" s="22">
        <v>12810191</v>
      </c>
      <c r="E13" s="22">
        <f t="shared" ref="E13:E22" si="0">D13-C13</f>
        <v>3433742</v>
      </c>
      <c r="F13" s="23">
        <f t="shared" ref="F13:F22" si="1">IF(C13=0,0,E13/C13)</f>
        <v>0.36620921203752083</v>
      </c>
    </row>
    <row r="14" spans="1:8" ht="24" customHeight="1" x14ac:dyDescent="0.2">
      <c r="A14" s="20">
        <v>2</v>
      </c>
      <c r="B14" s="21" t="s">
        <v>17</v>
      </c>
      <c r="C14" s="22">
        <v>96452</v>
      </c>
      <c r="D14" s="22">
        <v>96526</v>
      </c>
      <c r="E14" s="22">
        <f t="shared" si="0"/>
        <v>74</v>
      </c>
      <c r="F14" s="23">
        <f t="shared" si="1"/>
        <v>7.6722100111972791E-4</v>
      </c>
    </row>
    <row r="15" spans="1:8" ht="24" customHeight="1" x14ac:dyDescent="0.2">
      <c r="A15" s="20">
        <v>3</v>
      </c>
      <c r="B15" s="21" t="s">
        <v>18</v>
      </c>
      <c r="C15" s="22">
        <v>16562143</v>
      </c>
      <c r="D15" s="22">
        <v>16887452</v>
      </c>
      <c r="E15" s="22">
        <f t="shared" si="0"/>
        <v>325309</v>
      </c>
      <c r="F15" s="23">
        <f t="shared" si="1"/>
        <v>1.9641721484955178E-2</v>
      </c>
    </row>
    <row r="16" spans="1:8" ht="24" customHeight="1" x14ac:dyDescent="0.2">
      <c r="A16" s="20">
        <v>4</v>
      </c>
      <c r="B16" s="21" t="s">
        <v>19</v>
      </c>
      <c r="C16" s="22">
        <v>458932</v>
      </c>
      <c r="D16" s="22">
        <v>444904</v>
      </c>
      <c r="E16" s="22">
        <f t="shared" si="0"/>
        <v>-14028</v>
      </c>
      <c r="F16" s="23">
        <f t="shared" si="1"/>
        <v>-3.0566619891400033E-2</v>
      </c>
    </row>
    <row r="17" spans="1:11" ht="24" customHeight="1" x14ac:dyDescent="0.2">
      <c r="A17" s="20">
        <v>5</v>
      </c>
      <c r="B17" s="21" t="s">
        <v>20</v>
      </c>
      <c r="C17" s="22">
        <v>3142097</v>
      </c>
      <c r="D17" s="22">
        <v>1022462</v>
      </c>
      <c r="E17" s="22">
        <f t="shared" si="0"/>
        <v>-2119635</v>
      </c>
      <c r="F17" s="23">
        <f t="shared" si="1"/>
        <v>-0.6745924775715072</v>
      </c>
    </row>
    <row r="18" spans="1:11" ht="24" customHeight="1" x14ac:dyDescent="0.2">
      <c r="A18" s="20">
        <v>6</v>
      </c>
      <c r="B18" s="21" t="s">
        <v>21</v>
      </c>
      <c r="C18" s="22">
        <v>1964075</v>
      </c>
      <c r="D18" s="22">
        <v>2757898</v>
      </c>
      <c r="E18" s="22">
        <f t="shared" si="0"/>
        <v>793823</v>
      </c>
      <c r="F18" s="23">
        <f t="shared" si="1"/>
        <v>0.40417142929877931</v>
      </c>
    </row>
    <row r="19" spans="1:11" ht="24" customHeight="1" x14ac:dyDescent="0.2">
      <c r="A19" s="20">
        <v>7</v>
      </c>
      <c r="B19" s="21" t="s">
        <v>22</v>
      </c>
      <c r="C19" s="22">
        <v>1592222</v>
      </c>
      <c r="D19" s="22">
        <v>1445186</v>
      </c>
      <c r="E19" s="22">
        <f t="shared" si="0"/>
        <v>-147036</v>
      </c>
      <c r="F19" s="23">
        <f t="shared" si="1"/>
        <v>-9.2346419029507187E-2</v>
      </c>
    </row>
    <row r="20" spans="1:11" ht="24" customHeight="1" x14ac:dyDescent="0.2">
      <c r="A20" s="20">
        <v>8</v>
      </c>
      <c r="B20" s="21" t="s">
        <v>23</v>
      </c>
      <c r="C20" s="22">
        <v>811642</v>
      </c>
      <c r="D20" s="22">
        <v>808566</v>
      </c>
      <c r="E20" s="22">
        <f t="shared" si="0"/>
        <v>-3076</v>
      </c>
      <c r="F20" s="23">
        <f t="shared" si="1"/>
        <v>-3.789848233580815E-3</v>
      </c>
    </row>
    <row r="21" spans="1:11" ht="24" customHeight="1" x14ac:dyDescent="0.2">
      <c r="A21" s="20">
        <v>9</v>
      </c>
      <c r="B21" s="21" t="s">
        <v>24</v>
      </c>
      <c r="C21" s="22">
        <v>4999472</v>
      </c>
      <c r="D21" s="22">
        <v>2653347</v>
      </c>
      <c r="E21" s="22">
        <f t="shared" si="0"/>
        <v>-2346125</v>
      </c>
      <c r="F21" s="23">
        <f t="shared" si="1"/>
        <v>-0.46927455539304952</v>
      </c>
    </row>
    <row r="22" spans="1:11" ht="24" customHeight="1" x14ac:dyDescent="0.25">
      <c r="A22" s="24"/>
      <c r="B22" s="25" t="s">
        <v>25</v>
      </c>
      <c r="C22" s="26">
        <f>SUM(C13:C21)</f>
        <v>39003484</v>
      </c>
      <c r="D22" s="26">
        <f>SUM(D13:D21)</f>
        <v>38926532</v>
      </c>
      <c r="E22" s="26">
        <f t="shared" si="0"/>
        <v>-76952</v>
      </c>
      <c r="F22" s="27">
        <f t="shared" si="1"/>
        <v>-1.9729519547535806E-3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6662023</v>
      </c>
      <c r="D26" s="22">
        <v>6966473</v>
      </c>
      <c r="E26" s="22">
        <f>D26-C26</f>
        <v>304450</v>
      </c>
      <c r="F26" s="23">
        <f>IF(C26=0,0,E26/C26)</f>
        <v>4.569933186961378E-2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12919018</v>
      </c>
      <c r="D28" s="22">
        <v>13815840</v>
      </c>
      <c r="E28" s="22">
        <f>D28-C28</f>
        <v>896822</v>
      </c>
      <c r="F28" s="23">
        <f>IF(C28=0,0,E28/C28)</f>
        <v>6.9418743746622227E-2</v>
      </c>
    </row>
    <row r="29" spans="1:11" ht="24" customHeight="1" x14ac:dyDescent="0.25">
      <c r="A29" s="24"/>
      <c r="B29" s="25" t="s">
        <v>32</v>
      </c>
      <c r="C29" s="26">
        <f>SUM(C25:C28)</f>
        <v>19581041</v>
      </c>
      <c r="D29" s="26">
        <f>SUM(D25:D28)</f>
        <v>20782313</v>
      </c>
      <c r="E29" s="26">
        <f>D29-C29</f>
        <v>1201272</v>
      </c>
      <c r="F29" s="27">
        <f>IF(C29=0,0,E29/C29)</f>
        <v>6.1348730131355118E-2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6708565</v>
      </c>
      <c r="D31" s="22">
        <v>6180143</v>
      </c>
      <c r="E31" s="22">
        <f>D31-C31</f>
        <v>-528422</v>
      </c>
      <c r="F31" s="23">
        <f>IF(C31=0,0,E31/C31)</f>
        <v>-7.876826117060802E-2</v>
      </c>
    </row>
    <row r="32" spans="1:11" ht="24" customHeight="1" x14ac:dyDescent="0.2">
      <c r="A32" s="20">
        <v>6</v>
      </c>
      <c r="B32" s="21" t="s">
        <v>34</v>
      </c>
      <c r="C32" s="22">
        <v>7231860</v>
      </c>
      <c r="D32" s="22">
        <v>6800181</v>
      </c>
      <c r="E32" s="22">
        <f>D32-C32</f>
        <v>-431679</v>
      </c>
      <c r="F32" s="23">
        <f>IF(C32=0,0,E32/C32)</f>
        <v>-5.9691282740539781E-2</v>
      </c>
    </row>
    <row r="33" spans="1:8" ht="24" customHeight="1" x14ac:dyDescent="0.2">
      <c r="A33" s="20">
        <v>7</v>
      </c>
      <c r="B33" s="21" t="s">
        <v>35</v>
      </c>
      <c r="C33" s="22">
        <v>2364559</v>
      </c>
      <c r="D33" s="22">
        <v>2483304</v>
      </c>
      <c r="E33" s="22">
        <f>D33-C33</f>
        <v>118745</v>
      </c>
      <c r="F33" s="23">
        <f>IF(C33=0,0,E33/C33)</f>
        <v>5.0218666567423353E-2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141381699</v>
      </c>
      <c r="D36" s="22">
        <v>147266902</v>
      </c>
      <c r="E36" s="22">
        <f>D36-C36</f>
        <v>5885203</v>
      </c>
      <c r="F36" s="23">
        <f>IF(C36=0,0,E36/C36)</f>
        <v>4.1626342317473496E-2</v>
      </c>
    </row>
    <row r="37" spans="1:8" ht="24" customHeight="1" x14ac:dyDescent="0.2">
      <c r="A37" s="20">
        <v>2</v>
      </c>
      <c r="B37" s="21" t="s">
        <v>39</v>
      </c>
      <c r="C37" s="22">
        <v>105453829</v>
      </c>
      <c r="D37" s="22">
        <v>111762978</v>
      </c>
      <c r="E37" s="22">
        <f>D37-C37</f>
        <v>6309149</v>
      </c>
      <c r="F37" s="23">
        <f>IF(C37=0,0,E37/C37)</f>
        <v>5.9828543542027289E-2</v>
      </c>
    </row>
    <row r="38" spans="1:8" ht="24" customHeight="1" x14ac:dyDescent="0.25">
      <c r="A38" s="24"/>
      <c r="B38" s="25" t="s">
        <v>40</v>
      </c>
      <c r="C38" s="26">
        <f>C36-C37</f>
        <v>35927870</v>
      </c>
      <c r="D38" s="26">
        <f>D36-D37</f>
        <v>35503924</v>
      </c>
      <c r="E38" s="26">
        <f>D38-C38</f>
        <v>-423946</v>
      </c>
      <c r="F38" s="27">
        <f>IF(C38=0,0,E38/C38)</f>
        <v>-1.1799920229058946E-2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1836659</v>
      </c>
      <c r="D40" s="22">
        <v>3256357</v>
      </c>
      <c r="E40" s="22">
        <f>D40-C40</f>
        <v>1419698</v>
      </c>
      <c r="F40" s="23">
        <f>IF(C40=0,0,E40/C40)</f>
        <v>0.77297854419356016</v>
      </c>
    </row>
    <row r="41" spans="1:8" ht="24" customHeight="1" x14ac:dyDescent="0.25">
      <c r="A41" s="24"/>
      <c r="B41" s="25" t="s">
        <v>42</v>
      </c>
      <c r="C41" s="26">
        <f>+C38+C40</f>
        <v>37764529</v>
      </c>
      <c r="D41" s="26">
        <f>+D38+D40</f>
        <v>38760281</v>
      </c>
      <c r="E41" s="26">
        <f>D41-C41</f>
        <v>995752</v>
      </c>
      <c r="F41" s="27">
        <f>IF(C41=0,0,E41/C41)</f>
        <v>2.6367388297097522E-2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112654038</v>
      </c>
      <c r="D43" s="26">
        <f>D22+D29+D31+D32+D33+D41</f>
        <v>113932754</v>
      </c>
      <c r="E43" s="26">
        <f>D43-C43</f>
        <v>1278716</v>
      </c>
      <c r="F43" s="27">
        <f>IF(C43=0,0,E43/C43)</f>
        <v>1.1350822595458141E-2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9975800</v>
      </c>
      <c r="D49" s="22">
        <v>12607684</v>
      </c>
      <c r="E49" s="22">
        <f t="shared" ref="E49:E56" si="2">D49-C49</f>
        <v>2631884</v>
      </c>
      <c r="F49" s="23">
        <f t="shared" ref="F49:F56" si="3">IF(C49=0,0,E49/C49)</f>
        <v>0.26382686100362879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12922514</v>
      </c>
      <c r="D50" s="22">
        <v>10500617</v>
      </c>
      <c r="E50" s="22">
        <f t="shared" si="2"/>
        <v>-2421897</v>
      </c>
      <c r="F50" s="23">
        <f t="shared" si="3"/>
        <v>-0.18741686021775639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489222</v>
      </c>
      <c r="D53" s="22">
        <v>654266</v>
      </c>
      <c r="E53" s="22">
        <f t="shared" si="2"/>
        <v>165044</v>
      </c>
      <c r="F53" s="23">
        <f t="shared" si="3"/>
        <v>0.33736013507160351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7826</v>
      </c>
      <c r="D54" s="22">
        <v>8226</v>
      </c>
      <c r="E54" s="22">
        <f t="shared" si="2"/>
        <v>400</v>
      </c>
      <c r="F54" s="23">
        <f t="shared" si="3"/>
        <v>5.1111679018655765E-2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3375000</v>
      </c>
      <c r="D55" s="22">
        <v>3125000</v>
      </c>
      <c r="E55" s="22">
        <f t="shared" si="2"/>
        <v>-250000</v>
      </c>
      <c r="F55" s="23">
        <f t="shared" si="3"/>
        <v>-7.407407407407407E-2</v>
      </c>
    </row>
    <row r="56" spans="1:6" ht="24" customHeight="1" x14ac:dyDescent="0.25">
      <c r="A56" s="24"/>
      <c r="B56" s="25" t="s">
        <v>54</v>
      </c>
      <c r="C56" s="26">
        <f>SUM(C49:C55)</f>
        <v>26770362</v>
      </c>
      <c r="D56" s="26">
        <f>SUM(D49:D55)</f>
        <v>26895793</v>
      </c>
      <c r="E56" s="26">
        <f t="shared" si="2"/>
        <v>125431</v>
      </c>
      <c r="F56" s="27">
        <f t="shared" si="3"/>
        <v>4.685442804247473E-3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25729951</v>
      </c>
      <c r="D59" s="22">
        <v>26016613</v>
      </c>
      <c r="E59" s="22">
        <f>D59-C59</f>
        <v>286662</v>
      </c>
      <c r="F59" s="23">
        <f>IF(C59=0,0,E59/C59)</f>
        <v>1.1141179398281792E-2</v>
      </c>
    </row>
    <row r="60" spans="1:6" ht="24" customHeight="1" x14ac:dyDescent="0.2">
      <c r="A60" s="20">
        <v>2</v>
      </c>
      <c r="B60" s="21" t="s">
        <v>57</v>
      </c>
      <c r="C60" s="22">
        <v>290135</v>
      </c>
      <c r="D60" s="22">
        <v>281910</v>
      </c>
      <c r="E60" s="22">
        <f>D60-C60</f>
        <v>-8225</v>
      </c>
      <c r="F60" s="23">
        <f>IF(C60=0,0,E60/C60)</f>
        <v>-2.8348872076791837E-2</v>
      </c>
    </row>
    <row r="61" spans="1:6" ht="24" customHeight="1" x14ac:dyDescent="0.25">
      <c r="A61" s="24"/>
      <c r="B61" s="25" t="s">
        <v>58</v>
      </c>
      <c r="C61" s="26">
        <f>SUM(C59:C60)</f>
        <v>26020086</v>
      </c>
      <c r="D61" s="26">
        <f>SUM(D59:D60)</f>
        <v>26298523</v>
      </c>
      <c r="E61" s="26">
        <f>D61-C61</f>
        <v>278437</v>
      </c>
      <c r="F61" s="27">
        <f>IF(C61=0,0,E61/C61)</f>
        <v>1.0700848567525872E-2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30446134</v>
      </c>
      <c r="D63" s="22">
        <v>18682813</v>
      </c>
      <c r="E63" s="22">
        <f>D63-C63</f>
        <v>-11763321</v>
      </c>
      <c r="F63" s="23">
        <f>IF(C63=0,0,E63/C63)</f>
        <v>-0.3863650143561741</v>
      </c>
    </row>
    <row r="64" spans="1:6" ht="24" customHeight="1" x14ac:dyDescent="0.2">
      <c r="A64" s="20">
        <v>4</v>
      </c>
      <c r="B64" s="21" t="s">
        <v>60</v>
      </c>
      <c r="C64" s="22">
        <v>18786121</v>
      </c>
      <c r="D64" s="22">
        <v>15583354</v>
      </c>
      <c r="E64" s="22">
        <f>D64-C64</f>
        <v>-3202767</v>
      </c>
      <c r="F64" s="23">
        <f>IF(C64=0,0,E64/C64)</f>
        <v>-0.17048580704872496</v>
      </c>
    </row>
    <row r="65" spans="1:6" ht="24" customHeight="1" x14ac:dyDescent="0.25">
      <c r="A65" s="24"/>
      <c r="B65" s="25" t="s">
        <v>61</v>
      </c>
      <c r="C65" s="26">
        <f>SUM(C61:C64)</f>
        <v>75252341</v>
      </c>
      <c r="D65" s="26">
        <f>SUM(D61:D64)</f>
        <v>60564690</v>
      </c>
      <c r="E65" s="26">
        <f>D65-C65</f>
        <v>-14687651</v>
      </c>
      <c r="F65" s="27">
        <f>IF(C65=0,0,E65/C65)</f>
        <v>-0.19517865896025746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-376115</v>
      </c>
      <c r="D70" s="22">
        <v>15896282</v>
      </c>
      <c r="E70" s="22">
        <f>D70-C70</f>
        <v>16272397</v>
      </c>
      <c r="F70" s="23">
        <f>IF(C70=0,0,E70/C70)</f>
        <v>-43.264419127128669</v>
      </c>
    </row>
    <row r="71" spans="1:6" ht="24" customHeight="1" x14ac:dyDescent="0.2">
      <c r="A71" s="20">
        <v>2</v>
      </c>
      <c r="B71" s="21" t="s">
        <v>65</v>
      </c>
      <c r="C71" s="22">
        <v>4079847</v>
      </c>
      <c r="D71" s="22">
        <v>3555410</v>
      </c>
      <c r="E71" s="22">
        <f>D71-C71</f>
        <v>-524437</v>
      </c>
      <c r="F71" s="23">
        <f>IF(C71=0,0,E71/C71)</f>
        <v>-0.12854330076593559</v>
      </c>
    </row>
    <row r="72" spans="1:6" ht="24" customHeight="1" x14ac:dyDescent="0.2">
      <c r="A72" s="20">
        <v>3</v>
      </c>
      <c r="B72" s="21" t="s">
        <v>66</v>
      </c>
      <c r="C72" s="22">
        <v>6927603</v>
      </c>
      <c r="D72" s="22">
        <v>7020579</v>
      </c>
      <c r="E72" s="22">
        <f>D72-C72</f>
        <v>92976</v>
      </c>
      <c r="F72" s="23">
        <f>IF(C72=0,0,E72/C72)</f>
        <v>1.3421092403822794E-2</v>
      </c>
    </row>
    <row r="73" spans="1:6" ht="24" customHeight="1" x14ac:dyDescent="0.25">
      <c r="A73" s="20"/>
      <c r="B73" s="25" t="s">
        <v>67</v>
      </c>
      <c r="C73" s="26">
        <f>SUM(C70:C72)</f>
        <v>10631335</v>
      </c>
      <c r="D73" s="26">
        <f>SUM(D70:D72)</f>
        <v>26472271</v>
      </c>
      <c r="E73" s="26">
        <f>D73-C73</f>
        <v>15840936</v>
      </c>
      <c r="F73" s="27">
        <f>IF(C73=0,0,E73/C73)</f>
        <v>1.4900232190971312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112654038</v>
      </c>
      <c r="D75" s="26">
        <f>D56+D65+D67+D73</f>
        <v>113932754</v>
      </c>
      <c r="E75" s="26">
        <f>D75-C75</f>
        <v>1278716</v>
      </c>
      <c r="F75" s="27">
        <f>IF(C75=0,0,E75/C75)</f>
        <v>1.1350822595458141E-2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155158705</v>
      </c>
      <c r="D11" s="76">
        <v>160223250</v>
      </c>
      <c r="E11" s="76">
        <v>155469099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8394129</v>
      </c>
      <c r="D12" s="185">
        <v>7071296</v>
      </c>
      <c r="E12" s="185">
        <v>6651756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163552834</v>
      </c>
      <c r="D13" s="76">
        <f>+D11+D12</f>
        <v>167294546</v>
      </c>
      <c r="E13" s="76">
        <f>+E11+E12</f>
        <v>162120855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164004899</v>
      </c>
      <c r="D14" s="185">
        <v>167392904</v>
      </c>
      <c r="E14" s="185">
        <v>161783218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-452065</v>
      </c>
      <c r="D15" s="76">
        <f>+D13-D14</f>
        <v>-98358</v>
      </c>
      <c r="E15" s="76">
        <f>+E13-E14</f>
        <v>337637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2170216</v>
      </c>
      <c r="D16" s="185">
        <v>1298723</v>
      </c>
      <c r="E16" s="185">
        <v>857803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1718151</v>
      </c>
      <c r="D17" s="76">
        <f>D15+D16</f>
        <v>1200365</v>
      </c>
      <c r="E17" s="76">
        <f>E15+E16</f>
        <v>1195440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-2.7278341787699417E-3</v>
      </c>
      <c r="D20" s="189">
        <f>IF(+D27=0,0,+D24/+D27)</f>
        <v>-5.8340407409740653E-4</v>
      </c>
      <c r="E20" s="189">
        <f>IF(+E27=0,0,+E24/+E27)</f>
        <v>2.0716638862003636E-3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1.3095438443837475E-2</v>
      </c>
      <c r="D21" s="189">
        <f>IF(+D27=0,0,+D26/+D27)</f>
        <v>7.7032909303158476E-3</v>
      </c>
      <c r="E21" s="189">
        <f>IF(+E27=0,0,+E26/+E27)</f>
        <v>5.2632842270673259E-3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1.0367604265067533E-2</v>
      </c>
      <c r="D22" s="189">
        <f>IF(+D27=0,0,+D28/+D27)</f>
        <v>7.1198868562184414E-3</v>
      </c>
      <c r="E22" s="189">
        <f>IF(+E27=0,0,+E28/+E27)</f>
        <v>7.3349481132676895E-3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-452065</v>
      </c>
      <c r="D24" s="76">
        <f>+D15</f>
        <v>-98358</v>
      </c>
      <c r="E24" s="76">
        <f>+E15</f>
        <v>337637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163552834</v>
      </c>
      <c r="D25" s="76">
        <f>+D13</f>
        <v>167294546</v>
      </c>
      <c r="E25" s="76">
        <f>+E13</f>
        <v>162120855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2170216</v>
      </c>
      <c r="D26" s="76">
        <f>+D16</f>
        <v>1298723</v>
      </c>
      <c r="E26" s="76">
        <f>+E16</f>
        <v>857803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165723050</v>
      </c>
      <c r="D27" s="76">
        <f>SUM(D25:D26)</f>
        <v>168593269</v>
      </c>
      <c r="E27" s="76">
        <f>SUM(E25:E26)</f>
        <v>162978658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1718151</v>
      </c>
      <c r="D28" s="76">
        <f>+D17</f>
        <v>1200365</v>
      </c>
      <c r="E28" s="76">
        <f>+E17</f>
        <v>1195440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2677931</v>
      </c>
      <c r="D31" s="76">
        <v>1127653</v>
      </c>
      <c r="E31" s="76">
        <v>18001943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11495414</v>
      </c>
      <c r="D32" s="76">
        <v>11405827</v>
      </c>
      <c r="E32" s="76">
        <v>28607725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166638</v>
      </c>
      <c r="D33" s="76">
        <f>+D32-C32</f>
        <v>-89587</v>
      </c>
      <c r="E33" s="76">
        <f>+E32-D32</f>
        <v>17201898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1.0146999999999999</v>
      </c>
      <c r="D34" s="193">
        <f>IF(C32=0,0,+D33/C32)</f>
        <v>-7.7932817382653638E-3</v>
      </c>
      <c r="E34" s="193">
        <f>IF(D32=0,0,+E33/D32)</f>
        <v>1.5081675357692168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1.2948155503330325</v>
      </c>
      <c r="D38" s="338">
        <f>IF(+D40=0,0,+D39/+D40)</f>
        <v>1.4812989374392491</v>
      </c>
      <c r="E38" s="338">
        <f>IF(+E40=0,0,+E39/+E40)</f>
        <v>1.4797937603041773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40184352</v>
      </c>
      <c r="D39" s="341">
        <v>44529831</v>
      </c>
      <c r="E39" s="341">
        <v>45488801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31034808</v>
      </c>
      <c r="D40" s="341">
        <v>30061340</v>
      </c>
      <c r="E40" s="341">
        <v>30739960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21.197783353509475</v>
      </c>
      <c r="D42" s="343">
        <f>IF((D48/365)=0,0,+D45/(D48/365))</f>
        <v>29.641726050842021</v>
      </c>
      <c r="E42" s="343">
        <f>IF((E48/365)=0,0,+E45/(E48/365))</f>
        <v>38.761949659413716</v>
      </c>
    </row>
    <row r="43" spans="1:14" ht="24" customHeight="1" x14ac:dyDescent="0.2">
      <c r="A43" s="339">
        <v>5</v>
      </c>
      <c r="B43" s="344" t="s">
        <v>16</v>
      </c>
      <c r="C43" s="345">
        <v>9063284</v>
      </c>
      <c r="D43" s="345">
        <v>12928177</v>
      </c>
      <c r="E43" s="345">
        <v>16318029</v>
      </c>
    </row>
    <row r="44" spans="1:14" ht="24" customHeight="1" x14ac:dyDescent="0.2">
      <c r="A44" s="339">
        <v>6</v>
      </c>
      <c r="B44" s="346" t="s">
        <v>17</v>
      </c>
      <c r="C44" s="345">
        <v>96343</v>
      </c>
      <c r="D44" s="345">
        <v>96452</v>
      </c>
      <c r="E44" s="345">
        <v>96526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9159627</v>
      </c>
      <c r="D45" s="341">
        <f>+D43+D44</f>
        <v>13024629</v>
      </c>
      <c r="E45" s="341">
        <f>+E43+E44</f>
        <v>16414555</v>
      </c>
    </row>
    <row r="46" spans="1:14" ht="24" customHeight="1" x14ac:dyDescent="0.2">
      <c r="A46" s="339">
        <v>8</v>
      </c>
      <c r="B46" s="340" t="s">
        <v>334</v>
      </c>
      <c r="C46" s="341">
        <f>+C14</f>
        <v>164004899</v>
      </c>
      <c r="D46" s="341">
        <f>+D14</f>
        <v>167392904</v>
      </c>
      <c r="E46" s="341">
        <f>+E14</f>
        <v>161783218</v>
      </c>
    </row>
    <row r="47" spans="1:14" ht="24" customHeight="1" x14ac:dyDescent="0.2">
      <c r="A47" s="339">
        <v>9</v>
      </c>
      <c r="B47" s="340" t="s">
        <v>356</v>
      </c>
      <c r="C47" s="341">
        <v>6287283</v>
      </c>
      <c r="D47" s="341">
        <v>7011232</v>
      </c>
      <c r="E47" s="341">
        <v>7216365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157717616</v>
      </c>
      <c r="D48" s="341">
        <f>+D46-D47</f>
        <v>160381672</v>
      </c>
      <c r="E48" s="341">
        <f>+E46-E47</f>
        <v>154566853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62.342527381882952</v>
      </c>
      <c r="D50" s="350">
        <f>IF((D55/365)=0,0,+D54/(D55/365))</f>
        <v>51.120534535406073</v>
      </c>
      <c r="E50" s="350">
        <f>IF((E55/365)=0,0,+E54/(E55/365))</f>
        <v>54.688635295943925</v>
      </c>
    </row>
    <row r="51" spans="1:5" ht="24" customHeight="1" x14ac:dyDescent="0.2">
      <c r="A51" s="339">
        <v>12</v>
      </c>
      <c r="B51" s="344" t="s">
        <v>359</v>
      </c>
      <c r="C51" s="351">
        <v>24121394</v>
      </c>
      <c r="D51" s="351">
        <v>20476194</v>
      </c>
      <c r="E51" s="351">
        <v>20536329</v>
      </c>
    </row>
    <row r="52" spans="1:5" ht="24" customHeight="1" x14ac:dyDescent="0.2">
      <c r="A52" s="339">
        <v>13</v>
      </c>
      <c r="B52" s="344" t="s">
        <v>21</v>
      </c>
      <c r="C52" s="341">
        <v>2379937</v>
      </c>
      <c r="D52" s="341">
        <v>1964075</v>
      </c>
      <c r="E52" s="341">
        <v>2757898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26501331</v>
      </c>
      <c r="D54" s="352">
        <f>+D51+D52-D53</f>
        <v>22440269</v>
      </c>
      <c r="E54" s="352">
        <f>+E51+E52-E53</f>
        <v>23294227</v>
      </c>
    </row>
    <row r="55" spans="1:5" ht="24" customHeight="1" x14ac:dyDescent="0.2">
      <c r="A55" s="339">
        <v>16</v>
      </c>
      <c r="B55" s="340" t="s">
        <v>75</v>
      </c>
      <c r="C55" s="341">
        <f>+C11</f>
        <v>155158705</v>
      </c>
      <c r="D55" s="341">
        <f>+D11</f>
        <v>160223250</v>
      </c>
      <c r="E55" s="341">
        <f>+E11</f>
        <v>155469099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71.82269937430452</v>
      </c>
      <c r="D57" s="355">
        <f>IF((D61/365)=0,0,+D58/(D61/365))</f>
        <v>68.414233142550103</v>
      </c>
      <c r="E57" s="355">
        <f>IF((E61/365)=0,0,+E58/(E61/365))</f>
        <v>72.59050166467452</v>
      </c>
    </row>
    <row r="58" spans="1:5" ht="24" customHeight="1" x14ac:dyDescent="0.2">
      <c r="A58" s="339">
        <v>18</v>
      </c>
      <c r="B58" s="340" t="s">
        <v>54</v>
      </c>
      <c r="C58" s="353">
        <f>+C40</f>
        <v>31034808</v>
      </c>
      <c r="D58" s="353">
        <f>+D40</f>
        <v>30061340</v>
      </c>
      <c r="E58" s="353">
        <f>+E40</f>
        <v>30739960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164004899</v>
      </c>
      <c r="D59" s="353">
        <f t="shared" si="0"/>
        <v>167392904</v>
      </c>
      <c r="E59" s="353">
        <f t="shared" si="0"/>
        <v>161783218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6287283</v>
      </c>
      <c r="D60" s="356">
        <f t="shared" si="0"/>
        <v>7011232</v>
      </c>
      <c r="E60" s="356">
        <f t="shared" si="0"/>
        <v>7216365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157717616</v>
      </c>
      <c r="D61" s="353">
        <f>+D59-D60</f>
        <v>160381672</v>
      </c>
      <c r="E61" s="353">
        <f>+E59-E60</f>
        <v>154566853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9.8450076488115652</v>
      </c>
      <c r="D65" s="357">
        <f>IF(D67=0,0,(D66/D67)*100)</f>
        <v>9.3010632591085649</v>
      </c>
      <c r="E65" s="357">
        <f>IF(E67=0,0,(E66/E67)*100)</f>
        <v>22.7706142144092</v>
      </c>
    </row>
    <row r="66" spans="1:5" ht="24" customHeight="1" x14ac:dyDescent="0.2">
      <c r="A66" s="339">
        <v>2</v>
      </c>
      <c r="B66" s="340" t="s">
        <v>67</v>
      </c>
      <c r="C66" s="353">
        <f>+C32</f>
        <v>11495414</v>
      </c>
      <c r="D66" s="353">
        <f>+D32</f>
        <v>11405827</v>
      </c>
      <c r="E66" s="353">
        <f>+E32</f>
        <v>28607725</v>
      </c>
    </row>
    <row r="67" spans="1:5" ht="24" customHeight="1" x14ac:dyDescent="0.2">
      <c r="A67" s="339">
        <v>3</v>
      </c>
      <c r="B67" s="340" t="s">
        <v>43</v>
      </c>
      <c r="C67" s="353">
        <v>116763891</v>
      </c>
      <c r="D67" s="353">
        <v>122629281</v>
      </c>
      <c r="E67" s="353">
        <v>125634402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12.829571294229392</v>
      </c>
      <c r="D69" s="357">
        <f>IF(D75=0,0,(D72/D75)*100)</f>
        <v>13.59439528485091</v>
      </c>
      <c r="E69" s="357">
        <f>IF(E75=0,0,(E72/E75)*100)</f>
        <v>13.826481718886516</v>
      </c>
    </row>
    <row r="70" spans="1:5" ht="24" customHeight="1" x14ac:dyDescent="0.2">
      <c r="A70" s="339">
        <v>5</v>
      </c>
      <c r="B70" s="340" t="s">
        <v>366</v>
      </c>
      <c r="C70" s="353">
        <f>+C28</f>
        <v>1718151</v>
      </c>
      <c r="D70" s="353">
        <f>+D28</f>
        <v>1200365</v>
      </c>
      <c r="E70" s="353">
        <f>+E28</f>
        <v>1195440</v>
      </c>
    </row>
    <row r="71" spans="1:5" ht="24" customHeight="1" x14ac:dyDescent="0.2">
      <c r="A71" s="339">
        <v>6</v>
      </c>
      <c r="B71" s="340" t="s">
        <v>356</v>
      </c>
      <c r="C71" s="356">
        <f>+C47</f>
        <v>6287283</v>
      </c>
      <c r="D71" s="356">
        <f>+D47</f>
        <v>7011232</v>
      </c>
      <c r="E71" s="356">
        <f>+E47</f>
        <v>7216365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8005434</v>
      </c>
      <c r="D72" s="353">
        <f>+D70+D71</f>
        <v>8211597</v>
      </c>
      <c r="E72" s="353">
        <f>+E70+E71</f>
        <v>8411805</v>
      </c>
    </row>
    <row r="73" spans="1:5" ht="24" customHeight="1" x14ac:dyDescent="0.2">
      <c r="A73" s="339">
        <v>8</v>
      </c>
      <c r="B73" s="340" t="s">
        <v>54</v>
      </c>
      <c r="C73" s="341">
        <f>+C40</f>
        <v>31034808</v>
      </c>
      <c r="D73" s="341">
        <f>+D40</f>
        <v>30061340</v>
      </c>
      <c r="E73" s="341">
        <f>+E40</f>
        <v>30739960</v>
      </c>
    </row>
    <row r="74" spans="1:5" ht="24" customHeight="1" x14ac:dyDescent="0.2">
      <c r="A74" s="339">
        <v>9</v>
      </c>
      <c r="B74" s="340" t="s">
        <v>58</v>
      </c>
      <c r="C74" s="353">
        <v>31363489</v>
      </c>
      <c r="D74" s="353">
        <v>30342943</v>
      </c>
      <c r="E74" s="353">
        <v>30098402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62398297</v>
      </c>
      <c r="D75" s="341">
        <f>+D73+D74</f>
        <v>60404283</v>
      </c>
      <c r="E75" s="341">
        <f>+E73+E74</f>
        <v>60838362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73.178468893615872</v>
      </c>
      <c r="D77" s="359">
        <f>IF(D80=0,0,(D78/D80)*100)</f>
        <v>72.679849011120567</v>
      </c>
      <c r="E77" s="359">
        <f>IF(E80=0,0,(E78/E80)*100)</f>
        <v>51.269609388471494</v>
      </c>
    </row>
    <row r="78" spans="1:5" ht="24" customHeight="1" x14ac:dyDescent="0.2">
      <c r="A78" s="339">
        <v>12</v>
      </c>
      <c r="B78" s="340" t="s">
        <v>58</v>
      </c>
      <c r="C78" s="341">
        <f>+C74</f>
        <v>31363489</v>
      </c>
      <c r="D78" s="341">
        <f>+D74</f>
        <v>30342943</v>
      </c>
      <c r="E78" s="341">
        <f>+E74</f>
        <v>30098402</v>
      </c>
    </row>
    <row r="79" spans="1:5" ht="24" customHeight="1" x14ac:dyDescent="0.2">
      <c r="A79" s="339">
        <v>13</v>
      </c>
      <c r="B79" s="340" t="s">
        <v>67</v>
      </c>
      <c r="C79" s="341">
        <f>+C32</f>
        <v>11495414</v>
      </c>
      <c r="D79" s="341">
        <f>+D32</f>
        <v>11405827</v>
      </c>
      <c r="E79" s="341">
        <f>+E32</f>
        <v>28607725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42858903</v>
      </c>
      <c r="D80" s="341">
        <f>+D78+D79</f>
        <v>41748770</v>
      </c>
      <c r="E80" s="341">
        <f>+E78+E79</f>
        <v>58706127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19215</v>
      </c>
      <c r="D11" s="376">
        <v>5281</v>
      </c>
      <c r="E11" s="376">
        <v>5285</v>
      </c>
      <c r="F11" s="377">
        <v>65</v>
      </c>
      <c r="G11" s="377">
        <v>86</v>
      </c>
      <c r="H11" s="378">
        <f>IF(F11=0,0,$C11/(F11*365))</f>
        <v>0.80990516332982088</v>
      </c>
      <c r="I11" s="378">
        <f>IF(G11=0,0,$C11/(G11*365))</f>
        <v>0.61213762344695766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3019</v>
      </c>
      <c r="D13" s="376">
        <v>304</v>
      </c>
      <c r="E13" s="376">
        <v>0</v>
      </c>
      <c r="F13" s="377">
        <v>14</v>
      </c>
      <c r="G13" s="377">
        <v>14</v>
      </c>
      <c r="H13" s="378">
        <f>IF(F13=0,0,$C13/(F13*365))</f>
        <v>0.59080234833659495</v>
      </c>
      <c r="I13" s="378">
        <f>IF(G13=0,0,$C13/(G13*365))</f>
        <v>0.59080234833659495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4486</v>
      </c>
      <c r="D16" s="376">
        <v>1001</v>
      </c>
      <c r="E16" s="376">
        <v>1003</v>
      </c>
      <c r="F16" s="377">
        <v>14</v>
      </c>
      <c r="G16" s="377">
        <v>16</v>
      </c>
      <c r="H16" s="378">
        <f t="shared" si="0"/>
        <v>0.87788649706457922</v>
      </c>
      <c r="I16" s="378">
        <f t="shared" si="0"/>
        <v>0.76815068493150684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4486</v>
      </c>
      <c r="D17" s="381">
        <f>SUM(D15:D16)</f>
        <v>1001</v>
      </c>
      <c r="E17" s="381">
        <f>SUM(E15:E16)</f>
        <v>1003</v>
      </c>
      <c r="F17" s="381">
        <f>SUM(F15:F16)</f>
        <v>14</v>
      </c>
      <c r="G17" s="381">
        <f>SUM(G15:G16)</f>
        <v>16</v>
      </c>
      <c r="H17" s="382">
        <f t="shared" si="0"/>
        <v>0.87788649706457922</v>
      </c>
      <c r="I17" s="382">
        <f t="shared" si="0"/>
        <v>0.76815068493150684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1515</v>
      </c>
      <c r="D21" s="376">
        <v>564</v>
      </c>
      <c r="E21" s="376">
        <v>565</v>
      </c>
      <c r="F21" s="377">
        <v>11</v>
      </c>
      <c r="G21" s="377">
        <v>15</v>
      </c>
      <c r="H21" s="378">
        <f>IF(F21=0,0,$C21/(F21*365))</f>
        <v>0.37733499377334995</v>
      </c>
      <c r="I21" s="378">
        <f>IF(G21=0,0,$C21/(G21*365))</f>
        <v>0.27671232876712326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1422</v>
      </c>
      <c r="D23" s="376">
        <v>571</v>
      </c>
      <c r="E23" s="376">
        <v>575</v>
      </c>
      <c r="F23" s="377">
        <v>8</v>
      </c>
      <c r="G23" s="377">
        <v>20</v>
      </c>
      <c r="H23" s="378">
        <f>IF(F23=0,0,$C23/(F23*365))</f>
        <v>0.48698630136986304</v>
      </c>
      <c r="I23" s="378">
        <f>IF(G23=0,0,$C23/(G23*365))</f>
        <v>0.19479452054794522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53</v>
      </c>
      <c r="D27" s="376">
        <v>31</v>
      </c>
      <c r="E27" s="376">
        <v>30</v>
      </c>
      <c r="F27" s="377">
        <v>3</v>
      </c>
      <c r="G27" s="377">
        <v>3</v>
      </c>
      <c r="H27" s="378">
        <f>IF(F27=0,0,$C27/(F27*365))</f>
        <v>4.8401826484018265E-2</v>
      </c>
      <c r="I27" s="378">
        <f>IF(G27=0,0,$C27/(G27*365))</f>
        <v>4.8401826484018265E-2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28288</v>
      </c>
      <c r="D31" s="384">
        <f>SUM(D10:D29)-D13-D17-D23</f>
        <v>6877</v>
      </c>
      <c r="E31" s="384">
        <f>SUM(E10:E29)-E17-E23</f>
        <v>6883</v>
      </c>
      <c r="F31" s="384">
        <f>SUM(F10:F29)-F17-F23</f>
        <v>107</v>
      </c>
      <c r="G31" s="384">
        <f>SUM(G10:G29)-G17-G23</f>
        <v>134</v>
      </c>
      <c r="H31" s="385">
        <f>IF(F31=0,0,$C31/(F31*365))</f>
        <v>0.72431186787863266</v>
      </c>
      <c r="I31" s="385">
        <f>IF(G31=0,0,$C31/(G31*365))</f>
        <v>0.57836843181353503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29710</v>
      </c>
      <c r="D33" s="384">
        <f>SUM(D10:D29)-D13-D17</f>
        <v>7448</v>
      </c>
      <c r="E33" s="384">
        <f>SUM(E10:E29)-E17</f>
        <v>7458</v>
      </c>
      <c r="F33" s="384">
        <f>SUM(F10:F29)-F17</f>
        <v>115</v>
      </c>
      <c r="G33" s="384">
        <f>SUM(G10:G29)-G17</f>
        <v>154</v>
      </c>
      <c r="H33" s="385">
        <f>IF(F33=0,0,$C33/(F33*365))</f>
        <v>0.70780226325193563</v>
      </c>
      <c r="I33" s="385">
        <f>IF(G33=0,0,$C33/(G33*365))</f>
        <v>0.52855363814267919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29710</v>
      </c>
      <c r="D36" s="384">
        <f t="shared" si="1"/>
        <v>7448</v>
      </c>
      <c r="E36" s="384">
        <f t="shared" si="1"/>
        <v>7458</v>
      </c>
      <c r="F36" s="384">
        <f t="shared" si="1"/>
        <v>115</v>
      </c>
      <c r="G36" s="384">
        <f t="shared" si="1"/>
        <v>154</v>
      </c>
      <c r="H36" s="387">
        <f t="shared" si="1"/>
        <v>0.70780226325193563</v>
      </c>
      <c r="I36" s="387">
        <f t="shared" si="1"/>
        <v>0.52855363814267919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29383</v>
      </c>
      <c r="D37" s="384">
        <v>7565</v>
      </c>
      <c r="E37" s="384">
        <v>7563</v>
      </c>
      <c r="F37" s="386">
        <v>132</v>
      </c>
      <c r="G37" s="386">
        <v>154</v>
      </c>
      <c r="H37" s="385">
        <f>IF(F37=0,0,$C37/(F37*365))</f>
        <v>0.60985886259858868</v>
      </c>
      <c r="I37" s="385">
        <f>IF(G37=0,0,$C37/(G37*365))</f>
        <v>0.52273616794164735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327</v>
      </c>
      <c r="D38" s="384">
        <f t="shared" si="2"/>
        <v>-117</v>
      </c>
      <c r="E38" s="384">
        <f t="shared" si="2"/>
        <v>-105</v>
      </c>
      <c r="F38" s="384">
        <f t="shared" si="2"/>
        <v>-17</v>
      </c>
      <c r="G38" s="384">
        <f t="shared" si="2"/>
        <v>0</v>
      </c>
      <c r="H38" s="387">
        <f t="shared" si="2"/>
        <v>9.7943400653346946E-2</v>
      </c>
      <c r="I38" s="387">
        <f t="shared" si="2"/>
        <v>5.8174702010318491E-3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1.1128884048599531E-2</v>
      </c>
      <c r="D40" s="389">
        <f t="shared" si="3"/>
        <v>-1.5465961665565102E-2</v>
      </c>
      <c r="E40" s="389">
        <f t="shared" si="3"/>
        <v>-1.3883379611265371E-2</v>
      </c>
      <c r="F40" s="389">
        <f t="shared" si="3"/>
        <v>-0.12878787878787878</v>
      </c>
      <c r="G40" s="389">
        <f t="shared" si="3"/>
        <v>0</v>
      </c>
      <c r="H40" s="389">
        <f t="shared" si="3"/>
        <v>0.16060011038621841</v>
      </c>
      <c r="I40" s="389">
        <f t="shared" si="3"/>
        <v>1.112888404859954E-2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3489</v>
      </c>
      <c r="D12" s="409">
        <v>3443</v>
      </c>
      <c r="E12" s="409">
        <f>+D12-C12</f>
        <v>-46</v>
      </c>
      <c r="F12" s="410">
        <f>IF(C12=0,0,+E12/C12)</f>
        <v>-1.3184293493837776E-2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2792</v>
      </c>
      <c r="D13" s="409">
        <v>3466</v>
      </c>
      <c r="E13" s="409">
        <f>+D13-C13</f>
        <v>674</v>
      </c>
      <c r="F13" s="410">
        <f>IF(C13=0,0,+E13/C13)</f>
        <v>0.24140401146131804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4028</v>
      </c>
      <c r="D14" s="409">
        <v>4419</v>
      </c>
      <c r="E14" s="409">
        <f>+D14-C14</f>
        <v>391</v>
      </c>
      <c r="F14" s="410">
        <f>IF(C14=0,0,+E14/C14)</f>
        <v>9.7070506454816283E-2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10309</v>
      </c>
      <c r="D16" s="401">
        <f>SUM(D12:D15)</f>
        <v>11328</v>
      </c>
      <c r="E16" s="401">
        <f>+D16-C16</f>
        <v>1019</v>
      </c>
      <c r="F16" s="402">
        <f>IF(C16=0,0,+E16/C16)</f>
        <v>9.8845668833058495E-2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314</v>
      </c>
      <c r="D19" s="409">
        <v>415</v>
      </c>
      <c r="E19" s="409">
        <f>+D19-C19</f>
        <v>101</v>
      </c>
      <c r="F19" s="410">
        <f>IF(C19=0,0,+E19/C19)</f>
        <v>0.321656050955414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2675</v>
      </c>
      <c r="D20" s="409">
        <v>2471</v>
      </c>
      <c r="E20" s="409">
        <f>+D20-C20</f>
        <v>-204</v>
      </c>
      <c r="F20" s="410">
        <f>IF(C20=0,0,+E20/C20)</f>
        <v>-7.6261682242990653E-2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143</v>
      </c>
      <c r="D21" s="409">
        <v>88</v>
      </c>
      <c r="E21" s="409">
        <f>+D21-C21</f>
        <v>-55</v>
      </c>
      <c r="F21" s="410">
        <f>IF(C21=0,0,+E21/C21)</f>
        <v>-0.38461538461538464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3132</v>
      </c>
      <c r="D23" s="401">
        <f>SUM(D19:D22)</f>
        <v>2974</v>
      </c>
      <c r="E23" s="401">
        <f>+D23-C23</f>
        <v>-158</v>
      </c>
      <c r="F23" s="402">
        <f>IF(C23=0,0,+E23/C23)</f>
        <v>-5.0446998722860792E-2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</v>
      </c>
      <c r="D26" s="409">
        <v>1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191</v>
      </c>
      <c r="D27" s="409">
        <v>194</v>
      </c>
      <c r="E27" s="409">
        <f>+D27-C27</f>
        <v>3</v>
      </c>
      <c r="F27" s="410">
        <f>IF(C27=0,0,+E27/C27)</f>
        <v>1.5706806282722512E-2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192</v>
      </c>
      <c r="D30" s="401">
        <f>SUM(D26:D29)</f>
        <v>195</v>
      </c>
      <c r="E30" s="401">
        <f>+D30-C30</f>
        <v>3</v>
      </c>
      <c r="F30" s="402">
        <f>IF(C30=0,0,+E30/C30)</f>
        <v>1.5625E-2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1219</v>
      </c>
      <c r="D63" s="409">
        <v>1173</v>
      </c>
      <c r="E63" s="409">
        <f>+D63-C63</f>
        <v>-46</v>
      </c>
      <c r="F63" s="410">
        <f>IF(C63=0,0,+E63/C63)</f>
        <v>-3.7735849056603772E-2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3412</v>
      </c>
      <c r="D64" s="409">
        <v>3464</v>
      </c>
      <c r="E64" s="409">
        <f>+D64-C64</f>
        <v>52</v>
      </c>
      <c r="F64" s="410">
        <f>IF(C64=0,0,+E64/C64)</f>
        <v>1.5240328253223915E-2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4631</v>
      </c>
      <c r="D65" s="401">
        <f>SUM(D63:D64)</f>
        <v>4637</v>
      </c>
      <c r="E65" s="401">
        <f>+D65-C65</f>
        <v>6</v>
      </c>
      <c r="F65" s="402">
        <f>IF(C65=0,0,+E65/C65)</f>
        <v>1.2956164975167351E-3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490</v>
      </c>
      <c r="D68" s="409">
        <v>456</v>
      </c>
      <c r="E68" s="409">
        <f>+D68-C68</f>
        <v>-34</v>
      </c>
      <c r="F68" s="410">
        <f>IF(C68=0,0,+E68/C68)</f>
        <v>-6.9387755102040816E-2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1701</v>
      </c>
      <c r="D69" s="409">
        <v>1719</v>
      </c>
      <c r="E69" s="409">
        <f>+D69-C69</f>
        <v>18</v>
      </c>
      <c r="F69" s="412">
        <f>IF(C69=0,0,+E69/C69)</f>
        <v>1.0582010582010581E-2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2191</v>
      </c>
      <c r="D70" s="401">
        <f>SUM(D68:D69)</f>
        <v>2175</v>
      </c>
      <c r="E70" s="401">
        <f>+D70-C70</f>
        <v>-16</v>
      </c>
      <c r="F70" s="402">
        <f>IF(C70=0,0,+E70/C70)</f>
        <v>-7.3026015518028297E-3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5787</v>
      </c>
      <c r="D73" s="376">
        <v>5771</v>
      </c>
      <c r="E73" s="409">
        <f>+D73-C73</f>
        <v>-16</v>
      </c>
      <c r="F73" s="410">
        <f>IF(C73=0,0,+E73/C73)</f>
        <v>-2.7648176948332471E-3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32242</v>
      </c>
      <c r="D74" s="376">
        <v>32582</v>
      </c>
      <c r="E74" s="409">
        <f>+D74-C74</f>
        <v>340</v>
      </c>
      <c r="F74" s="410">
        <f>IF(C74=0,0,+E74/C74)</f>
        <v>1.0545251535264562E-2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38029</v>
      </c>
      <c r="D75" s="401">
        <f>SUM(D73:D74)</f>
        <v>38353</v>
      </c>
      <c r="E75" s="401">
        <f>SUM(E73:E74)</f>
        <v>324</v>
      </c>
      <c r="F75" s="402">
        <f>IF(C75=0,0,+E75/C75)</f>
        <v>8.5198138262904625E-3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26892</v>
      </c>
      <c r="D81" s="376">
        <v>30233</v>
      </c>
      <c r="E81" s="409">
        <f t="shared" si="0"/>
        <v>3341</v>
      </c>
      <c r="F81" s="410">
        <f t="shared" si="1"/>
        <v>0.12423769150676781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26892</v>
      </c>
      <c r="D92" s="381">
        <f>SUM(D79:D91)</f>
        <v>30233</v>
      </c>
      <c r="E92" s="401">
        <f t="shared" si="0"/>
        <v>3341</v>
      </c>
      <c r="F92" s="402">
        <f t="shared" si="1"/>
        <v>0.12423769150676781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91757</v>
      </c>
      <c r="D95" s="414">
        <v>77429</v>
      </c>
      <c r="E95" s="415">
        <f t="shared" ref="E95:E100" si="2">+D95-C95</f>
        <v>-14328</v>
      </c>
      <c r="F95" s="412">
        <f t="shared" ref="F95:F100" si="3">IF(C95=0,0,+E95/C95)</f>
        <v>-0.15615157426681342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3487</v>
      </c>
      <c r="D96" s="414">
        <v>3597</v>
      </c>
      <c r="E96" s="409">
        <f t="shared" si="2"/>
        <v>110</v>
      </c>
      <c r="F96" s="410">
        <f t="shared" si="3"/>
        <v>3.1545741324921134E-2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8982</v>
      </c>
      <c r="D97" s="414">
        <v>9259</v>
      </c>
      <c r="E97" s="409">
        <f t="shared" si="2"/>
        <v>277</v>
      </c>
      <c r="F97" s="410">
        <f t="shared" si="3"/>
        <v>3.0839456691160099E-2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1131</v>
      </c>
      <c r="D98" s="414">
        <v>1128</v>
      </c>
      <c r="E98" s="409">
        <f t="shared" si="2"/>
        <v>-3</v>
      </c>
      <c r="F98" s="410">
        <f t="shared" si="3"/>
        <v>-2.6525198938992041E-3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3039</v>
      </c>
      <c r="D99" s="414">
        <v>2967</v>
      </c>
      <c r="E99" s="409">
        <f t="shared" si="2"/>
        <v>-72</v>
      </c>
      <c r="F99" s="410">
        <f t="shared" si="3"/>
        <v>-2.3692003948667325E-2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108396</v>
      </c>
      <c r="D100" s="381">
        <f>SUM(D95:D99)</f>
        <v>94380</v>
      </c>
      <c r="E100" s="401">
        <f t="shared" si="2"/>
        <v>-14016</v>
      </c>
      <c r="F100" s="402">
        <f t="shared" si="3"/>
        <v>-0.12930366434185764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281.39999999999998</v>
      </c>
      <c r="D104" s="416">
        <v>226</v>
      </c>
      <c r="E104" s="417">
        <f>+D104-C104</f>
        <v>-55.399999999999977</v>
      </c>
      <c r="F104" s="410">
        <f>IF(C104=0,0,+E104/C104)</f>
        <v>-0.19687277896233113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1.4</v>
      </c>
      <c r="D105" s="416">
        <v>1.6</v>
      </c>
      <c r="E105" s="417">
        <f>+D105-C105</f>
        <v>0.20000000000000018</v>
      </c>
      <c r="F105" s="410">
        <f>IF(C105=0,0,+E105/C105)</f>
        <v>0.14285714285714299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580.9</v>
      </c>
      <c r="D106" s="416">
        <v>627.4</v>
      </c>
      <c r="E106" s="417">
        <f>+D106-C106</f>
        <v>46.5</v>
      </c>
      <c r="F106" s="410">
        <f>IF(C106=0,0,+E106/C106)</f>
        <v>8.0048201067309352E-2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863.69999999999993</v>
      </c>
      <c r="D107" s="418">
        <f>SUM(D104:D106)</f>
        <v>855</v>
      </c>
      <c r="E107" s="418">
        <f>+D107-C107</f>
        <v>-8.6999999999999318</v>
      </c>
      <c r="F107" s="402">
        <f>IF(C107=0,0,+E107/C107)</f>
        <v>-1.0072941993747751E-2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3412</v>
      </c>
      <c r="D12" s="409">
        <v>3464</v>
      </c>
      <c r="E12" s="409">
        <f>+D12-C12</f>
        <v>52</v>
      </c>
      <c r="F12" s="410">
        <f>IF(C12=0,0,+E12/C12)</f>
        <v>1.5240328253223915E-2</v>
      </c>
    </row>
    <row r="13" spans="1:6" ht="15.75" customHeight="1" x14ac:dyDescent="0.25">
      <c r="A13" s="374"/>
      <c r="B13" s="399" t="s">
        <v>622</v>
      </c>
      <c r="C13" s="401">
        <f>SUM(C11:C12)</f>
        <v>3412</v>
      </c>
      <c r="D13" s="401">
        <f>SUM(D11:D12)</f>
        <v>3464</v>
      </c>
      <c r="E13" s="401">
        <f>+D13-C13</f>
        <v>52</v>
      </c>
      <c r="F13" s="402">
        <f>IF(C13=0,0,+E13/C13)</f>
        <v>1.5240328253223915E-2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1701</v>
      </c>
      <c r="D16" s="409">
        <v>1719</v>
      </c>
      <c r="E16" s="409">
        <f>+D16-C16</f>
        <v>18</v>
      </c>
      <c r="F16" s="410">
        <f>IF(C16=0,0,+E16/C16)</f>
        <v>1.0582010582010581E-2</v>
      </c>
    </row>
    <row r="17" spans="1:6" ht="15.75" customHeight="1" x14ac:dyDescent="0.25">
      <c r="A17" s="374"/>
      <c r="B17" s="399" t="s">
        <v>623</v>
      </c>
      <c r="C17" s="401">
        <f>SUM(C15:C16)</f>
        <v>1701</v>
      </c>
      <c r="D17" s="401">
        <f>SUM(D15:D16)</f>
        <v>1719</v>
      </c>
      <c r="E17" s="401">
        <f>+D17-C17</f>
        <v>18</v>
      </c>
      <c r="F17" s="402">
        <f>IF(C17=0,0,+E17/C17)</f>
        <v>1.0582010582010581E-2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32242</v>
      </c>
      <c r="D20" s="409">
        <v>32582</v>
      </c>
      <c r="E20" s="409">
        <f>+D20-C20</f>
        <v>340</v>
      </c>
      <c r="F20" s="410">
        <f>IF(C20=0,0,+E20/C20)</f>
        <v>1.0545251535264562E-2</v>
      </c>
    </row>
    <row r="21" spans="1:6" ht="15.75" customHeight="1" x14ac:dyDescent="0.25">
      <c r="A21" s="374"/>
      <c r="B21" s="399" t="s">
        <v>625</v>
      </c>
      <c r="C21" s="401">
        <f>SUM(C19:C20)</f>
        <v>32242</v>
      </c>
      <c r="D21" s="401">
        <f>SUM(D19:D20)</f>
        <v>32582</v>
      </c>
      <c r="E21" s="401">
        <f>+D21-C21</f>
        <v>340</v>
      </c>
      <c r="F21" s="402">
        <f>IF(C21=0,0,+E21/C21)</f>
        <v>1.0545251535264562E-2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79117811</v>
      </c>
      <c r="D15" s="448">
        <v>88728635</v>
      </c>
      <c r="E15" s="448">
        <f t="shared" ref="E15:E24" si="0">D15-C15</f>
        <v>9610824</v>
      </c>
      <c r="F15" s="449">
        <f t="shared" ref="F15:F24" si="1">IF(C15=0,0,E15/C15)</f>
        <v>0.12147484717442449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31448123</v>
      </c>
      <c r="D16" s="448">
        <v>29984757</v>
      </c>
      <c r="E16" s="448">
        <f t="shared" si="0"/>
        <v>-1463366</v>
      </c>
      <c r="F16" s="449">
        <f t="shared" si="1"/>
        <v>-4.65326976748342E-2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0.39748474588105071</v>
      </c>
      <c r="D17" s="453">
        <f>IF(LN_IA1=0,0,LN_IA2/LN_IA1)</f>
        <v>0.3379377694697997</v>
      </c>
      <c r="E17" s="454">
        <f t="shared" si="0"/>
        <v>-5.9546976411251007E-2</v>
      </c>
      <c r="F17" s="449">
        <f t="shared" si="1"/>
        <v>-0.14980946320156582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3565</v>
      </c>
      <c r="D18" s="456">
        <v>3584</v>
      </c>
      <c r="E18" s="456">
        <f t="shared" si="0"/>
        <v>19</v>
      </c>
      <c r="F18" s="449">
        <f t="shared" si="1"/>
        <v>5.3295932678821883E-3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1.2996000000000001</v>
      </c>
      <c r="D19" s="459">
        <v>1.2511000000000001</v>
      </c>
      <c r="E19" s="460">
        <f t="shared" si="0"/>
        <v>-4.8499999999999988E-2</v>
      </c>
      <c r="F19" s="449">
        <f t="shared" si="1"/>
        <v>-3.731917513080947E-2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4633.0740000000005</v>
      </c>
      <c r="D20" s="463">
        <f>LN_IA4*LN_IA5</f>
        <v>4483.9423999999999</v>
      </c>
      <c r="E20" s="463">
        <f t="shared" si="0"/>
        <v>-149.13160000000062</v>
      </c>
      <c r="F20" s="449">
        <f t="shared" si="1"/>
        <v>-3.2188477887467502E-2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6787.7445946255111</v>
      </c>
      <c r="D21" s="465">
        <f>IF(LN_IA6=0,0,LN_IA2/LN_IA6)</f>
        <v>6687.1414316116106</v>
      </c>
      <c r="E21" s="465">
        <f t="shared" si="0"/>
        <v>-100.60316301390048</v>
      </c>
      <c r="F21" s="449">
        <f t="shared" si="1"/>
        <v>-1.4821294704216975E-2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15919</v>
      </c>
      <c r="D22" s="456">
        <v>16506</v>
      </c>
      <c r="E22" s="456">
        <f t="shared" si="0"/>
        <v>587</v>
      </c>
      <c r="F22" s="449">
        <f t="shared" si="1"/>
        <v>3.6874175513537284E-2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1975.5087002952446</v>
      </c>
      <c r="D23" s="465">
        <f>IF(LN_IA8=0,0,LN_IA2/LN_IA8)</f>
        <v>1816.59741912032</v>
      </c>
      <c r="E23" s="465">
        <f t="shared" si="0"/>
        <v>-158.91128117492462</v>
      </c>
      <c r="F23" s="449">
        <f t="shared" si="1"/>
        <v>-8.0440689100065688E-2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4.4653576437587654</v>
      </c>
      <c r="D24" s="466">
        <f>IF(LN_IA4=0,0,LN_IA8/LN_IA4)</f>
        <v>4.60546875</v>
      </c>
      <c r="E24" s="466">
        <f t="shared" si="0"/>
        <v>0.14011110624123457</v>
      </c>
      <c r="F24" s="449">
        <f t="shared" si="1"/>
        <v>3.1377353712544839E-2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92144018</v>
      </c>
      <c r="D27" s="448">
        <v>107030797</v>
      </c>
      <c r="E27" s="448">
        <f t="shared" ref="E27:E32" si="2">D27-C27</f>
        <v>14886779</v>
      </c>
      <c r="F27" s="449">
        <f t="shared" ref="F27:F32" si="3">IF(C27=0,0,E27/C27)</f>
        <v>0.16155990723130828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17962168</v>
      </c>
      <c r="D28" s="448">
        <v>17909657</v>
      </c>
      <c r="E28" s="448">
        <f t="shared" si="2"/>
        <v>-52511</v>
      </c>
      <c r="F28" s="449">
        <f t="shared" si="3"/>
        <v>-2.9234221615119065E-3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0.19493580147546855</v>
      </c>
      <c r="D29" s="453">
        <f>IF(LN_IA11=0,0,LN_IA12/LN_IA11)</f>
        <v>0.16733181011442902</v>
      </c>
      <c r="E29" s="454">
        <f t="shared" si="2"/>
        <v>-2.7603991361039526E-2</v>
      </c>
      <c r="F29" s="449">
        <f t="shared" si="3"/>
        <v>-0.14160554988927118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1.1646431673899573</v>
      </c>
      <c r="D30" s="453">
        <f>IF(LN_IA1=0,0,LN_IA11/LN_IA1)</f>
        <v>1.2062711998217936</v>
      </c>
      <c r="E30" s="454">
        <f t="shared" si="2"/>
        <v>4.1628032431836326E-2</v>
      </c>
      <c r="F30" s="449">
        <f t="shared" si="3"/>
        <v>3.5743164599615102E-2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4151.952891745198</v>
      </c>
      <c r="D31" s="463">
        <f>LN_IA14*LN_IA4</f>
        <v>4323.2759801613083</v>
      </c>
      <c r="E31" s="463">
        <f t="shared" si="2"/>
        <v>171.32308841611029</v>
      </c>
      <c r="F31" s="449">
        <f t="shared" si="3"/>
        <v>4.1263254396920128E-2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4326.1974469199549</v>
      </c>
      <c r="D32" s="465">
        <f>IF(LN_IA15=0,0,LN_IA12/LN_IA15)</f>
        <v>4142.6124730838401</v>
      </c>
      <c r="E32" s="465">
        <f t="shared" si="2"/>
        <v>-183.58497383611484</v>
      </c>
      <c r="F32" s="449">
        <f t="shared" si="3"/>
        <v>-4.2435643793100226E-2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171261829</v>
      </c>
      <c r="D35" s="448">
        <f>LN_IA1+LN_IA11</f>
        <v>195759432</v>
      </c>
      <c r="E35" s="448">
        <f>D35-C35</f>
        <v>24497603</v>
      </c>
      <c r="F35" s="449">
        <f>IF(C35=0,0,E35/C35)</f>
        <v>0.14304181581524508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49410291</v>
      </c>
      <c r="D36" s="448">
        <f>LN_IA2+LN_IA12</f>
        <v>47894414</v>
      </c>
      <c r="E36" s="448">
        <f>D36-C36</f>
        <v>-1515877</v>
      </c>
      <c r="F36" s="449">
        <f>IF(C36=0,0,E36/C36)</f>
        <v>-3.0679378107690156E-2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121851538</v>
      </c>
      <c r="D37" s="448">
        <f>LN_IA17-LN_IA18</f>
        <v>147865018</v>
      </c>
      <c r="E37" s="448">
        <f>D37-C37</f>
        <v>26013480</v>
      </c>
      <c r="F37" s="449">
        <f>IF(C37=0,0,E37/C37)</f>
        <v>0.21348503619215706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39512803</v>
      </c>
      <c r="D42" s="448">
        <v>44140043</v>
      </c>
      <c r="E42" s="448">
        <f t="shared" ref="E42:E53" si="4">D42-C42</f>
        <v>4627240</v>
      </c>
      <c r="F42" s="449">
        <f t="shared" ref="F42:F53" si="5">IF(C42=0,0,E42/C42)</f>
        <v>0.11710735884771323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23201211</v>
      </c>
      <c r="D43" s="448">
        <v>21278054</v>
      </c>
      <c r="E43" s="448">
        <f t="shared" si="4"/>
        <v>-1923157</v>
      </c>
      <c r="F43" s="449">
        <f t="shared" si="5"/>
        <v>-8.2890371541382041E-2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0.58718210904956558</v>
      </c>
      <c r="D44" s="453">
        <f>IF(LN_IB1=0,0,LN_IB2/LN_IB1)</f>
        <v>0.48205784484623182</v>
      </c>
      <c r="E44" s="454">
        <f t="shared" si="4"/>
        <v>-0.10512426420333376</v>
      </c>
      <c r="F44" s="449">
        <f t="shared" si="5"/>
        <v>-0.17903179027966595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2350</v>
      </c>
      <c r="D45" s="456">
        <v>2202</v>
      </c>
      <c r="E45" s="456">
        <f t="shared" si="4"/>
        <v>-148</v>
      </c>
      <c r="F45" s="449">
        <f t="shared" si="5"/>
        <v>-6.2978723404255324E-2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0.96519999999999995</v>
      </c>
      <c r="D46" s="459">
        <v>1.024</v>
      </c>
      <c r="E46" s="460">
        <f t="shared" si="4"/>
        <v>5.8800000000000074E-2</v>
      </c>
      <c r="F46" s="449">
        <f t="shared" si="5"/>
        <v>6.092001657687534E-2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2268.2199999999998</v>
      </c>
      <c r="D47" s="463">
        <f>LN_IB4*LN_IB5</f>
        <v>2254.848</v>
      </c>
      <c r="E47" s="463">
        <f t="shared" si="4"/>
        <v>-13.371999999999844</v>
      </c>
      <c r="F47" s="449">
        <f t="shared" si="5"/>
        <v>-5.8953717011576675E-3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10228.818633113191</v>
      </c>
      <c r="D48" s="465">
        <f>IF(LN_IB6=0,0,LN_IB2/LN_IB6)</f>
        <v>9436.5802040758408</v>
      </c>
      <c r="E48" s="465">
        <f t="shared" si="4"/>
        <v>-792.23842903735022</v>
      </c>
      <c r="F48" s="449">
        <f t="shared" si="5"/>
        <v>-7.7451605845535315E-2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-3441.0740384876799</v>
      </c>
      <c r="D49" s="465">
        <f>LN_IA7-LN_IB7</f>
        <v>-2749.4387724642302</v>
      </c>
      <c r="E49" s="465">
        <f t="shared" si="4"/>
        <v>691.63526602344973</v>
      </c>
      <c r="F49" s="449">
        <f t="shared" si="5"/>
        <v>-0.20099400893083283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-7805112.9555785246</v>
      </c>
      <c r="D50" s="479">
        <f>LN_IB8*LN_IB6</f>
        <v>-6199566.5172134247</v>
      </c>
      <c r="E50" s="479">
        <f t="shared" si="4"/>
        <v>1605546.4383651</v>
      </c>
      <c r="F50" s="449">
        <f t="shared" si="5"/>
        <v>-0.20570444623963741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7290</v>
      </c>
      <c r="D51" s="456">
        <v>7164</v>
      </c>
      <c r="E51" s="456">
        <f t="shared" si="4"/>
        <v>-126</v>
      </c>
      <c r="F51" s="449">
        <f t="shared" si="5"/>
        <v>-1.7283950617283949E-2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3182.607818930041</v>
      </c>
      <c r="D52" s="465">
        <f>IF(LN_IB10=0,0,LN_IB2/LN_IB10)</f>
        <v>2970.1359575656056</v>
      </c>
      <c r="E52" s="465">
        <f t="shared" si="4"/>
        <v>-212.47186136443543</v>
      </c>
      <c r="F52" s="449">
        <f t="shared" si="5"/>
        <v>-6.6760302699145069E-2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3.1021276595744682</v>
      </c>
      <c r="D53" s="466">
        <f>IF(LN_IB4=0,0,LN_IB10/LN_IB4)</f>
        <v>3.2534059945504086</v>
      </c>
      <c r="E53" s="466">
        <f t="shared" si="4"/>
        <v>0.15127833497594034</v>
      </c>
      <c r="F53" s="449">
        <f t="shared" si="5"/>
        <v>4.8765992756304499E-2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102526901</v>
      </c>
      <c r="D56" s="448">
        <v>105052147</v>
      </c>
      <c r="E56" s="448">
        <f t="shared" ref="E56:E63" si="6">D56-C56</f>
        <v>2525246</v>
      </c>
      <c r="F56" s="449">
        <f t="shared" ref="F56:F63" si="7">IF(C56=0,0,E56/C56)</f>
        <v>2.4630082206425024E-2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34947784</v>
      </c>
      <c r="D57" s="448">
        <v>38805772</v>
      </c>
      <c r="E57" s="448">
        <f t="shared" si="6"/>
        <v>3857988</v>
      </c>
      <c r="F57" s="449">
        <f t="shared" si="7"/>
        <v>0.11039292219500955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0.34086453076349199</v>
      </c>
      <c r="D58" s="453">
        <f>IF(LN_IB13=0,0,LN_IB14/LN_IB13)</f>
        <v>0.36939532516170281</v>
      </c>
      <c r="E58" s="454">
        <f t="shared" si="6"/>
        <v>2.8530794398210824E-2</v>
      </c>
      <c r="F58" s="449">
        <f t="shared" si="7"/>
        <v>8.3701270807806177E-2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2.5947767107284188</v>
      </c>
      <c r="D59" s="453">
        <f>IF(LN_IB1=0,0,LN_IB13/LN_IB1)</f>
        <v>2.3799738255805507</v>
      </c>
      <c r="E59" s="454">
        <f t="shared" si="6"/>
        <v>-0.21480288514786805</v>
      </c>
      <c r="F59" s="449">
        <f t="shared" si="7"/>
        <v>-8.2782801410132709E-2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6097.7252702117839</v>
      </c>
      <c r="D60" s="463">
        <f>LN_IB16*LN_IB4</f>
        <v>5240.7023639283725</v>
      </c>
      <c r="E60" s="463">
        <f t="shared" si="6"/>
        <v>-857.02290628341143</v>
      </c>
      <c r="F60" s="449">
        <f t="shared" si="7"/>
        <v>-0.14054796966174987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5731.2821505299153</v>
      </c>
      <c r="D61" s="465">
        <f>IF(LN_IB17=0,0,LN_IB14/LN_IB17)</f>
        <v>7404.689162868548</v>
      </c>
      <c r="E61" s="465">
        <f t="shared" si="6"/>
        <v>1673.4070123386327</v>
      </c>
      <c r="F61" s="449">
        <f t="shared" si="7"/>
        <v>0.29197777537159103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-1405.0847036099603</v>
      </c>
      <c r="D62" s="465">
        <f>LN_IA16-LN_IB18</f>
        <v>-3262.0766897847079</v>
      </c>
      <c r="E62" s="465">
        <f t="shared" si="6"/>
        <v>-1856.9919861747476</v>
      </c>
      <c r="F62" s="449">
        <f t="shared" si="7"/>
        <v>1.3216228042364575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-8567820.50399049</v>
      </c>
      <c r="D63" s="448">
        <f>LN_IB19*LN_IB17</f>
        <v>-17095573.01947036</v>
      </c>
      <c r="E63" s="448">
        <f t="shared" si="6"/>
        <v>-8527752.5154798701</v>
      </c>
      <c r="F63" s="449">
        <f t="shared" si="7"/>
        <v>0.99532343278060531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142039704</v>
      </c>
      <c r="D66" s="448">
        <f>LN_IB1+LN_IB13</f>
        <v>149192190</v>
      </c>
      <c r="E66" s="448">
        <f>D66-C66</f>
        <v>7152486</v>
      </c>
      <c r="F66" s="449">
        <f>IF(C66=0,0,E66/C66)</f>
        <v>5.0355540025625513E-2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58148995</v>
      </c>
      <c r="D67" s="448">
        <f>LN_IB2+LN_IB14</f>
        <v>60083826</v>
      </c>
      <c r="E67" s="448">
        <f>D67-C67</f>
        <v>1934831</v>
      </c>
      <c r="F67" s="449">
        <f>IF(C67=0,0,E67/C67)</f>
        <v>3.3273679106577851E-2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83890709</v>
      </c>
      <c r="D68" s="448">
        <f>LN_IB21-LN_IB22</f>
        <v>89108364</v>
      </c>
      <c r="E68" s="448">
        <f>D68-C68</f>
        <v>5217655</v>
      </c>
      <c r="F68" s="449">
        <f>IF(C68=0,0,E68/C68)</f>
        <v>6.2195862476260633E-2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-16372933.459569015</v>
      </c>
      <c r="D70" s="441">
        <f>LN_IB9+LN_IB20</f>
        <v>-23295139.536683783</v>
      </c>
      <c r="E70" s="448">
        <f>D70-C70</f>
        <v>-6922206.0771147683</v>
      </c>
      <c r="F70" s="449">
        <f>IF(C70=0,0,E70/C70)</f>
        <v>0.42278349778971019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128985172</v>
      </c>
      <c r="D73" s="488">
        <v>135913793</v>
      </c>
      <c r="E73" s="488">
        <f>D73-C73</f>
        <v>6928621</v>
      </c>
      <c r="F73" s="489">
        <f>IF(C73=0,0,E73/C73)</f>
        <v>5.3716414782933347E-2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61783743</v>
      </c>
      <c r="D74" s="488">
        <v>64368275</v>
      </c>
      <c r="E74" s="488">
        <f>D74-C74</f>
        <v>2584532</v>
      </c>
      <c r="F74" s="489">
        <f>IF(C74=0,0,E74/C74)</f>
        <v>4.1831910378107066E-2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67201429</v>
      </c>
      <c r="D76" s="441">
        <f>LN_IB32-LN_IB33</f>
        <v>71545518</v>
      </c>
      <c r="E76" s="488">
        <f>D76-C76</f>
        <v>4344089</v>
      </c>
      <c r="F76" s="489">
        <f>IF(E76=0,0,E76/C76)</f>
        <v>6.4642806926025337E-2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0.52100119694378511</v>
      </c>
      <c r="D77" s="453">
        <f>IF(LN_IB32=0,0,LN_IB34/LN_IB32)</f>
        <v>0.52640365941372858</v>
      </c>
      <c r="E77" s="493">
        <f>D77-C77</f>
        <v>5.4024624699434698E-3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1720349</v>
      </c>
      <c r="D83" s="448">
        <v>2026235</v>
      </c>
      <c r="E83" s="448">
        <f t="shared" ref="E83:E95" si="8">D83-C83</f>
        <v>305886</v>
      </c>
      <c r="F83" s="449">
        <f t="shared" ref="F83:F95" si="9">IF(C83=0,0,E83/C83)</f>
        <v>0.1778046198765483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13248</v>
      </c>
      <c r="D84" s="448">
        <v>10370</v>
      </c>
      <c r="E84" s="448">
        <f t="shared" si="8"/>
        <v>-2878</v>
      </c>
      <c r="F84" s="449">
        <f t="shared" si="9"/>
        <v>-0.2172403381642512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7.7007630428477013E-3</v>
      </c>
      <c r="D85" s="453">
        <f>IF(LN_IC1=0,0,LN_IC2/LN_IC1)</f>
        <v>5.1178663876598716E-3</v>
      </c>
      <c r="E85" s="454">
        <f t="shared" si="8"/>
        <v>-2.5828966551878297E-3</v>
      </c>
      <c r="F85" s="449">
        <f t="shared" si="9"/>
        <v>-0.33540788631157364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119</v>
      </c>
      <c r="D86" s="456">
        <v>132</v>
      </c>
      <c r="E86" s="456">
        <f t="shared" si="8"/>
        <v>13</v>
      </c>
      <c r="F86" s="449">
        <f t="shared" si="9"/>
        <v>0.1092436974789916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0.94</v>
      </c>
      <c r="D87" s="459">
        <v>1.0887</v>
      </c>
      <c r="E87" s="460">
        <f t="shared" si="8"/>
        <v>0.14870000000000005</v>
      </c>
      <c r="F87" s="449">
        <f t="shared" si="9"/>
        <v>0.15819148936170219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111.86</v>
      </c>
      <c r="D88" s="463">
        <f>LN_IC4*LN_IC5</f>
        <v>143.70840000000001</v>
      </c>
      <c r="E88" s="463">
        <f t="shared" si="8"/>
        <v>31.848400000000012</v>
      </c>
      <c r="F88" s="449">
        <f t="shared" si="9"/>
        <v>0.28471661004827475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118.43375648131592</v>
      </c>
      <c r="D89" s="465">
        <f>IF(LN_IC6=0,0,LN_IC2/LN_IC6)</f>
        <v>72.160012915041847</v>
      </c>
      <c r="E89" s="465">
        <f t="shared" si="8"/>
        <v>-46.273743566274078</v>
      </c>
      <c r="F89" s="449">
        <f t="shared" si="9"/>
        <v>-0.39071414215907446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10110.384876631875</v>
      </c>
      <c r="D90" s="465">
        <f>LN_IB7-LN_IC7</f>
        <v>9364.4201911607997</v>
      </c>
      <c r="E90" s="465">
        <f t="shared" si="8"/>
        <v>-745.96468547107543</v>
      </c>
      <c r="F90" s="449">
        <f t="shared" si="9"/>
        <v>-7.3782026557191016E-2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6669.3108381441953</v>
      </c>
      <c r="D91" s="465">
        <f>LN_IA7-LN_IC7</f>
        <v>6614.9814186965687</v>
      </c>
      <c r="E91" s="465">
        <f t="shared" si="8"/>
        <v>-54.329419447626606</v>
      </c>
      <c r="F91" s="449">
        <f t="shared" si="9"/>
        <v>-8.1461819318567451E-3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746029.11035480967</v>
      </c>
      <c r="D92" s="441">
        <f>LN_IC9*LN_IC6</f>
        <v>950628.39571061404</v>
      </c>
      <c r="E92" s="441">
        <f t="shared" si="8"/>
        <v>204599.28535580437</v>
      </c>
      <c r="F92" s="449">
        <f t="shared" si="9"/>
        <v>0.27425107481194327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370</v>
      </c>
      <c r="D93" s="456">
        <v>368</v>
      </c>
      <c r="E93" s="456">
        <f t="shared" si="8"/>
        <v>-2</v>
      </c>
      <c r="F93" s="449">
        <f t="shared" si="9"/>
        <v>-5.4054054054054057E-3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35.805405405405402</v>
      </c>
      <c r="D94" s="499">
        <f>IF(LN_IC11=0,0,LN_IC2/LN_IC11)</f>
        <v>28.179347826086957</v>
      </c>
      <c r="E94" s="499">
        <f t="shared" si="8"/>
        <v>-7.6260575793184451</v>
      </c>
      <c r="F94" s="449">
        <f t="shared" si="9"/>
        <v>-0.2129862095673177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3.1092436974789917</v>
      </c>
      <c r="D95" s="466">
        <f>IF(LN_IC4=0,0,LN_IC11/LN_IC4)</f>
        <v>2.7878787878787881</v>
      </c>
      <c r="E95" s="466">
        <f t="shared" si="8"/>
        <v>-0.32136490960020359</v>
      </c>
      <c r="F95" s="449">
        <f t="shared" si="9"/>
        <v>-0.10335790335790332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5636956</v>
      </c>
      <c r="D98" s="448">
        <v>6665563</v>
      </c>
      <c r="E98" s="448">
        <f t="shared" ref="E98:E106" si="10">D98-C98</f>
        <v>1028607</v>
      </c>
      <c r="F98" s="449">
        <f t="shared" ref="F98:F106" si="11">IF(C98=0,0,E98/C98)</f>
        <v>0.18247561272431434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36556</v>
      </c>
      <c r="D99" s="448">
        <v>75205</v>
      </c>
      <c r="E99" s="448">
        <f t="shared" si="10"/>
        <v>38649</v>
      </c>
      <c r="F99" s="449">
        <f t="shared" si="11"/>
        <v>1.0572546230440967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6.4850603765578448E-3</v>
      </c>
      <c r="D100" s="453">
        <f>IF(LN_IC14=0,0,LN_IC15/LN_IC14)</f>
        <v>1.1282617837382979E-2</v>
      </c>
      <c r="E100" s="454">
        <f t="shared" si="10"/>
        <v>4.7975574608251342E-3</v>
      </c>
      <c r="F100" s="449">
        <f t="shared" si="11"/>
        <v>0.73978609022165998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3.2766351478682525</v>
      </c>
      <c r="D101" s="453">
        <f>IF(LN_IC1=0,0,LN_IC14/LN_IC1)</f>
        <v>3.2896297813432303</v>
      </c>
      <c r="E101" s="454">
        <f t="shared" si="10"/>
        <v>1.2994633474977757E-2</v>
      </c>
      <c r="F101" s="449">
        <f t="shared" si="11"/>
        <v>3.9658469400939986E-3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389.91958259632207</v>
      </c>
      <c r="D102" s="463">
        <f>LN_IC17*LN_IC4</f>
        <v>434.23113113730642</v>
      </c>
      <c r="E102" s="463">
        <f t="shared" si="10"/>
        <v>44.311548540984347</v>
      </c>
      <c r="F102" s="449">
        <f t="shared" si="11"/>
        <v>0.1136427882024572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93.752664989503444</v>
      </c>
      <c r="D103" s="465">
        <f>IF(LN_IC18=0,0,LN_IC15/LN_IC18)</f>
        <v>173.19117540704318</v>
      </c>
      <c r="E103" s="465">
        <f t="shared" si="10"/>
        <v>79.438510417539732</v>
      </c>
      <c r="F103" s="449">
        <f t="shared" si="11"/>
        <v>0.84732002473138945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5637.5294855404118</v>
      </c>
      <c r="D104" s="465">
        <f>LN_IB18-LN_IC19</f>
        <v>7231.4979874615046</v>
      </c>
      <c r="E104" s="465">
        <f t="shared" si="10"/>
        <v>1593.9685019210929</v>
      </c>
      <c r="F104" s="449">
        <f t="shared" si="11"/>
        <v>0.28274237962026294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4232.4447819304514</v>
      </c>
      <c r="D105" s="465">
        <f>LN_IA16-LN_IC19</f>
        <v>3969.4212976767967</v>
      </c>
      <c r="E105" s="465">
        <f t="shared" si="10"/>
        <v>-263.02348425365471</v>
      </c>
      <c r="F105" s="449">
        <f t="shared" si="11"/>
        <v>-6.2144575488989044E-2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1650313.1027323031</v>
      </c>
      <c r="D106" s="448">
        <f>LN_IC21*LN_IC18</f>
        <v>1723646.3000507101</v>
      </c>
      <c r="E106" s="448">
        <f t="shared" si="10"/>
        <v>73333.197318407008</v>
      </c>
      <c r="F106" s="449">
        <f t="shared" si="11"/>
        <v>4.4435929883241299E-2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7357305</v>
      </c>
      <c r="D109" s="448">
        <f>LN_IC1+LN_IC14</f>
        <v>8691798</v>
      </c>
      <c r="E109" s="448">
        <f>D109-C109</f>
        <v>1334493</v>
      </c>
      <c r="F109" s="449">
        <f>IF(C109=0,0,E109/C109)</f>
        <v>0.18138340057942412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49804</v>
      </c>
      <c r="D110" s="448">
        <f>LN_IC2+LN_IC15</f>
        <v>85575</v>
      </c>
      <c r="E110" s="448">
        <f>D110-C110</f>
        <v>35771</v>
      </c>
      <c r="F110" s="449">
        <f>IF(C110=0,0,E110/C110)</f>
        <v>0.71823548309372742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7307501</v>
      </c>
      <c r="D111" s="448">
        <f>LN_IC23-LN_IC24</f>
        <v>8606223</v>
      </c>
      <c r="E111" s="448">
        <f>D111-C111</f>
        <v>1298722</v>
      </c>
      <c r="F111" s="449">
        <f>IF(C111=0,0,E111/C111)</f>
        <v>0.17772450527204856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2396342.2130871126</v>
      </c>
      <c r="D113" s="448">
        <f>LN_IC10+LN_IC22</f>
        <v>2674274.6957613239</v>
      </c>
      <c r="E113" s="448">
        <f>D113-C113</f>
        <v>277932.48267421126</v>
      </c>
      <c r="F113" s="449">
        <f>IF(C113=0,0,E113/C113)</f>
        <v>0.11598196666416934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23778114</v>
      </c>
      <c r="D118" s="448">
        <v>28359389</v>
      </c>
      <c r="E118" s="448">
        <f t="shared" ref="E118:E130" si="12">D118-C118</f>
        <v>4581275</v>
      </c>
      <c r="F118" s="449">
        <f t="shared" ref="F118:F130" si="13">IF(C118=0,0,E118/C118)</f>
        <v>0.19266771956766629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6283677</v>
      </c>
      <c r="D119" s="448">
        <v>6716915</v>
      </c>
      <c r="E119" s="448">
        <f t="shared" si="12"/>
        <v>433238</v>
      </c>
      <c r="F119" s="449">
        <f t="shared" si="13"/>
        <v>6.8946573797475583E-2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0.26426305299066194</v>
      </c>
      <c r="D120" s="453">
        <f>IF(LN_ID1=0,0,LN_1D2/LN_ID1)</f>
        <v>0.23684977839261628</v>
      </c>
      <c r="E120" s="454">
        <f t="shared" si="12"/>
        <v>-2.7413274598045656E-2</v>
      </c>
      <c r="F120" s="449">
        <f t="shared" si="13"/>
        <v>-0.10373479867052901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1625</v>
      </c>
      <c r="D121" s="456">
        <v>1646</v>
      </c>
      <c r="E121" s="456">
        <f t="shared" si="12"/>
        <v>21</v>
      </c>
      <c r="F121" s="449">
        <f t="shared" si="13"/>
        <v>1.2923076923076923E-2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0.9425</v>
      </c>
      <c r="D122" s="459">
        <v>0.94910000000000005</v>
      </c>
      <c r="E122" s="460">
        <f t="shared" si="12"/>
        <v>6.6000000000000503E-3</v>
      </c>
      <c r="F122" s="449">
        <f t="shared" si="13"/>
        <v>7.0026525198939524E-3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1531.5625</v>
      </c>
      <c r="D123" s="463">
        <f>LN_ID4*LN_ID5</f>
        <v>1562.2186000000002</v>
      </c>
      <c r="E123" s="463">
        <f t="shared" si="12"/>
        <v>30.656100000000151</v>
      </c>
      <c r="F123" s="449">
        <f t="shared" si="13"/>
        <v>2.0016225260151087E-2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4102.7884921444602</v>
      </c>
      <c r="D124" s="465">
        <f>IF(LN_ID6=0,0,LN_1D2/LN_ID6)</f>
        <v>4299.5999407509289</v>
      </c>
      <c r="E124" s="465">
        <f t="shared" si="12"/>
        <v>196.81144860646873</v>
      </c>
      <c r="F124" s="449">
        <f t="shared" si="13"/>
        <v>4.7970166871458345E-2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6126.0301409687308</v>
      </c>
      <c r="D125" s="465">
        <f>LN_IB7-LN_ID7</f>
        <v>5136.9802633249119</v>
      </c>
      <c r="E125" s="465">
        <f t="shared" si="12"/>
        <v>-989.04987764381895</v>
      </c>
      <c r="F125" s="449">
        <f t="shared" si="13"/>
        <v>-0.16145037730542686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2684.9561024810509</v>
      </c>
      <c r="D126" s="465">
        <f>LN_IA7-LN_ID7</f>
        <v>2387.5414908606817</v>
      </c>
      <c r="E126" s="465">
        <f t="shared" si="12"/>
        <v>-297.41461162036921</v>
      </c>
      <c r="F126" s="449">
        <f t="shared" si="13"/>
        <v>-0.11077075388515341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4112178.0807061344</v>
      </c>
      <c r="D127" s="479">
        <f>LN_ID9*LN_ID6</f>
        <v>3729861.7252942873</v>
      </c>
      <c r="E127" s="479">
        <f t="shared" si="12"/>
        <v>-382316.35541184712</v>
      </c>
      <c r="F127" s="449">
        <f t="shared" si="13"/>
        <v>-9.2971740987004281E-2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6109</v>
      </c>
      <c r="D128" s="456">
        <v>5997</v>
      </c>
      <c r="E128" s="456">
        <f t="shared" si="12"/>
        <v>-112</v>
      </c>
      <c r="F128" s="449">
        <f t="shared" si="13"/>
        <v>-1.8333606154853493E-2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1028.5933868063512</v>
      </c>
      <c r="D129" s="465">
        <f>IF(LN_ID11=0,0,LN_1D2/LN_ID11)</f>
        <v>1120.045856261464</v>
      </c>
      <c r="E129" s="465">
        <f t="shared" si="12"/>
        <v>91.452469455112805</v>
      </c>
      <c r="F129" s="449">
        <f t="shared" si="13"/>
        <v>8.8910225000630075E-2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3.7593846153846155</v>
      </c>
      <c r="D130" s="466">
        <f>IF(LN_ID4=0,0,LN_ID11/LN_ID4)</f>
        <v>3.643377885783718</v>
      </c>
      <c r="E130" s="466">
        <f t="shared" si="12"/>
        <v>-0.11600672960089753</v>
      </c>
      <c r="F130" s="449">
        <f t="shared" si="13"/>
        <v>-3.0857904010715087E-2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48026683</v>
      </c>
      <c r="D133" s="448">
        <v>53507154</v>
      </c>
      <c r="E133" s="448">
        <f t="shared" ref="E133:E141" si="14">D133-C133</f>
        <v>5480471</v>
      </c>
      <c r="F133" s="449">
        <f t="shared" ref="F133:F141" si="15">IF(C133=0,0,E133/C133)</f>
        <v>0.11411304420086642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10048174</v>
      </c>
      <c r="D134" s="448">
        <v>11283345</v>
      </c>
      <c r="E134" s="448">
        <f t="shared" si="14"/>
        <v>1235171</v>
      </c>
      <c r="F134" s="449">
        <f t="shared" si="15"/>
        <v>0.1229249214832466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0.20922065344383664</v>
      </c>
      <c r="D135" s="453">
        <f>IF(LN_ID14=0,0,LN_ID15/LN_ID14)</f>
        <v>0.21087544667391578</v>
      </c>
      <c r="E135" s="454">
        <f t="shared" si="14"/>
        <v>1.6547932300791379E-3</v>
      </c>
      <c r="F135" s="449">
        <f t="shared" si="15"/>
        <v>7.9093206279625353E-3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2.0197852108876253</v>
      </c>
      <c r="D136" s="453">
        <f>IF(LN_ID1=0,0,LN_ID14/LN_ID1)</f>
        <v>1.8867527082476989</v>
      </c>
      <c r="E136" s="454">
        <f t="shared" si="14"/>
        <v>-0.13303250263992639</v>
      </c>
      <c r="F136" s="449">
        <f t="shared" si="15"/>
        <v>-6.5864678047356948E-2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3282.1509676923911</v>
      </c>
      <c r="D137" s="463">
        <f>LN_ID17*LN_ID4</f>
        <v>3105.5949577757124</v>
      </c>
      <c r="E137" s="463">
        <f t="shared" si="14"/>
        <v>-176.5560099166787</v>
      </c>
      <c r="F137" s="449">
        <f t="shared" si="15"/>
        <v>-5.379277542519971E-2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3061.4600299951016</v>
      </c>
      <c r="D138" s="465">
        <f>IF(LN_ID18=0,0,LN_ID15/LN_ID18)</f>
        <v>3633.2313625603488</v>
      </c>
      <c r="E138" s="465">
        <f t="shared" si="14"/>
        <v>571.77133256524712</v>
      </c>
      <c r="F138" s="449">
        <f t="shared" si="15"/>
        <v>0.18676426507719651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2669.8221205348136</v>
      </c>
      <c r="D139" s="465">
        <f>LN_IB18-LN_ID19</f>
        <v>3771.4578003081992</v>
      </c>
      <c r="E139" s="465">
        <f t="shared" si="14"/>
        <v>1101.6356797733856</v>
      </c>
      <c r="F139" s="449">
        <f t="shared" si="15"/>
        <v>0.41262512258783296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1264.7374169248533</v>
      </c>
      <c r="D140" s="465">
        <f>LN_IA16-LN_ID19</f>
        <v>509.38111052349132</v>
      </c>
      <c r="E140" s="465">
        <f t="shared" si="14"/>
        <v>-755.35630640136196</v>
      </c>
      <c r="F140" s="449">
        <f t="shared" si="15"/>
        <v>-0.59724358297074309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4151059.1368366824</v>
      </c>
      <c r="D141" s="441">
        <f>LN_ID21*LN_ID18</f>
        <v>1581931.4084279474</v>
      </c>
      <c r="E141" s="441">
        <f t="shared" si="14"/>
        <v>-2569127.7284087352</v>
      </c>
      <c r="F141" s="449">
        <f t="shared" si="15"/>
        <v>-0.6189089684630561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71804797</v>
      </c>
      <c r="D144" s="448">
        <f>LN_ID1+LN_ID14</f>
        <v>81866543</v>
      </c>
      <c r="E144" s="448">
        <f>D144-C144</f>
        <v>10061746</v>
      </c>
      <c r="F144" s="449">
        <f>IF(C144=0,0,E144/C144)</f>
        <v>0.14012637623639546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16331851</v>
      </c>
      <c r="D145" s="448">
        <f>LN_1D2+LN_ID15</f>
        <v>18000260</v>
      </c>
      <c r="E145" s="448">
        <f>D145-C145</f>
        <v>1668409</v>
      </c>
      <c r="F145" s="449">
        <f>IF(C145=0,0,E145/C145)</f>
        <v>0.10215676104319101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55472946</v>
      </c>
      <c r="D146" s="448">
        <f>LN_ID23-LN_ID24</f>
        <v>63866283</v>
      </c>
      <c r="E146" s="448">
        <f>D146-C146</f>
        <v>8393337</v>
      </c>
      <c r="F146" s="449">
        <f>IF(C146=0,0,E146/C146)</f>
        <v>0.15130505237634215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8263237.2175428169</v>
      </c>
      <c r="D148" s="448">
        <f>LN_ID10+LN_ID22</f>
        <v>5311793.1337222345</v>
      </c>
      <c r="E148" s="448">
        <f>D148-C148</f>
        <v>-2951444.0838205824</v>
      </c>
      <c r="F148" s="503">
        <f>IF(C148=0,0,E148/C148)</f>
        <v>-0.35717770240877017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10228.818633113191</v>
      </c>
      <c r="D160" s="465">
        <f>LN_IB7-LN_IE7</f>
        <v>9436.5802040758408</v>
      </c>
      <c r="E160" s="465">
        <f t="shared" si="16"/>
        <v>-792.23842903735022</v>
      </c>
      <c r="F160" s="449">
        <f t="shared" si="17"/>
        <v>-7.7451605845535315E-2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6787.7445946255111</v>
      </c>
      <c r="D161" s="465">
        <f>LN_IA7-LN_IE7</f>
        <v>6687.1414316116106</v>
      </c>
      <c r="E161" s="465">
        <f t="shared" si="16"/>
        <v>-100.60316301390048</v>
      </c>
      <c r="F161" s="449">
        <f t="shared" si="17"/>
        <v>-1.4821294704216975E-2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5731.2821505299153</v>
      </c>
      <c r="D174" s="465">
        <f>LN_IB18-LN_IE19</f>
        <v>7404.689162868548</v>
      </c>
      <c r="E174" s="465">
        <f t="shared" si="18"/>
        <v>1673.4070123386327</v>
      </c>
      <c r="F174" s="449">
        <f t="shared" si="19"/>
        <v>0.29197777537159103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4326.1974469199549</v>
      </c>
      <c r="D175" s="465">
        <f>LN_IA16-LN_IE19</f>
        <v>4142.6124730838401</v>
      </c>
      <c r="E175" s="465">
        <f t="shared" si="18"/>
        <v>-183.58497383611484</v>
      </c>
      <c r="F175" s="449">
        <f t="shared" si="19"/>
        <v>-4.2435643793100226E-2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23778114</v>
      </c>
      <c r="D188" s="448">
        <f>LN_ID1+LN_IE1</f>
        <v>28359389</v>
      </c>
      <c r="E188" s="448">
        <f t="shared" ref="E188:E200" si="20">D188-C188</f>
        <v>4581275</v>
      </c>
      <c r="F188" s="449">
        <f t="shared" ref="F188:F200" si="21">IF(C188=0,0,E188/C188)</f>
        <v>0.19266771956766629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6283677</v>
      </c>
      <c r="D189" s="448">
        <f>LN_1D2+LN_IE2</f>
        <v>6716915</v>
      </c>
      <c r="E189" s="448">
        <f t="shared" si="20"/>
        <v>433238</v>
      </c>
      <c r="F189" s="449">
        <f t="shared" si="21"/>
        <v>6.8946573797475583E-2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0.26426305299066194</v>
      </c>
      <c r="D190" s="453">
        <f>IF(LN_IF1=0,0,LN_IF2/LN_IF1)</f>
        <v>0.23684977839261628</v>
      </c>
      <c r="E190" s="454">
        <f t="shared" si="20"/>
        <v>-2.7413274598045656E-2</v>
      </c>
      <c r="F190" s="449">
        <f t="shared" si="21"/>
        <v>-0.10373479867052901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1625</v>
      </c>
      <c r="D191" s="456">
        <f>LN_ID4+LN_IE4</f>
        <v>1646</v>
      </c>
      <c r="E191" s="456">
        <f t="shared" si="20"/>
        <v>21</v>
      </c>
      <c r="F191" s="449">
        <f t="shared" si="21"/>
        <v>1.2923076923076923E-2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0.9425</v>
      </c>
      <c r="D192" s="459">
        <f>IF((LN_ID4+LN_IE4)=0,0,(LN_ID6+LN_IE6)/(LN_ID4+LN_IE4))</f>
        <v>0.94910000000000005</v>
      </c>
      <c r="E192" s="460">
        <f t="shared" si="20"/>
        <v>6.6000000000000503E-3</v>
      </c>
      <c r="F192" s="449">
        <f t="shared" si="21"/>
        <v>7.0026525198939524E-3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1531.5625</v>
      </c>
      <c r="D193" s="463">
        <f>LN_IF4*LN_IF5</f>
        <v>1562.2186000000002</v>
      </c>
      <c r="E193" s="463">
        <f t="shared" si="20"/>
        <v>30.656100000000151</v>
      </c>
      <c r="F193" s="449">
        <f t="shared" si="21"/>
        <v>2.0016225260151087E-2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4102.7884921444602</v>
      </c>
      <c r="D194" s="465">
        <f>IF(LN_IF6=0,0,LN_IF2/LN_IF6)</f>
        <v>4299.5999407509289</v>
      </c>
      <c r="E194" s="465">
        <f t="shared" si="20"/>
        <v>196.81144860646873</v>
      </c>
      <c r="F194" s="449">
        <f t="shared" si="21"/>
        <v>4.7970166871458345E-2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6126.0301409687308</v>
      </c>
      <c r="D195" s="465">
        <f>LN_IB7-LN_IF7</f>
        <v>5136.9802633249119</v>
      </c>
      <c r="E195" s="465">
        <f t="shared" si="20"/>
        <v>-989.04987764381895</v>
      </c>
      <c r="F195" s="449">
        <f t="shared" si="21"/>
        <v>-0.16145037730542686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2684.9561024810509</v>
      </c>
      <c r="D196" s="465">
        <f>LN_IA7-LN_IF7</f>
        <v>2387.5414908606817</v>
      </c>
      <c r="E196" s="465">
        <f t="shared" si="20"/>
        <v>-297.41461162036921</v>
      </c>
      <c r="F196" s="449">
        <f t="shared" si="21"/>
        <v>-0.11077075388515341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4112178.0807061344</v>
      </c>
      <c r="D197" s="479">
        <f>LN_IF9*LN_IF6</f>
        <v>3729861.7252942873</v>
      </c>
      <c r="E197" s="479">
        <f t="shared" si="20"/>
        <v>-382316.35541184712</v>
      </c>
      <c r="F197" s="449">
        <f t="shared" si="21"/>
        <v>-9.2971740987004281E-2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6109</v>
      </c>
      <c r="D198" s="456">
        <f>LN_ID11+LN_IE11</f>
        <v>5997</v>
      </c>
      <c r="E198" s="456">
        <f t="shared" si="20"/>
        <v>-112</v>
      </c>
      <c r="F198" s="449">
        <f t="shared" si="21"/>
        <v>-1.8333606154853493E-2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1028.5933868063512</v>
      </c>
      <c r="D199" s="519">
        <f>IF(LN_IF11=0,0,LN_IF2/LN_IF11)</f>
        <v>1120.045856261464</v>
      </c>
      <c r="E199" s="519">
        <f t="shared" si="20"/>
        <v>91.452469455112805</v>
      </c>
      <c r="F199" s="449">
        <f t="shared" si="21"/>
        <v>8.8910225000630075E-2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3.7593846153846155</v>
      </c>
      <c r="D200" s="466">
        <f>IF(LN_IF4=0,0,LN_IF11/LN_IF4)</f>
        <v>3.643377885783718</v>
      </c>
      <c r="E200" s="466">
        <f t="shared" si="20"/>
        <v>-0.11600672960089753</v>
      </c>
      <c r="F200" s="449">
        <f t="shared" si="21"/>
        <v>-3.0857904010715087E-2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48026683</v>
      </c>
      <c r="D203" s="448">
        <f>LN_ID14+LN_IE14</f>
        <v>53507154</v>
      </c>
      <c r="E203" s="448">
        <f t="shared" ref="E203:E211" si="22">D203-C203</f>
        <v>5480471</v>
      </c>
      <c r="F203" s="449">
        <f t="shared" ref="F203:F211" si="23">IF(C203=0,0,E203/C203)</f>
        <v>0.11411304420086642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10048174</v>
      </c>
      <c r="D204" s="448">
        <f>LN_ID15+LN_IE15</f>
        <v>11283345</v>
      </c>
      <c r="E204" s="448">
        <f t="shared" si="22"/>
        <v>1235171</v>
      </c>
      <c r="F204" s="449">
        <f t="shared" si="23"/>
        <v>0.1229249214832466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0.20922065344383664</v>
      </c>
      <c r="D205" s="453">
        <f>IF(LN_IF14=0,0,LN_IF15/LN_IF14)</f>
        <v>0.21087544667391578</v>
      </c>
      <c r="E205" s="454">
        <f t="shared" si="22"/>
        <v>1.6547932300791379E-3</v>
      </c>
      <c r="F205" s="449">
        <f t="shared" si="23"/>
        <v>7.9093206279625353E-3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2.0197852108876253</v>
      </c>
      <c r="D206" s="453">
        <f>IF(LN_IF1=0,0,LN_IF14/LN_IF1)</f>
        <v>1.8867527082476989</v>
      </c>
      <c r="E206" s="454">
        <f t="shared" si="22"/>
        <v>-0.13303250263992639</v>
      </c>
      <c r="F206" s="449">
        <f t="shared" si="23"/>
        <v>-6.5864678047356948E-2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3282.1509676923911</v>
      </c>
      <c r="D207" s="463">
        <f>LN_ID18+LN_IE18</f>
        <v>3105.5949577757124</v>
      </c>
      <c r="E207" s="463">
        <f t="shared" si="22"/>
        <v>-176.5560099166787</v>
      </c>
      <c r="F207" s="449">
        <f t="shared" si="23"/>
        <v>-5.379277542519971E-2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3061.4600299951016</v>
      </c>
      <c r="D208" s="465">
        <f>IF(LN_IF18=0,0,LN_IF15/LN_IF18)</f>
        <v>3633.2313625603488</v>
      </c>
      <c r="E208" s="465">
        <f t="shared" si="22"/>
        <v>571.77133256524712</v>
      </c>
      <c r="F208" s="449">
        <f t="shared" si="23"/>
        <v>0.18676426507719651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2669.8221205348136</v>
      </c>
      <c r="D209" s="465">
        <f>LN_IB18-LN_IF19</f>
        <v>3771.4578003081992</v>
      </c>
      <c r="E209" s="465">
        <f t="shared" si="22"/>
        <v>1101.6356797733856</v>
      </c>
      <c r="F209" s="449">
        <f t="shared" si="23"/>
        <v>0.41262512258783296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1264.7374169248533</v>
      </c>
      <c r="D210" s="465">
        <f>LN_IA16-LN_IF19</f>
        <v>509.38111052349132</v>
      </c>
      <c r="E210" s="465">
        <f t="shared" si="22"/>
        <v>-755.35630640136196</v>
      </c>
      <c r="F210" s="449">
        <f t="shared" si="23"/>
        <v>-0.59724358297074309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4151059.1368366824</v>
      </c>
      <c r="D211" s="441">
        <f>LN_IF21*LN_IF18</f>
        <v>1581931.4084279474</v>
      </c>
      <c r="E211" s="441">
        <f t="shared" si="22"/>
        <v>-2569127.7284087352</v>
      </c>
      <c r="F211" s="449">
        <f t="shared" si="23"/>
        <v>-0.6189089684630561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71804797</v>
      </c>
      <c r="D214" s="448">
        <f>LN_IF1+LN_IF14</f>
        <v>81866543</v>
      </c>
      <c r="E214" s="448">
        <f>D214-C214</f>
        <v>10061746</v>
      </c>
      <c r="F214" s="449">
        <f>IF(C214=0,0,E214/C214)</f>
        <v>0.14012637623639546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16331851</v>
      </c>
      <c r="D215" s="448">
        <f>LN_IF2+LN_IF15</f>
        <v>18000260</v>
      </c>
      <c r="E215" s="448">
        <f>D215-C215</f>
        <v>1668409</v>
      </c>
      <c r="F215" s="449">
        <f>IF(C215=0,0,E215/C215)</f>
        <v>0.10215676104319101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55472946</v>
      </c>
      <c r="D216" s="448">
        <f>LN_IF23-LN_IF24</f>
        <v>63866283</v>
      </c>
      <c r="E216" s="448">
        <f>D216-C216</f>
        <v>8393337</v>
      </c>
      <c r="F216" s="449">
        <f>IF(C216=0,0,E216/C216)</f>
        <v>0.15130505237634215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269030</v>
      </c>
      <c r="D221" s="448">
        <v>214150</v>
      </c>
      <c r="E221" s="448">
        <f t="shared" ref="E221:E230" si="24">D221-C221</f>
        <v>-54880</v>
      </c>
      <c r="F221" s="449">
        <f t="shared" ref="F221:F230" si="25">IF(C221=0,0,E221/C221)</f>
        <v>-0.2039921198379363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67500</v>
      </c>
      <c r="D222" s="448">
        <v>70785</v>
      </c>
      <c r="E222" s="448">
        <f t="shared" si="24"/>
        <v>3285</v>
      </c>
      <c r="F222" s="449">
        <f t="shared" si="25"/>
        <v>4.8666666666666664E-2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0.25090138646247628</v>
      </c>
      <c r="D223" s="453">
        <f>IF(LN_IG1=0,0,LN_IG2/LN_IG1)</f>
        <v>0.33053934158300258</v>
      </c>
      <c r="E223" s="454">
        <f t="shared" si="24"/>
        <v>7.9637955120526294E-2</v>
      </c>
      <c r="F223" s="449">
        <f t="shared" si="25"/>
        <v>0.31740739357148429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25</v>
      </c>
      <c r="D224" s="456">
        <v>16</v>
      </c>
      <c r="E224" s="456">
        <f t="shared" si="24"/>
        <v>-9</v>
      </c>
      <c r="F224" s="449">
        <f t="shared" si="25"/>
        <v>-0.36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0.73570000000000002</v>
      </c>
      <c r="D225" s="459">
        <v>0.74550000000000005</v>
      </c>
      <c r="E225" s="460">
        <f t="shared" si="24"/>
        <v>9.8000000000000309E-3</v>
      </c>
      <c r="F225" s="449">
        <f t="shared" si="25"/>
        <v>1.3320647002854466E-2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18.392500000000002</v>
      </c>
      <c r="D226" s="463">
        <f>LN_IG3*LN_IG4</f>
        <v>11.928000000000001</v>
      </c>
      <c r="E226" s="463">
        <f t="shared" si="24"/>
        <v>-6.464500000000001</v>
      </c>
      <c r="F226" s="449">
        <f t="shared" si="25"/>
        <v>-0.35147478591817322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3669.9741742558103</v>
      </c>
      <c r="D227" s="465">
        <f>IF(LN_IG5=0,0,LN_IG2/LN_IG5)</f>
        <v>5934.3561368209248</v>
      </c>
      <c r="E227" s="465">
        <f t="shared" si="24"/>
        <v>2264.3819625651145</v>
      </c>
      <c r="F227" s="449">
        <f t="shared" si="25"/>
        <v>0.61700215179968698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65</v>
      </c>
      <c r="D228" s="456">
        <v>43</v>
      </c>
      <c r="E228" s="456">
        <f t="shared" si="24"/>
        <v>-22</v>
      </c>
      <c r="F228" s="449">
        <f t="shared" si="25"/>
        <v>-0.33846153846153848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1038.4615384615386</v>
      </c>
      <c r="D229" s="465">
        <f>IF(LN_IG6=0,0,LN_IG2/LN_IG6)</f>
        <v>1646.1627906976744</v>
      </c>
      <c r="E229" s="465">
        <f t="shared" si="24"/>
        <v>607.70125223613582</v>
      </c>
      <c r="F229" s="449">
        <f t="shared" si="25"/>
        <v>0.58519379844961217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2.6</v>
      </c>
      <c r="D230" s="466">
        <f>IF(LN_IG3=0,0,LN_IG6/LN_IG3)</f>
        <v>2.6875</v>
      </c>
      <c r="E230" s="466">
        <f t="shared" si="24"/>
        <v>8.7499999999999911E-2</v>
      </c>
      <c r="F230" s="449">
        <f t="shared" si="25"/>
        <v>3.3653846153846118E-2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537685</v>
      </c>
      <c r="D233" s="448">
        <v>672300</v>
      </c>
      <c r="E233" s="448">
        <f>D233-C233</f>
        <v>134615</v>
      </c>
      <c r="F233" s="449">
        <f>IF(C233=0,0,E233/C233)</f>
        <v>0.25036034109190325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151700</v>
      </c>
      <c r="D234" s="448">
        <v>205727</v>
      </c>
      <c r="E234" s="448">
        <f>D234-C234</f>
        <v>54027</v>
      </c>
      <c r="F234" s="449">
        <f>IF(C234=0,0,E234/C234)</f>
        <v>0.35614370468029005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806715</v>
      </c>
      <c r="D237" s="448">
        <f>LN_IG1+LN_IG9</f>
        <v>886450</v>
      </c>
      <c r="E237" s="448">
        <f>D237-C237</f>
        <v>79735</v>
      </c>
      <c r="F237" s="449">
        <f>IF(C237=0,0,E237/C237)</f>
        <v>9.8839119143687676E-2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219200</v>
      </c>
      <c r="D238" s="448">
        <f>LN_IG2+LN_IG10</f>
        <v>276512</v>
      </c>
      <c r="E238" s="448">
        <f>D238-C238</f>
        <v>57312</v>
      </c>
      <c r="F238" s="449">
        <f>IF(C238=0,0,E238/C238)</f>
        <v>0.26145985401459854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587515</v>
      </c>
      <c r="D239" s="448">
        <f>LN_IG13-LN_IG14</f>
        <v>609938</v>
      </c>
      <c r="E239" s="448">
        <f>D239-C239</f>
        <v>22423</v>
      </c>
      <c r="F239" s="449">
        <f>IF(C239=0,0,E239/C239)</f>
        <v>3.816583406381114E-2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5173982</v>
      </c>
      <c r="D243" s="448">
        <v>4242269</v>
      </c>
      <c r="E243" s="441">
        <f>D243-C243</f>
        <v>-931713</v>
      </c>
      <c r="F243" s="503">
        <f>IF(C243=0,0,E243/C243)</f>
        <v>-0.18007658318100064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134486303</v>
      </c>
      <c r="D244" s="448">
        <v>129703674</v>
      </c>
      <c r="E244" s="441">
        <f>D244-C244</f>
        <v>-4782629</v>
      </c>
      <c r="F244" s="503">
        <f>IF(C244=0,0,E244/C244)</f>
        <v>-3.556220145333313E-2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3781958</v>
      </c>
      <c r="D248" s="441">
        <v>5306456</v>
      </c>
      <c r="E248" s="441">
        <f>D248-C248</f>
        <v>1524498</v>
      </c>
      <c r="F248" s="449">
        <f>IF(C248=0,0,E248/C248)</f>
        <v>0.40309754894158001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6470291</v>
      </c>
      <c r="D249" s="441">
        <v>4909425</v>
      </c>
      <c r="E249" s="441">
        <f>D249-C249</f>
        <v>-1560866</v>
      </c>
      <c r="F249" s="449">
        <f>IF(C249=0,0,E249/C249)</f>
        <v>-0.2412358269512144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10252249</v>
      </c>
      <c r="D250" s="441">
        <f>LN_IH4+LN_IH5</f>
        <v>10215881</v>
      </c>
      <c r="E250" s="441">
        <f>D250-C250</f>
        <v>-36368</v>
      </c>
      <c r="F250" s="449">
        <f>IF(C250=0,0,E250/C250)</f>
        <v>-3.5473192272251677E-3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3359900.1940633515</v>
      </c>
      <c r="D251" s="441">
        <f>LN_IH6*LN_III10</f>
        <v>3099756.5155229177</v>
      </c>
      <c r="E251" s="441">
        <f>D251-C251</f>
        <v>-260143.67854043376</v>
      </c>
      <c r="F251" s="449">
        <f>IF(C251=0,0,E251/C251)</f>
        <v>-7.7426013725075765E-2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71804797</v>
      </c>
      <c r="D254" s="441">
        <f>LN_IF23</f>
        <v>81866543</v>
      </c>
      <c r="E254" s="441">
        <f>D254-C254</f>
        <v>10061746</v>
      </c>
      <c r="F254" s="449">
        <f>IF(C254=0,0,E254/C254)</f>
        <v>0.14012637623639546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16331851</v>
      </c>
      <c r="D255" s="441">
        <f>LN_IF24</f>
        <v>18000260</v>
      </c>
      <c r="E255" s="441">
        <f>D255-C255</f>
        <v>1668409</v>
      </c>
      <c r="F255" s="449">
        <f>IF(C255=0,0,E255/C255)</f>
        <v>0.10215676104319101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23532100.261608899</v>
      </c>
      <c r="D256" s="441">
        <f>LN_IH8*LN_III10</f>
        <v>24840378.433106955</v>
      </c>
      <c r="E256" s="441">
        <f>D256-C256</f>
        <v>1308278.1714980565</v>
      </c>
      <c r="F256" s="449">
        <f>IF(C256=0,0,E256/C256)</f>
        <v>5.5595469888101226E-2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7200249.2616088986</v>
      </c>
      <c r="D257" s="441">
        <f>LN_IH10-LN_IH9</f>
        <v>6840118.4331069551</v>
      </c>
      <c r="E257" s="441">
        <f>D257-C257</f>
        <v>-360130.8285019435</v>
      </c>
      <c r="F257" s="449">
        <f>IF(C257=0,0,E257/C257)</f>
        <v>-5.0016439072759558E-2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142677758</v>
      </c>
      <c r="D261" s="448">
        <f>LN_IA1+LN_IB1+LN_IF1+LN_IG1</f>
        <v>161442217</v>
      </c>
      <c r="E261" s="448">
        <f t="shared" ref="E261:E274" si="26">D261-C261</f>
        <v>18764459</v>
      </c>
      <c r="F261" s="503">
        <f t="shared" ref="F261:F274" si="27">IF(C261=0,0,E261/C261)</f>
        <v>0.13151635730076441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61000511</v>
      </c>
      <c r="D262" s="448">
        <f>+LN_IA2+LN_IB2+LN_IF2+LN_IG2</f>
        <v>58050511</v>
      </c>
      <c r="E262" s="448">
        <f t="shared" si="26"/>
        <v>-2950000</v>
      </c>
      <c r="F262" s="503">
        <f t="shared" si="27"/>
        <v>-4.8360250621507089E-2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0.42754043696144989</v>
      </c>
      <c r="D263" s="453">
        <f>IF(LN_IIA1=0,0,LN_IIA2/LN_IIA1)</f>
        <v>0.35957454053049831</v>
      </c>
      <c r="E263" s="454">
        <f t="shared" si="26"/>
        <v>-6.7965896430951578E-2</v>
      </c>
      <c r="F263" s="458">
        <f t="shared" si="27"/>
        <v>-0.15896951622632099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7565</v>
      </c>
      <c r="D264" s="456">
        <f>LN_IA4+LN_IB4+LN_IF4+LN_IG3</f>
        <v>7448</v>
      </c>
      <c r="E264" s="456">
        <f t="shared" si="26"/>
        <v>-117</v>
      </c>
      <c r="F264" s="503">
        <f t="shared" si="27"/>
        <v>-1.5465961665565102E-2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1.1171512227362854</v>
      </c>
      <c r="D265" s="525">
        <f>IF(LN_IIA4=0,0,LN_IIA6/LN_IIA4)</f>
        <v>1.1161301020408163</v>
      </c>
      <c r="E265" s="525">
        <f t="shared" si="26"/>
        <v>-1.0211206954691132E-3</v>
      </c>
      <c r="F265" s="503">
        <f t="shared" si="27"/>
        <v>-9.1403981366823322E-4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8451.2489999999998</v>
      </c>
      <c r="D266" s="463">
        <f>LN_IA6+LN_IB6+LN_IF6+LN_IG5</f>
        <v>8312.9369999999999</v>
      </c>
      <c r="E266" s="463">
        <f t="shared" si="26"/>
        <v>-138.3119999999999</v>
      </c>
      <c r="F266" s="503">
        <f t="shared" si="27"/>
        <v>-1.6365864974514407E-2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243235287</v>
      </c>
      <c r="D267" s="448">
        <f>LN_IA11+LN_IB13+LN_IF14+LN_IG9</f>
        <v>266262398</v>
      </c>
      <c r="E267" s="448">
        <f t="shared" si="26"/>
        <v>23027111</v>
      </c>
      <c r="F267" s="503">
        <f t="shared" si="27"/>
        <v>9.4670108453466295E-2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1.7047877006870265</v>
      </c>
      <c r="D268" s="453">
        <f>IF(LN_IIA1=0,0,LN_IIA7/LN_IIA1)</f>
        <v>1.6492736717063294</v>
      </c>
      <c r="E268" s="454">
        <f t="shared" si="26"/>
        <v>-5.5514028980697017E-2</v>
      </c>
      <c r="F268" s="458">
        <f t="shared" si="27"/>
        <v>-3.2563602469870563E-2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63109826</v>
      </c>
      <c r="D269" s="448">
        <f>LN_IA12+LN_IB14+LN_IF15+LN_IG10</f>
        <v>68204501</v>
      </c>
      <c r="E269" s="448">
        <f t="shared" si="26"/>
        <v>5094675</v>
      </c>
      <c r="F269" s="503">
        <f t="shared" si="27"/>
        <v>8.0727127975285501E-2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0.25945999356581845</v>
      </c>
      <c r="D270" s="453">
        <f>IF(LN_IIA7=0,0,LN_IIA9/LN_IIA7)</f>
        <v>0.2561552119725144</v>
      </c>
      <c r="E270" s="454">
        <f t="shared" si="26"/>
        <v>-3.3047815933040514E-3</v>
      </c>
      <c r="F270" s="458">
        <f t="shared" si="27"/>
        <v>-1.2737152837652067E-2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385913045</v>
      </c>
      <c r="D271" s="441">
        <f>LN_IIA1+LN_IIA7</f>
        <v>427704615</v>
      </c>
      <c r="E271" s="441">
        <f t="shared" si="26"/>
        <v>41791570</v>
      </c>
      <c r="F271" s="503">
        <f t="shared" si="27"/>
        <v>0.10829271138009859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124110337</v>
      </c>
      <c r="D272" s="441">
        <f>LN_IIA2+LN_IIA9</f>
        <v>126255012</v>
      </c>
      <c r="E272" s="441">
        <f t="shared" si="26"/>
        <v>2144675</v>
      </c>
      <c r="F272" s="503">
        <f t="shared" si="27"/>
        <v>1.7280389787355101E-2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0.32160181835781165</v>
      </c>
      <c r="D273" s="453">
        <f>IF(LN_IIA11=0,0,LN_IIA12/LN_IIA11)</f>
        <v>0.29519207315544166</v>
      </c>
      <c r="E273" s="454">
        <f t="shared" si="26"/>
        <v>-2.6409745202369994E-2</v>
      </c>
      <c r="F273" s="458">
        <f t="shared" si="27"/>
        <v>-8.2119390173928428E-2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29383</v>
      </c>
      <c r="D274" s="508">
        <f>LN_IA8+LN_IB10+LN_IF11+LN_IG6</f>
        <v>29710</v>
      </c>
      <c r="E274" s="528">
        <f t="shared" si="26"/>
        <v>327</v>
      </c>
      <c r="F274" s="458">
        <f t="shared" si="27"/>
        <v>1.1128884048599531E-2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103164955</v>
      </c>
      <c r="D277" s="448">
        <f>LN_IA1+LN_IF1+LN_IG1</f>
        <v>117302174</v>
      </c>
      <c r="E277" s="448">
        <f t="shared" ref="E277:E291" si="28">D277-C277</f>
        <v>14137219</v>
      </c>
      <c r="F277" s="503">
        <f t="shared" ref="F277:F291" si="29">IF(C277=0,0,E277/C277)</f>
        <v>0.13703509103454753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37799300</v>
      </c>
      <c r="D278" s="448">
        <f>LN_IA2+LN_IF2+LN_IG2</f>
        <v>36772457</v>
      </c>
      <c r="E278" s="448">
        <f t="shared" si="28"/>
        <v>-1026843</v>
      </c>
      <c r="F278" s="503">
        <f t="shared" si="29"/>
        <v>-2.7165661797969802E-2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0.36639670903748273</v>
      </c>
      <c r="D279" s="453">
        <f>IF(D277=0,0,LN_IIB2/D277)</f>
        <v>0.31348487198540753</v>
      </c>
      <c r="E279" s="454">
        <f t="shared" si="28"/>
        <v>-5.2911837052075195E-2</v>
      </c>
      <c r="F279" s="458">
        <f t="shared" si="29"/>
        <v>-0.14441133270840123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5215</v>
      </c>
      <c r="D280" s="456">
        <f>LN_IA4+LN_IF4+LN_IG3</f>
        <v>5246</v>
      </c>
      <c r="E280" s="456">
        <f t="shared" si="28"/>
        <v>31</v>
      </c>
      <c r="F280" s="503">
        <f t="shared" si="29"/>
        <v>5.944391179290508E-3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1.1856239693192714</v>
      </c>
      <c r="D281" s="525">
        <f>IF(LN_IIB4=0,0,LN_IIB6/LN_IIB4)</f>
        <v>1.154801563095692</v>
      </c>
      <c r="E281" s="525">
        <f t="shared" si="28"/>
        <v>-3.0822406223579346E-2</v>
      </c>
      <c r="F281" s="503">
        <f t="shared" si="29"/>
        <v>-2.5996780616097108E-2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6183.0290000000005</v>
      </c>
      <c r="D282" s="463">
        <f>LN_IA6+LN_IF6+LN_IG5</f>
        <v>6058.0889999999999</v>
      </c>
      <c r="E282" s="463">
        <f t="shared" si="28"/>
        <v>-124.94000000000051</v>
      </c>
      <c r="F282" s="503">
        <f t="shared" si="29"/>
        <v>-2.0206924470190984E-2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140708386</v>
      </c>
      <c r="D283" s="448">
        <f>LN_IA11+LN_IF14+LN_IG9</f>
        <v>161210251</v>
      </c>
      <c r="E283" s="448">
        <f t="shared" si="28"/>
        <v>20501865</v>
      </c>
      <c r="F283" s="503">
        <f t="shared" si="29"/>
        <v>0.14570464193939373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1.3639165160300801</v>
      </c>
      <c r="D284" s="453">
        <f>IF(D277=0,0,LN_IIB7/D277)</f>
        <v>1.3743159696255929</v>
      </c>
      <c r="E284" s="454">
        <f t="shared" si="28"/>
        <v>1.0399453595512753E-2</v>
      </c>
      <c r="F284" s="458">
        <f t="shared" si="29"/>
        <v>7.6246995129747377E-3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28162042</v>
      </c>
      <c r="D285" s="448">
        <f>LN_IA12+LN_IF15+LN_IG10</f>
        <v>29398729</v>
      </c>
      <c r="E285" s="448">
        <f t="shared" si="28"/>
        <v>1236687</v>
      </c>
      <c r="F285" s="503">
        <f t="shared" si="29"/>
        <v>4.3913257426432359E-2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0.20014473053510826</v>
      </c>
      <c r="D286" s="453">
        <f>IF(LN_IIB7=0,0,LN_IIB9/LN_IIB7)</f>
        <v>0.18236265260823892</v>
      </c>
      <c r="E286" s="454">
        <f t="shared" si="28"/>
        <v>-1.7782077926869339E-2</v>
      </c>
      <c r="F286" s="458">
        <f t="shared" si="29"/>
        <v>-8.884609591932327E-2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243873341</v>
      </c>
      <c r="D287" s="441">
        <f>D277+LN_IIB7</f>
        <v>278512425</v>
      </c>
      <c r="E287" s="441">
        <f t="shared" si="28"/>
        <v>34639084</v>
      </c>
      <c r="F287" s="503">
        <f t="shared" si="29"/>
        <v>0.14203718970660265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65961342</v>
      </c>
      <c r="D288" s="441">
        <f>LN_IIB2+LN_IIB9</f>
        <v>66171186</v>
      </c>
      <c r="E288" s="441">
        <f t="shared" si="28"/>
        <v>209844</v>
      </c>
      <c r="F288" s="503">
        <f t="shared" si="29"/>
        <v>3.1813179301294387E-3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0.27047377023468916</v>
      </c>
      <c r="D289" s="453">
        <f>IF(LN_IIB11=0,0,LN_IIB12/LN_IIB11)</f>
        <v>0.23758791371695537</v>
      </c>
      <c r="E289" s="454">
        <f t="shared" si="28"/>
        <v>-3.2885856517733791E-2</v>
      </c>
      <c r="F289" s="458">
        <f t="shared" si="29"/>
        <v>-0.12158612086191888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22093</v>
      </c>
      <c r="D290" s="508">
        <f>LN_IA8+LN_IF11+LN_IG6</f>
        <v>22546</v>
      </c>
      <c r="E290" s="528">
        <f t="shared" si="28"/>
        <v>453</v>
      </c>
      <c r="F290" s="458">
        <f t="shared" si="29"/>
        <v>2.050423210971801E-2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177911999</v>
      </c>
      <c r="D291" s="516">
        <f>LN_IIB11-LN_IIB12</f>
        <v>212341239</v>
      </c>
      <c r="E291" s="441">
        <f t="shared" si="28"/>
        <v>34429240</v>
      </c>
      <c r="F291" s="503">
        <f t="shared" si="29"/>
        <v>0.19351836971940267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4.4653576437587654</v>
      </c>
      <c r="D294" s="466">
        <f>IF(LN_IA4=0,0,LN_IA8/LN_IA4)</f>
        <v>4.60546875</v>
      </c>
      <c r="E294" s="466">
        <f t="shared" ref="E294:E300" si="30">D294-C294</f>
        <v>0.14011110624123457</v>
      </c>
      <c r="F294" s="503">
        <f t="shared" ref="F294:F300" si="31">IF(C294=0,0,E294/C294)</f>
        <v>3.1377353712544839E-2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3.1021276595744682</v>
      </c>
      <c r="D295" s="466">
        <f>IF(LN_IB4=0,0,(LN_IB10)/(LN_IB4))</f>
        <v>3.2534059945504086</v>
      </c>
      <c r="E295" s="466">
        <f t="shared" si="30"/>
        <v>0.15127833497594034</v>
      </c>
      <c r="F295" s="503">
        <f t="shared" si="31"/>
        <v>4.8765992756304499E-2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3.1092436974789917</v>
      </c>
      <c r="D296" s="466">
        <f>IF(LN_IC4=0,0,LN_IC11/LN_IC4)</f>
        <v>2.7878787878787881</v>
      </c>
      <c r="E296" s="466">
        <f t="shared" si="30"/>
        <v>-0.32136490960020359</v>
      </c>
      <c r="F296" s="503">
        <f t="shared" si="31"/>
        <v>-0.10335790335790332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3.7593846153846155</v>
      </c>
      <c r="D297" s="466">
        <f>IF(LN_ID4=0,0,LN_ID11/LN_ID4)</f>
        <v>3.643377885783718</v>
      </c>
      <c r="E297" s="466">
        <f t="shared" si="30"/>
        <v>-0.11600672960089753</v>
      </c>
      <c r="F297" s="503">
        <f t="shared" si="31"/>
        <v>-3.0857904010715087E-2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</v>
      </c>
      <c r="D299" s="466">
        <f>IF(LN_IG3=0,0,LN_IG6/LN_IG3)</f>
        <v>2.6875</v>
      </c>
      <c r="E299" s="466">
        <f t="shared" si="30"/>
        <v>8.7499999999999911E-2</v>
      </c>
      <c r="F299" s="503">
        <f t="shared" si="31"/>
        <v>3.3653846153846118E-2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3.8840713813615335</v>
      </c>
      <c r="D300" s="466">
        <f>IF(LN_IIA4=0,0,LN_IIA14/LN_IIA4)</f>
        <v>3.9889903329752956</v>
      </c>
      <c r="E300" s="466">
        <f t="shared" si="30"/>
        <v>0.10491895161376208</v>
      </c>
      <c r="F300" s="503">
        <f t="shared" si="31"/>
        <v>2.7012621888782975E-2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385913045</v>
      </c>
      <c r="D304" s="441">
        <f>LN_IIA11</f>
        <v>427704615</v>
      </c>
      <c r="E304" s="441">
        <f t="shared" ref="E304:E316" si="32">D304-C304</f>
        <v>41791570</v>
      </c>
      <c r="F304" s="449">
        <f>IF(C304=0,0,E304/C304)</f>
        <v>0.10829271138009859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177911999</v>
      </c>
      <c r="D305" s="441">
        <f>LN_IIB14</f>
        <v>212341239</v>
      </c>
      <c r="E305" s="441">
        <f t="shared" si="32"/>
        <v>34429240</v>
      </c>
      <c r="F305" s="449">
        <f>IF(C305=0,0,E305/C305)</f>
        <v>0.19351836971940267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10252249</v>
      </c>
      <c r="D306" s="441">
        <f>LN_IH6</f>
        <v>10215881</v>
      </c>
      <c r="E306" s="441">
        <f t="shared" si="32"/>
        <v>-36368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67201429</v>
      </c>
      <c r="D307" s="441">
        <f>LN_IB32-LN_IB33</f>
        <v>71545518</v>
      </c>
      <c r="E307" s="441">
        <f t="shared" si="32"/>
        <v>4344089</v>
      </c>
      <c r="F307" s="449">
        <f t="shared" ref="F307:F316" si="33">IF(C307=0,0,E307/C307)</f>
        <v>6.4642806926025337E-2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4074697</v>
      </c>
      <c r="D308" s="441">
        <v>3825586</v>
      </c>
      <c r="E308" s="441">
        <f t="shared" si="32"/>
        <v>-249111</v>
      </c>
      <c r="F308" s="449">
        <f t="shared" si="33"/>
        <v>-6.1136079566161607E-2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259440374</v>
      </c>
      <c r="D309" s="441">
        <f>LN_III2+LN_III3+LN_III4+LN_III5</f>
        <v>297928224</v>
      </c>
      <c r="E309" s="441">
        <f t="shared" si="32"/>
        <v>38487850</v>
      </c>
      <c r="F309" s="449">
        <f t="shared" si="33"/>
        <v>0.14834950091461091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126472671</v>
      </c>
      <c r="D310" s="441">
        <f>LN_III1-LN_III6</f>
        <v>129776391</v>
      </c>
      <c r="E310" s="441">
        <f t="shared" si="32"/>
        <v>3303720</v>
      </c>
      <c r="F310" s="449">
        <f t="shared" si="33"/>
        <v>2.6122007022370865E-2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126472671</v>
      </c>
      <c r="D312" s="441">
        <f>LN_III7+LN_III8</f>
        <v>129776391</v>
      </c>
      <c r="E312" s="441">
        <f t="shared" si="32"/>
        <v>3303720</v>
      </c>
      <c r="F312" s="449">
        <f t="shared" si="33"/>
        <v>2.6122007022370865E-2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0.32772323361082545</v>
      </c>
      <c r="D313" s="532">
        <f>IF(LN_III1=0,0,LN_III9/LN_III1)</f>
        <v>0.30342527634404881</v>
      </c>
      <c r="E313" s="532">
        <f t="shared" si="32"/>
        <v>-2.4297957266776637E-2</v>
      </c>
      <c r="F313" s="449">
        <f t="shared" si="33"/>
        <v>-7.4141698771441694E-2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3359900.1940633515</v>
      </c>
      <c r="D314" s="441">
        <f>D313*LN_III5</f>
        <v>3099756.5155229177</v>
      </c>
      <c r="E314" s="441">
        <f t="shared" si="32"/>
        <v>-260143.67854043376</v>
      </c>
      <c r="F314" s="449">
        <f t="shared" si="33"/>
        <v>-7.7426013725075765E-2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7200249.2616088986</v>
      </c>
      <c r="D315" s="441">
        <f>D313*LN_IH8-LN_IH9</f>
        <v>6840118.4331069551</v>
      </c>
      <c r="E315" s="441">
        <f t="shared" si="32"/>
        <v>-360130.8285019435</v>
      </c>
      <c r="F315" s="449">
        <f t="shared" si="33"/>
        <v>-5.0016439072759558E-2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10560149.455672249</v>
      </c>
      <c r="D318" s="441">
        <f>D314+D315+D316</f>
        <v>9939874.9486298729</v>
      </c>
      <c r="E318" s="441">
        <f>D318-C318</f>
        <v>-620274.50704237632</v>
      </c>
      <c r="F318" s="449">
        <f>IF(C318=0,0,E318/C318)</f>
        <v>-5.8737284888444811E-2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4151059.1368366824</v>
      </c>
      <c r="D322" s="441">
        <f>LN_ID22</f>
        <v>1581931.4084279474</v>
      </c>
      <c r="E322" s="441">
        <f>LN_IV2-C322</f>
        <v>-2569127.7284087352</v>
      </c>
      <c r="F322" s="449">
        <f>IF(C322=0,0,E322/C322)</f>
        <v>-0.6189089684630561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2396342.2130871126</v>
      </c>
      <c r="D324" s="441">
        <f>LN_IC10+LN_IC22</f>
        <v>2674274.6957613239</v>
      </c>
      <c r="E324" s="441">
        <f>LN_IV1-C324</f>
        <v>277932.48267421126</v>
      </c>
      <c r="F324" s="449">
        <f>IF(C324=0,0,E324/C324)</f>
        <v>0.11598196666416934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6547401.3499237951</v>
      </c>
      <c r="D325" s="516">
        <f>LN_IV1+LN_IV2+LN_IV3</f>
        <v>4256206.1041892711</v>
      </c>
      <c r="E325" s="441">
        <f>LN_IV4-C325</f>
        <v>-2291195.245734524</v>
      </c>
      <c r="F325" s="449">
        <f>IF(C325=0,0,E325/C325)</f>
        <v>-0.34993963609107165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6283264</v>
      </c>
      <c r="D329" s="518">
        <v>5275587</v>
      </c>
      <c r="E329" s="518">
        <f t="shared" ref="E329:E335" si="34">D329-C329</f>
        <v>-1007677</v>
      </c>
      <c r="F329" s="542">
        <f t="shared" ref="F329:F335" si="35">IF(C329=0,0,E329/C329)</f>
        <v>-0.16037476700008149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6250607</v>
      </c>
      <c r="D330" s="516">
        <v>553490</v>
      </c>
      <c r="E330" s="518">
        <f t="shared" si="34"/>
        <v>-5697117</v>
      </c>
      <c r="F330" s="543">
        <f t="shared" si="35"/>
        <v>-0.91145019995658016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130360493</v>
      </c>
      <c r="D331" s="516">
        <v>126808091</v>
      </c>
      <c r="E331" s="518">
        <f t="shared" si="34"/>
        <v>-3552402</v>
      </c>
      <c r="F331" s="542">
        <f t="shared" si="35"/>
        <v>-2.7250602680675657E-2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385913045</v>
      </c>
      <c r="D333" s="516">
        <v>427704210</v>
      </c>
      <c r="E333" s="518">
        <f t="shared" si="34"/>
        <v>41791165</v>
      </c>
      <c r="F333" s="542">
        <f t="shared" si="35"/>
        <v>0.10829166192088686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10252249</v>
      </c>
      <c r="D335" s="516">
        <v>10215881</v>
      </c>
      <c r="E335" s="516">
        <f t="shared" si="34"/>
        <v>-36368</v>
      </c>
      <c r="F335" s="542">
        <f t="shared" si="35"/>
        <v>-3.5473192272251677E-3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39512803</v>
      </c>
      <c r="D14" s="589">
        <v>44140043</v>
      </c>
      <c r="E14" s="590">
        <f t="shared" ref="E14:E22" si="0">D14-C14</f>
        <v>4627240</v>
      </c>
    </row>
    <row r="15" spans="1:5" s="421" customFormat="1" x14ac:dyDescent="0.2">
      <c r="A15" s="588">
        <v>2</v>
      </c>
      <c r="B15" s="587" t="s">
        <v>635</v>
      </c>
      <c r="C15" s="589">
        <v>79117811</v>
      </c>
      <c r="D15" s="591">
        <v>88728635</v>
      </c>
      <c r="E15" s="590">
        <f t="shared" si="0"/>
        <v>9610824</v>
      </c>
    </row>
    <row r="16" spans="1:5" s="421" customFormat="1" x14ac:dyDescent="0.2">
      <c r="A16" s="588">
        <v>3</v>
      </c>
      <c r="B16" s="587" t="s">
        <v>777</v>
      </c>
      <c r="C16" s="589">
        <v>23778114</v>
      </c>
      <c r="D16" s="591">
        <v>28359389</v>
      </c>
      <c r="E16" s="590">
        <f t="shared" si="0"/>
        <v>4581275</v>
      </c>
    </row>
    <row r="17" spans="1:5" s="421" customFormat="1" x14ac:dyDescent="0.2">
      <c r="A17" s="588">
        <v>4</v>
      </c>
      <c r="B17" s="587" t="s">
        <v>115</v>
      </c>
      <c r="C17" s="589">
        <v>23778114</v>
      </c>
      <c r="D17" s="591">
        <v>28359389</v>
      </c>
      <c r="E17" s="590">
        <f t="shared" si="0"/>
        <v>4581275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269030</v>
      </c>
      <c r="D19" s="591">
        <v>214150</v>
      </c>
      <c r="E19" s="590">
        <f t="shared" si="0"/>
        <v>-54880</v>
      </c>
    </row>
    <row r="20" spans="1:5" s="421" customFormat="1" x14ac:dyDescent="0.2">
      <c r="A20" s="588">
        <v>7</v>
      </c>
      <c r="B20" s="587" t="s">
        <v>758</v>
      </c>
      <c r="C20" s="589">
        <v>1720349</v>
      </c>
      <c r="D20" s="591">
        <v>2026235</v>
      </c>
      <c r="E20" s="590">
        <f t="shared" si="0"/>
        <v>305886</v>
      </c>
    </row>
    <row r="21" spans="1:5" s="421" customFormat="1" x14ac:dyDescent="0.2">
      <c r="A21" s="588"/>
      <c r="B21" s="592" t="s">
        <v>778</v>
      </c>
      <c r="C21" s="593">
        <f>SUM(C15+C16+C19)</f>
        <v>103164955</v>
      </c>
      <c r="D21" s="593">
        <f>SUM(D15+D16+D19)</f>
        <v>117302174</v>
      </c>
      <c r="E21" s="593">
        <f t="shared" si="0"/>
        <v>14137219</v>
      </c>
    </row>
    <row r="22" spans="1:5" s="421" customFormat="1" x14ac:dyDescent="0.2">
      <c r="A22" s="588"/>
      <c r="B22" s="592" t="s">
        <v>465</v>
      </c>
      <c r="C22" s="593">
        <f>SUM(C14+C21)</f>
        <v>142677758</v>
      </c>
      <c r="D22" s="593">
        <f>SUM(D14+D21)</f>
        <v>161442217</v>
      </c>
      <c r="E22" s="593">
        <f t="shared" si="0"/>
        <v>18764459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102526901</v>
      </c>
      <c r="D25" s="589">
        <v>105052147</v>
      </c>
      <c r="E25" s="590">
        <f t="shared" ref="E25:E33" si="1">D25-C25</f>
        <v>2525246</v>
      </c>
    </row>
    <row r="26" spans="1:5" s="421" customFormat="1" x14ac:dyDescent="0.2">
      <c r="A26" s="588">
        <v>2</v>
      </c>
      <c r="B26" s="587" t="s">
        <v>635</v>
      </c>
      <c r="C26" s="589">
        <v>92144018</v>
      </c>
      <c r="D26" s="591">
        <v>107030797</v>
      </c>
      <c r="E26" s="590">
        <f t="shared" si="1"/>
        <v>14886779</v>
      </c>
    </row>
    <row r="27" spans="1:5" s="421" customFormat="1" x14ac:dyDescent="0.2">
      <c r="A27" s="588">
        <v>3</v>
      </c>
      <c r="B27" s="587" t="s">
        <v>777</v>
      </c>
      <c r="C27" s="589">
        <v>48026683</v>
      </c>
      <c r="D27" s="591">
        <v>53507154</v>
      </c>
      <c r="E27" s="590">
        <f t="shared" si="1"/>
        <v>5480471</v>
      </c>
    </row>
    <row r="28" spans="1:5" s="421" customFormat="1" x14ac:dyDescent="0.2">
      <c r="A28" s="588">
        <v>4</v>
      </c>
      <c r="B28" s="587" t="s">
        <v>115</v>
      </c>
      <c r="C28" s="589">
        <v>48026683</v>
      </c>
      <c r="D28" s="591">
        <v>53507154</v>
      </c>
      <c r="E28" s="590">
        <f t="shared" si="1"/>
        <v>5480471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537685</v>
      </c>
      <c r="D30" s="591">
        <v>672300</v>
      </c>
      <c r="E30" s="590">
        <f t="shared" si="1"/>
        <v>134615</v>
      </c>
    </row>
    <row r="31" spans="1:5" s="421" customFormat="1" x14ac:dyDescent="0.2">
      <c r="A31" s="588">
        <v>7</v>
      </c>
      <c r="B31" s="587" t="s">
        <v>758</v>
      </c>
      <c r="C31" s="590">
        <v>5636956</v>
      </c>
      <c r="D31" s="594">
        <v>6665563</v>
      </c>
      <c r="E31" s="590">
        <f t="shared" si="1"/>
        <v>1028607</v>
      </c>
    </row>
    <row r="32" spans="1:5" s="421" customFormat="1" x14ac:dyDescent="0.2">
      <c r="A32" s="588"/>
      <c r="B32" s="592" t="s">
        <v>780</v>
      </c>
      <c r="C32" s="593">
        <f>SUM(C26+C27+C30)</f>
        <v>140708386</v>
      </c>
      <c r="D32" s="593">
        <f>SUM(D26+D27+D30)</f>
        <v>161210251</v>
      </c>
      <c r="E32" s="593">
        <f t="shared" si="1"/>
        <v>20501865</v>
      </c>
    </row>
    <row r="33" spans="1:5" s="421" customFormat="1" x14ac:dyDescent="0.2">
      <c r="A33" s="588"/>
      <c r="B33" s="592" t="s">
        <v>467</v>
      </c>
      <c r="C33" s="593">
        <f>SUM(C25+C32)</f>
        <v>243235287</v>
      </c>
      <c r="D33" s="593">
        <f>SUM(D25+D32)</f>
        <v>266262398</v>
      </c>
      <c r="E33" s="593">
        <f t="shared" si="1"/>
        <v>23027111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142039704</v>
      </c>
      <c r="D36" s="590">
        <f t="shared" si="2"/>
        <v>149192190</v>
      </c>
      <c r="E36" s="590">
        <f t="shared" ref="E36:E44" si="3">D36-C36</f>
        <v>7152486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171261829</v>
      </c>
      <c r="D37" s="590">
        <f t="shared" si="2"/>
        <v>195759432</v>
      </c>
      <c r="E37" s="590">
        <f t="shared" si="3"/>
        <v>24497603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71804797</v>
      </c>
      <c r="D38" s="590">
        <f t="shared" si="2"/>
        <v>81866543</v>
      </c>
      <c r="E38" s="590">
        <f t="shared" si="3"/>
        <v>10061746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71804797</v>
      </c>
      <c r="D39" s="590">
        <f t="shared" si="2"/>
        <v>81866543</v>
      </c>
      <c r="E39" s="590">
        <f t="shared" si="3"/>
        <v>10061746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806715</v>
      </c>
      <c r="D41" s="590">
        <f t="shared" si="2"/>
        <v>886450</v>
      </c>
      <c r="E41" s="590">
        <f t="shared" si="3"/>
        <v>79735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7357305</v>
      </c>
      <c r="D42" s="590">
        <f t="shared" si="2"/>
        <v>8691798</v>
      </c>
      <c r="E42" s="590">
        <f t="shared" si="3"/>
        <v>1334493</v>
      </c>
    </row>
    <row r="43" spans="1:5" s="421" customFormat="1" x14ac:dyDescent="0.2">
      <c r="A43" s="588"/>
      <c r="B43" s="592" t="s">
        <v>788</v>
      </c>
      <c r="C43" s="593">
        <f>SUM(C37+C38+C41)</f>
        <v>243873341</v>
      </c>
      <c r="D43" s="593">
        <f>SUM(D37+D38+D41)</f>
        <v>278512425</v>
      </c>
      <c r="E43" s="593">
        <f t="shared" si="3"/>
        <v>34639084</v>
      </c>
    </row>
    <row r="44" spans="1:5" s="421" customFormat="1" x14ac:dyDescent="0.2">
      <c r="A44" s="588"/>
      <c r="B44" s="592" t="s">
        <v>725</v>
      </c>
      <c r="C44" s="593">
        <f>SUM(C36+C43)</f>
        <v>385913045</v>
      </c>
      <c r="D44" s="593">
        <f>SUM(D36+D43)</f>
        <v>427704615</v>
      </c>
      <c r="E44" s="593">
        <f t="shared" si="3"/>
        <v>41791570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23201211</v>
      </c>
      <c r="D47" s="589">
        <v>21278054</v>
      </c>
      <c r="E47" s="590">
        <f t="shared" ref="E47:E55" si="4">D47-C47</f>
        <v>-1923157</v>
      </c>
    </row>
    <row r="48" spans="1:5" s="421" customFormat="1" x14ac:dyDescent="0.2">
      <c r="A48" s="588">
        <v>2</v>
      </c>
      <c r="B48" s="587" t="s">
        <v>635</v>
      </c>
      <c r="C48" s="589">
        <v>31448123</v>
      </c>
      <c r="D48" s="591">
        <v>29984757</v>
      </c>
      <c r="E48" s="590">
        <f t="shared" si="4"/>
        <v>-1463366</v>
      </c>
    </row>
    <row r="49" spans="1:5" s="421" customFormat="1" x14ac:dyDescent="0.2">
      <c r="A49" s="588">
        <v>3</v>
      </c>
      <c r="B49" s="587" t="s">
        <v>777</v>
      </c>
      <c r="C49" s="589">
        <v>6283677</v>
      </c>
      <c r="D49" s="591">
        <v>6716915</v>
      </c>
      <c r="E49" s="590">
        <f t="shared" si="4"/>
        <v>433238</v>
      </c>
    </row>
    <row r="50" spans="1:5" s="421" customFormat="1" x14ac:dyDescent="0.2">
      <c r="A50" s="588">
        <v>4</v>
      </c>
      <c r="B50" s="587" t="s">
        <v>115</v>
      </c>
      <c r="C50" s="589">
        <v>6283677</v>
      </c>
      <c r="D50" s="591">
        <v>6716915</v>
      </c>
      <c r="E50" s="590">
        <f t="shared" si="4"/>
        <v>433238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67500</v>
      </c>
      <c r="D52" s="591">
        <v>70785</v>
      </c>
      <c r="E52" s="590">
        <f t="shared" si="4"/>
        <v>3285</v>
      </c>
    </row>
    <row r="53" spans="1:5" s="421" customFormat="1" x14ac:dyDescent="0.2">
      <c r="A53" s="588">
        <v>7</v>
      </c>
      <c r="B53" s="587" t="s">
        <v>758</v>
      </c>
      <c r="C53" s="589">
        <v>13248</v>
      </c>
      <c r="D53" s="591">
        <v>10370</v>
      </c>
      <c r="E53" s="590">
        <f t="shared" si="4"/>
        <v>-2878</v>
      </c>
    </row>
    <row r="54" spans="1:5" s="421" customFormat="1" x14ac:dyDescent="0.2">
      <c r="A54" s="588"/>
      <c r="B54" s="592" t="s">
        <v>790</v>
      </c>
      <c r="C54" s="593">
        <f>SUM(C48+C49+C52)</f>
        <v>37799300</v>
      </c>
      <c r="D54" s="593">
        <f>SUM(D48+D49+D52)</f>
        <v>36772457</v>
      </c>
      <c r="E54" s="593">
        <f t="shared" si="4"/>
        <v>-1026843</v>
      </c>
    </row>
    <row r="55" spans="1:5" s="421" customFormat="1" x14ac:dyDescent="0.2">
      <c r="A55" s="588"/>
      <c r="B55" s="592" t="s">
        <v>466</v>
      </c>
      <c r="C55" s="593">
        <f>SUM(C47+C54)</f>
        <v>61000511</v>
      </c>
      <c r="D55" s="593">
        <f>SUM(D47+D54)</f>
        <v>58050511</v>
      </c>
      <c r="E55" s="593">
        <f t="shared" si="4"/>
        <v>-2950000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34947784</v>
      </c>
      <c r="D58" s="589">
        <v>38805772</v>
      </c>
      <c r="E58" s="590">
        <f t="shared" ref="E58:E66" si="5">D58-C58</f>
        <v>3857988</v>
      </c>
    </row>
    <row r="59" spans="1:5" s="421" customFormat="1" x14ac:dyDescent="0.2">
      <c r="A59" s="588">
        <v>2</v>
      </c>
      <c r="B59" s="587" t="s">
        <v>635</v>
      </c>
      <c r="C59" s="589">
        <v>17962168</v>
      </c>
      <c r="D59" s="591">
        <v>17909657</v>
      </c>
      <c r="E59" s="590">
        <f t="shared" si="5"/>
        <v>-52511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10048174</v>
      </c>
      <c r="D60" s="591">
        <f>D61+D62</f>
        <v>11283345</v>
      </c>
      <c r="E60" s="590">
        <f t="shared" si="5"/>
        <v>1235171</v>
      </c>
    </row>
    <row r="61" spans="1:5" s="421" customFormat="1" x14ac:dyDescent="0.2">
      <c r="A61" s="588">
        <v>4</v>
      </c>
      <c r="B61" s="587" t="s">
        <v>115</v>
      </c>
      <c r="C61" s="589">
        <v>10048174</v>
      </c>
      <c r="D61" s="591">
        <v>11283345</v>
      </c>
      <c r="E61" s="590">
        <f t="shared" si="5"/>
        <v>1235171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151700</v>
      </c>
      <c r="D63" s="591">
        <v>205727</v>
      </c>
      <c r="E63" s="590">
        <f t="shared" si="5"/>
        <v>54027</v>
      </c>
    </row>
    <row r="64" spans="1:5" s="421" customFormat="1" x14ac:dyDescent="0.2">
      <c r="A64" s="588">
        <v>7</v>
      </c>
      <c r="B64" s="587" t="s">
        <v>758</v>
      </c>
      <c r="C64" s="589">
        <v>36556</v>
      </c>
      <c r="D64" s="591">
        <v>75205</v>
      </c>
      <c r="E64" s="590">
        <f t="shared" si="5"/>
        <v>38649</v>
      </c>
    </row>
    <row r="65" spans="1:5" s="421" customFormat="1" x14ac:dyDescent="0.2">
      <c r="A65" s="588"/>
      <c r="B65" s="592" t="s">
        <v>792</v>
      </c>
      <c r="C65" s="593">
        <f>SUM(C59+C60+C63)</f>
        <v>28162042</v>
      </c>
      <c r="D65" s="593">
        <f>SUM(D59+D60+D63)</f>
        <v>29398729</v>
      </c>
      <c r="E65" s="593">
        <f t="shared" si="5"/>
        <v>1236687</v>
      </c>
    </row>
    <row r="66" spans="1:5" s="421" customFormat="1" x14ac:dyDescent="0.2">
      <c r="A66" s="588"/>
      <c r="B66" s="592" t="s">
        <v>468</v>
      </c>
      <c r="C66" s="593">
        <f>SUM(C58+C65)</f>
        <v>63109826</v>
      </c>
      <c r="D66" s="593">
        <f>SUM(D58+D65)</f>
        <v>68204501</v>
      </c>
      <c r="E66" s="593">
        <f t="shared" si="5"/>
        <v>5094675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58148995</v>
      </c>
      <c r="D69" s="590">
        <f t="shared" si="6"/>
        <v>60083826</v>
      </c>
      <c r="E69" s="590">
        <f t="shared" ref="E69:E77" si="7">D69-C69</f>
        <v>1934831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49410291</v>
      </c>
      <c r="D70" s="590">
        <f t="shared" si="6"/>
        <v>47894414</v>
      </c>
      <c r="E70" s="590">
        <f t="shared" si="7"/>
        <v>-1515877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16331851</v>
      </c>
      <c r="D71" s="590">
        <f t="shared" si="6"/>
        <v>18000260</v>
      </c>
      <c r="E71" s="590">
        <f t="shared" si="7"/>
        <v>1668409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16331851</v>
      </c>
      <c r="D72" s="590">
        <f t="shared" si="6"/>
        <v>18000260</v>
      </c>
      <c r="E72" s="590">
        <f t="shared" si="7"/>
        <v>1668409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219200</v>
      </c>
      <c r="D74" s="590">
        <f t="shared" si="6"/>
        <v>276512</v>
      </c>
      <c r="E74" s="590">
        <f t="shared" si="7"/>
        <v>57312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49804</v>
      </c>
      <c r="D75" s="590">
        <f t="shared" si="6"/>
        <v>85575</v>
      </c>
      <c r="E75" s="590">
        <f t="shared" si="7"/>
        <v>35771</v>
      </c>
    </row>
    <row r="76" spans="1:5" s="421" customFormat="1" x14ac:dyDescent="0.2">
      <c r="A76" s="588"/>
      <c r="B76" s="592" t="s">
        <v>793</v>
      </c>
      <c r="C76" s="593">
        <f>SUM(C70+C71+C74)</f>
        <v>65961342</v>
      </c>
      <c r="D76" s="593">
        <f>SUM(D70+D71+D74)</f>
        <v>66171186</v>
      </c>
      <c r="E76" s="593">
        <f t="shared" si="7"/>
        <v>209844</v>
      </c>
    </row>
    <row r="77" spans="1:5" s="421" customFormat="1" x14ac:dyDescent="0.2">
      <c r="A77" s="588"/>
      <c r="B77" s="592" t="s">
        <v>726</v>
      </c>
      <c r="C77" s="593">
        <f>SUM(C69+C76)</f>
        <v>124110337</v>
      </c>
      <c r="D77" s="593">
        <f>SUM(D69+D76)</f>
        <v>126255012</v>
      </c>
      <c r="E77" s="593">
        <f t="shared" si="7"/>
        <v>2144675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0.10238783972695197</v>
      </c>
      <c r="D83" s="599">
        <f t="shared" si="8"/>
        <v>0.10320216675707369</v>
      </c>
      <c r="E83" s="599">
        <f t="shared" ref="E83:E91" si="9">D83-C83</f>
        <v>8.1432703012172813E-4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0.20501460633443994</v>
      </c>
      <c r="D84" s="599">
        <f t="shared" si="8"/>
        <v>0.20745306898313454</v>
      </c>
      <c r="E84" s="599">
        <f t="shared" si="9"/>
        <v>2.4384626486946004E-3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6.1615211789484856E-2</v>
      </c>
      <c r="D85" s="599">
        <f t="shared" si="8"/>
        <v>6.6306015893702719E-2</v>
      </c>
      <c r="E85" s="599">
        <f t="shared" si="9"/>
        <v>4.6908041042178633E-3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6.1615211789484856E-2</v>
      </c>
      <c r="D86" s="599">
        <f t="shared" si="8"/>
        <v>6.6306015893702719E-2</v>
      </c>
      <c r="E86" s="599">
        <f t="shared" si="9"/>
        <v>4.6908041042178633E-3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6.9712595488965654E-4</v>
      </c>
      <c r="D88" s="599">
        <f t="shared" si="8"/>
        <v>5.0069602358627813E-4</v>
      </c>
      <c r="E88" s="599">
        <f t="shared" si="9"/>
        <v>-1.9642993130337841E-4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4.4578669269912862E-3</v>
      </c>
      <c r="D89" s="599">
        <f t="shared" si="8"/>
        <v>4.7374634945194592E-3</v>
      </c>
      <c r="E89" s="599">
        <f t="shared" si="9"/>
        <v>2.7959656752817291E-4</v>
      </c>
    </row>
    <row r="90" spans="1:5" s="421" customFormat="1" x14ac:dyDescent="0.2">
      <c r="A90" s="588"/>
      <c r="B90" s="592" t="s">
        <v>796</v>
      </c>
      <c r="C90" s="600">
        <f>SUM(C84+C85+C88)</f>
        <v>0.26732694407881441</v>
      </c>
      <c r="D90" s="600">
        <f>SUM(D84+D85+D88)</f>
        <v>0.27425978090042352</v>
      </c>
      <c r="E90" s="601">
        <f t="shared" si="9"/>
        <v>6.9328368216091119E-3</v>
      </c>
    </row>
    <row r="91" spans="1:5" s="421" customFormat="1" x14ac:dyDescent="0.2">
      <c r="A91" s="588"/>
      <c r="B91" s="592" t="s">
        <v>797</v>
      </c>
      <c r="C91" s="600">
        <f>SUM(C83+C90)</f>
        <v>0.36971478380576639</v>
      </c>
      <c r="D91" s="600">
        <f>SUM(D83+D90)</f>
        <v>0.37746194765749719</v>
      </c>
      <c r="E91" s="601">
        <f t="shared" si="9"/>
        <v>7.7471638517307984E-3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0.26567358198528895</v>
      </c>
      <c r="D95" s="599">
        <f t="shared" si="10"/>
        <v>0.24561845562503459</v>
      </c>
      <c r="E95" s="599">
        <f t="shared" ref="E95:E103" si="11">D95-C95</f>
        <v>-2.0055126360254361E-2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0.23876886048254731</v>
      </c>
      <c r="D96" s="599">
        <f t="shared" si="10"/>
        <v>0.25024466242899907</v>
      </c>
      <c r="E96" s="599">
        <f t="shared" si="11"/>
        <v>1.1475801946451758E-2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0.12444949353811038</v>
      </c>
      <c r="D97" s="599">
        <f t="shared" si="10"/>
        <v>0.12510305506055855</v>
      </c>
      <c r="E97" s="599">
        <f t="shared" si="11"/>
        <v>6.5356152244816501E-4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0.12444949353811038</v>
      </c>
      <c r="D98" s="599">
        <f t="shared" si="10"/>
        <v>0.12510305506055855</v>
      </c>
      <c r="E98" s="599">
        <f t="shared" si="11"/>
        <v>6.5356152244816501E-4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1.3932801882869754E-3</v>
      </c>
      <c r="D100" s="599">
        <f t="shared" si="10"/>
        <v>1.571879227910599E-3</v>
      </c>
      <c r="E100" s="599">
        <f t="shared" si="11"/>
        <v>1.785990396236236E-4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1.4606803457499085E-2</v>
      </c>
      <c r="D101" s="599">
        <f t="shared" si="10"/>
        <v>1.5584500999597585E-2</v>
      </c>
      <c r="E101" s="599">
        <f t="shared" si="11"/>
        <v>9.7769754209849936E-4</v>
      </c>
    </row>
    <row r="102" spans="1:5" s="421" customFormat="1" x14ac:dyDescent="0.2">
      <c r="A102" s="588"/>
      <c r="B102" s="592" t="s">
        <v>799</v>
      </c>
      <c r="C102" s="600">
        <f>SUM(C96+C97+C100)</f>
        <v>0.36461163420894471</v>
      </c>
      <c r="D102" s="600">
        <f>SUM(D96+D97+D100)</f>
        <v>0.37691959671746822</v>
      </c>
      <c r="E102" s="601">
        <f t="shared" si="11"/>
        <v>1.2307962508523507E-2</v>
      </c>
    </row>
    <row r="103" spans="1:5" s="421" customFormat="1" x14ac:dyDescent="0.2">
      <c r="A103" s="588"/>
      <c r="B103" s="592" t="s">
        <v>800</v>
      </c>
      <c r="C103" s="600">
        <f>SUM(C95+C102)</f>
        <v>0.63028521619423361</v>
      </c>
      <c r="D103" s="600">
        <f>SUM(D95+D102)</f>
        <v>0.62253805234250281</v>
      </c>
      <c r="E103" s="601">
        <f t="shared" si="11"/>
        <v>-7.7471638517307984E-3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0.18694019822055596</v>
      </c>
      <c r="D109" s="599">
        <f t="shared" si="12"/>
        <v>0.16853235101668676</v>
      </c>
      <c r="E109" s="599">
        <f t="shared" ref="E109:E117" si="13">D109-C109</f>
        <v>-1.8407847203869204E-2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0.25338842646120607</v>
      </c>
      <c r="D110" s="599">
        <f t="shared" si="12"/>
        <v>0.23749359748189641</v>
      </c>
      <c r="E110" s="599">
        <f t="shared" si="13"/>
        <v>-1.5894828979309661E-2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5.0629763417691792E-2</v>
      </c>
      <c r="D111" s="599">
        <f t="shared" si="12"/>
        <v>5.3201175094736042E-2</v>
      </c>
      <c r="E111" s="599">
        <f t="shared" si="13"/>
        <v>2.5714116770442497E-3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5.0629763417691792E-2</v>
      </c>
      <c r="D112" s="599">
        <f t="shared" si="12"/>
        <v>5.3201175094736042E-2</v>
      </c>
      <c r="E112" s="599">
        <f t="shared" si="13"/>
        <v>2.5714116770442497E-3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5.4387089449285761E-4</v>
      </c>
      <c r="D114" s="599">
        <f t="shared" si="12"/>
        <v>5.6065101003673426E-4</v>
      </c>
      <c r="E114" s="599">
        <f t="shared" si="13"/>
        <v>1.6780115543876643E-5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1.0674372755913152E-4</v>
      </c>
      <c r="D115" s="599">
        <f t="shared" si="12"/>
        <v>8.2135353169187456E-5</v>
      </c>
      <c r="E115" s="599">
        <f t="shared" si="13"/>
        <v>-2.460837438994406E-5</v>
      </c>
    </row>
    <row r="116" spans="1:5" s="421" customFormat="1" x14ac:dyDescent="0.2">
      <c r="A116" s="588"/>
      <c r="B116" s="592" t="s">
        <v>796</v>
      </c>
      <c r="C116" s="600">
        <f>SUM(C110+C111+C114)</f>
        <v>0.30456206077339071</v>
      </c>
      <c r="D116" s="600">
        <f>SUM(D110+D111+D114)</f>
        <v>0.29125542358666917</v>
      </c>
      <c r="E116" s="601">
        <f t="shared" si="13"/>
        <v>-1.3306637186721537E-2</v>
      </c>
    </row>
    <row r="117" spans="1:5" s="421" customFormat="1" x14ac:dyDescent="0.2">
      <c r="A117" s="588"/>
      <c r="B117" s="592" t="s">
        <v>797</v>
      </c>
      <c r="C117" s="600">
        <f>SUM(C109+C116)</f>
        <v>0.49150225899394667</v>
      </c>
      <c r="D117" s="600">
        <f>SUM(D109+D116)</f>
        <v>0.45978777460335596</v>
      </c>
      <c r="E117" s="601">
        <f t="shared" si="13"/>
        <v>-3.1714484390590714E-2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0.2815864080684915</v>
      </c>
      <c r="D121" s="599">
        <f t="shared" si="14"/>
        <v>0.30736024958755698</v>
      </c>
      <c r="E121" s="599">
        <f t="shared" ref="E121:E129" si="15">D121-C121</f>
        <v>2.5773841519065477E-2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0.14472741299542197</v>
      </c>
      <c r="D122" s="599">
        <f t="shared" si="14"/>
        <v>0.14185303788177533</v>
      </c>
      <c r="E122" s="599">
        <f t="shared" si="15"/>
        <v>-2.8743751136466322E-3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8.0961620465183334E-2</v>
      </c>
      <c r="D123" s="599">
        <f t="shared" si="14"/>
        <v>8.9369481823026564E-2</v>
      </c>
      <c r="E123" s="599">
        <f t="shared" si="15"/>
        <v>8.4078613578432299E-3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8.0961620465183334E-2</v>
      </c>
      <c r="D124" s="599">
        <f t="shared" si="14"/>
        <v>8.9369481823026564E-2</v>
      </c>
      <c r="E124" s="599">
        <f t="shared" si="15"/>
        <v>8.4078613578432299E-3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1.2222994769565407E-3</v>
      </c>
      <c r="D126" s="599">
        <f t="shared" si="14"/>
        <v>1.6294561042851908E-3</v>
      </c>
      <c r="E126" s="599">
        <f t="shared" si="15"/>
        <v>4.0715662732865006E-4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2.9454436176416153E-4</v>
      </c>
      <c r="D127" s="599">
        <f t="shared" si="14"/>
        <v>5.9565952122360097E-4</v>
      </c>
      <c r="E127" s="599">
        <f t="shared" si="15"/>
        <v>3.0111515945943943E-4</v>
      </c>
    </row>
    <row r="128" spans="1:5" s="421" customFormat="1" x14ac:dyDescent="0.2">
      <c r="A128" s="588"/>
      <c r="B128" s="592" t="s">
        <v>799</v>
      </c>
      <c r="C128" s="600">
        <f>SUM(C122+C123+C126)</f>
        <v>0.22691133293756185</v>
      </c>
      <c r="D128" s="600">
        <f>SUM(D122+D123+D126)</f>
        <v>0.23285197580908709</v>
      </c>
      <c r="E128" s="601">
        <f t="shared" si="15"/>
        <v>5.9406428715252368E-3</v>
      </c>
    </row>
    <row r="129" spans="1:5" s="421" customFormat="1" x14ac:dyDescent="0.2">
      <c r="A129" s="588"/>
      <c r="B129" s="592" t="s">
        <v>800</v>
      </c>
      <c r="C129" s="600">
        <f>SUM(C121+C128)</f>
        <v>0.50849774100605338</v>
      </c>
      <c r="D129" s="600">
        <f>SUM(D121+D128)</f>
        <v>0.54021222539664404</v>
      </c>
      <c r="E129" s="601">
        <f t="shared" si="15"/>
        <v>3.1714484390590658E-2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2350</v>
      </c>
      <c r="D137" s="606">
        <v>2202</v>
      </c>
      <c r="E137" s="607">
        <f t="shared" ref="E137:E145" si="16">D137-C137</f>
        <v>-148</v>
      </c>
    </row>
    <row r="138" spans="1:5" s="421" customFormat="1" x14ac:dyDescent="0.2">
      <c r="A138" s="588">
        <v>2</v>
      </c>
      <c r="B138" s="587" t="s">
        <v>635</v>
      </c>
      <c r="C138" s="606">
        <v>3565</v>
      </c>
      <c r="D138" s="606">
        <v>3584</v>
      </c>
      <c r="E138" s="607">
        <f t="shared" si="16"/>
        <v>19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1625</v>
      </c>
      <c r="D139" s="606">
        <f>D140+D141</f>
        <v>1646</v>
      </c>
      <c r="E139" s="607">
        <f t="shared" si="16"/>
        <v>21</v>
      </c>
    </row>
    <row r="140" spans="1:5" s="421" customFormat="1" x14ac:dyDescent="0.2">
      <c r="A140" s="588">
        <v>4</v>
      </c>
      <c r="B140" s="587" t="s">
        <v>115</v>
      </c>
      <c r="C140" s="606">
        <v>1625</v>
      </c>
      <c r="D140" s="606">
        <v>1646</v>
      </c>
      <c r="E140" s="607">
        <f t="shared" si="16"/>
        <v>21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25</v>
      </c>
      <c r="D142" s="606">
        <v>16</v>
      </c>
      <c r="E142" s="607">
        <f t="shared" si="16"/>
        <v>-9</v>
      </c>
    </row>
    <row r="143" spans="1:5" s="421" customFormat="1" x14ac:dyDescent="0.2">
      <c r="A143" s="588">
        <v>7</v>
      </c>
      <c r="B143" s="587" t="s">
        <v>758</v>
      </c>
      <c r="C143" s="606">
        <v>119</v>
      </c>
      <c r="D143" s="606">
        <v>132</v>
      </c>
      <c r="E143" s="607">
        <f t="shared" si="16"/>
        <v>13</v>
      </c>
    </row>
    <row r="144" spans="1:5" s="421" customFormat="1" x14ac:dyDescent="0.2">
      <c r="A144" s="588"/>
      <c r="B144" s="592" t="s">
        <v>807</v>
      </c>
      <c r="C144" s="608">
        <f>SUM(C138+C139+C142)</f>
        <v>5215</v>
      </c>
      <c r="D144" s="608">
        <f>SUM(D138+D139+D142)</f>
        <v>5246</v>
      </c>
      <c r="E144" s="609">
        <f t="shared" si="16"/>
        <v>31</v>
      </c>
    </row>
    <row r="145" spans="1:5" s="421" customFormat="1" x14ac:dyDescent="0.2">
      <c r="A145" s="588"/>
      <c r="B145" s="592" t="s">
        <v>138</v>
      </c>
      <c r="C145" s="608">
        <f>SUM(C137+C144)</f>
        <v>7565</v>
      </c>
      <c r="D145" s="608">
        <f>SUM(D137+D144)</f>
        <v>7448</v>
      </c>
      <c r="E145" s="609">
        <f t="shared" si="16"/>
        <v>-117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7290</v>
      </c>
      <c r="D149" s="610">
        <v>7164</v>
      </c>
      <c r="E149" s="607">
        <f t="shared" ref="E149:E157" si="17">D149-C149</f>
        <v>-126</v>
      </c>
    </row>
    <row r="150" spans="1:5" s="421" customFormat="1" x14ac:dyDescent="0.2">
      <c r="A150" s="588">
        <v>2</v>
      </c>
      <c r="B150" s="587" t="s">
        <v>635</v>
      </c>
      <c r="C150" s="610">
        <v>15919</v>
      </c>
      <c r="D150" s="610">
        <v>16506</v>
      </c>
      <c r="E150" s="607">
        <f t="shared" si="17"/>
        <v>587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6109</v>
      </c>
      <c r="D151" s="610">
        <f>D152+D153</f>
        <v>5997</v>
      </c>
      <c r="E151" s="607">
        <f t="shared" si="17"/>
        <v>-112</v>
      </c>
    </row>
    <row r="152" spans="1:5" s="421" customFormat="1" x14ac:dyDescent="0.2">
      <c r="A152" s="588">
        <v>4</v>
      </c>
      <c r="B152" s="587" t="s">
        <v>115</v>
      </c>
      <c r="C152" s="610">
        <v>6109</v>
      </c>
      <c r="D152" s="610">
        <v>5997</v>
      </c>
      <c r="E152" s="607">
        <f t="shared" si="17"/>
        <v>-112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65</v>
      </c>
      <c r="D154" s="610">
        <v>43</v>
      </c>
      <c r="E154" s="607">
        <f t="shared" si="17"/>
        <v>-22</v>
      </c>
    </row>
    <row r="155" spans="1:5" s="421" customFormat="1" x14ac:dyDescent="0.2">
      <c r="A155" s="588">
        <v>7</v>
      </c>
      <c r="B155" s="587" t="s">
        <v>758</v>
      </c>
      <c r="C155" s="610">
        <v>370</v>
      </c>
      <c r="D155" s="610">
        <v>368</v>
      </c>
      <c r="E155" s="607">
        <f t="shared" si="17"/>
        <v>-2</v>
      </c>
    </row>
    <row r="156" spans="1:5" s="421" customFormat="1" x14ac:dyDescent="0.2">
      <c r="A156" s="588"/>
      <c r="B156" s="592" t="s">
        <v>808</v>
      </c>
      <c r="C156" s="608">
        <f>SUM(C150+C151+C154)</f>
        <v>22093</v>
      </c>
      <c r="D156" s="608">
        <f>SUM(D150+D151+D154)</f>
        <v>22546</v>
      </c>
      <c r="E156" s="609">
        <f t="shared" si="17"/>
        <v>453</v>
      </c>
    </row>
    <row r="157" spans="1:5" s="421" customFormat="1" x14ac:dyDescent="0.2">
      <c r="A157" s="588"/>
      <c r="B157" s="592" t="s">
        <v>140</v>
      </c>
      <c r="C157" s="608">
        <f>SUM(C149+C156)</f>
        <v>29383</v>
      </c>
      <c r="D157" s="608">
        <f>SUM(D149+D156)</f>
        <v>29710</v>
      </c>
      <c r="E157" s="609">
        <f t="shared" si="17"/>
        <v>327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3.1021276595744682</v>
      </c>
      <c r="D161" s="612">
        <f t="shared" si="18"/>
        <v>3.2534059945504086</v>
      </c>
      <c r="E161" s="613">
        <f t="shared" ref="E161:E169" si="19">D161-C161</f>
        <v>0.15127833497594034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4.4653576437587654</v>
      </c>
      <c r="D162" s="612">
        <f t="shared" si="18"/>
        <v>4.60546875</v>
      </c>
      <c r="E162" s="613">
        <f t="shared" si="19"/>
        <v>0.14011110624123457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3.7593846153846155</v>
      </c>
      <c r="D163" s="612">
        <f t="shared" si="18"/>
        <v>3.643377885783718</v>
      </c>
      <c r="E163" s="613">
        <f t="shared" si="19"/>
        <v>-0.11600672960089753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3.7593846153846155</v>
      </c>
      <c r="D164" s="612">
        <f t="shared" si="18"/>
        <v>3.643377885783718</v>
      </c>
      <c r="E164" s="613">
        <f t="shared" si="19"/>
        <v>-0.11600672960089753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</v>
      </c>
      <c r="D166" s="612">
        <f t="shared" si="18"/>
        <v>2.6875</v>
      </c>
      <c r="E166" s="613">
        <f t="shared" si="19"/>
        <v>8.7499999999999911E-2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3.1092436974789917</v>
      </c>
      <c r="D167" s="612">
        <f t="shared" si="18"/>
        <v>2.7878787878787881</v>
      </c>
      <c r="E167" s="613">
        <f t="shared" si="19"/>
        <v>-0.32136490960020359</v>
      </c>
    </row>
    <row r="168" spans="1:5" s="421" customFormat="1" x14ac:dyDescent="0.2">
      <c r="A168" s="588"/>
      <c r="B168" s="592" t="s">
        <v>810</v>
      </c>
      <c r="C168" s="614">
        <f t="shared" si="18"/>
        <v>4.2364333652924255</v>
      </c>
      <c r="D168" s="614">
        <f t="shared" si="18"/>
        <v>4.2977506671749905</v>
      </c>
      <c r="E168" s="615">
        <f t="shared" si="19"/>
        <v>6.1317301882565012E-2</v>
      </c>
    </row>
    <row r="169" spans="1:5" s="421" customFormat="1" x14ac:dyDescent="0.2">
      <c r="A169" s="588"/>
      <c r="B169" s="592" t="s">
        <v>744</v>
      </c>
      <c r="C169" s="614">
        <f t="shared" si="18"/>
        <v>3.8840713813615335</v>
      </c>
      <c r="D169" s="614">
        <f t="shared" si="18"/>
        <v>3.9889903329752956</v>
      </c>
      <c r="E169" s="615">
        <f t="shared" si="19"/>
        <v>0.10491895161376208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0.96519999999999995</v>
      </c>
      <c r="D173" s="617">
        <f t="shared" si="20"/>
        <v>1.024</v>
      </c>
      <c r="E173" s="618">
        <f t="shared" ref="E173:E181" si="21">D173-C173</f>
        <v>5.8800000000000074E-2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1.2996000000000001</v>
      </c>
      <c r="D174" s="617">
        <f t="shared" si="20"/>
        <v>1.2510999999999999</v>
      </c>
      <c r="E174" s="618">
        <f t="shared" si="21"/>
        <v>-4.850000000000021E-2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0.9425</v>
      </c>
      <c r="D175" s="617">
        <f t="shared" si="20"/>
        <v>0.94910000000000005</v>
      </c>
      <c r="E175" s="618">
        <f t="shared" si="21"/>
        <v>6.6000000000000503E-3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0.9425</v>
      </c>
      <c r="D176" s="617">
        <f t="shared" si="20"/>
        <v>0.94910000000000005</v>
      </c>
      <c r="E176" s="618">
        <f t="shared" si="21"/>
        <v>6.6000000000000503E-3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0.73570000000000002</v>
      </c>
      <c r="D178" s="617">
        <f t="shared" si="20"/>
        <v>0.74550000000000005</v>
      </c>
      <c r="E178" s="618">
        <f t="shared" si="21"/>
        <v>9.8000000000000309E-3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0.94</v>
      </c>
      <c r="D179" s="617">
        <f t="shared" si="20"/>
        <v>1.0887</v>
      </c>
      <c r="E179" s="618">
        <f t="shared" si="21"/>
        <v>0.14870000000000005</v>
      </c>
    </row>
    <row r="180" spans="1:5" s="421" customFormat="1" x14ac:dyDescent="0.2">
      <c r="A180" s="588"/>
      <c r="B180" s="592" t="s">
        <v>812</v>
      </c>
      <c r="C180" s="619">
        <f t="shared" si="20"/>
        <v>1.1856239693192714</v>
      </c>
      <c r="D180" s="619">
        <f t="shared" si="20"/>
        <v>1.154801563095692</v>
      </c>
      <c r="E180" s="620">
        <f t="shared" si="21"/>
        <v>-3.0822406223579346E-2</v>
      </c>
    </row>
    <row r="181" spans="1:5" s="421" customFormat="1" x14ac:dyDescent="0.2">
      <c r="A181" s="588"/>
      <c r="B181" s="592" t="s">
        <v>723</v>
      </c>
      <c r="C181" s="619">
        <f t="shared" si="20"/>
        <v>1.1171512227362854</v>
      </c>
      <c r="D181" s="619">
        <f t="shared" si="20"/>
        <v>1.1161301020408163</v>
      </c>
      <c r="E181" s="620">
        <f t="shared" si="21"/>
        <v>-1.0211206954691132E-3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128985172</v>
      </c>
      <c r="D185" s="589">
        <v>135913793</v>
      </c>
      <c r="E185" s="590">
        <f>D185-C185</f>
        <v>6928621</v>
      </c>
    </row>
    <row r="186" spans="1:5" s="421" customFormat="1" ht="25.5" x14ac:dyDescent="0.2">
      <c r="A186" s="588">
        <v>2</v>
      </c>
      <c r="B186" s="587" t="s">
        <v>815</v>
      </c>
      <c r="C186" s="589">
        <v>61783743</v>
      </c>
      <c r="D186" s="589">
        <v>64368275</v>
      </c>
      <c r="E186" s="590">
        <f>D186-C186</f>
        <v>2584532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67201429</v>
      </c>
      <c r="D188" s="622">
        <f>+D185-D186</f>
        <v>71545518</v>
      </c>
      <c r="E188" s="590">
        <f t="shared" ref="E188:E197" si="22">D188-C188</f>
        <v>4344089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0.52100119694378511</v>
      </c>
      <c r="D189" s="623">
        <f>IF(D185=0,0,+D188/D185)</f>
        <v>0.52640365941372858</v>
      </c>
      <c r="E189" s="599">
        <f t="shared" si="22"/>
        <v>5.4024624699434698E-3</v>
      </c>
    </row>
    <row r="190" spans="1:5" s="421" customFormat="1" x14ac:dyDescent="0.2">
      <c r="A190" s="588">
        <v>5</v>
      </c>
      <c r="B190" s="587" t="s">
        <v>762</v>
      </c>
      <c r="C190" s="589">
        <v>6283264</v>
      </c>
      <c r="D190" s="589">
        <v>5275587</v>
      </c>
      <c r="E190" s="622">
        <f t="shared" si="22"/>
        <v>-1007677</v>
      </c>
    </row>
    <row r="191" spans="1:5" s="421" customFormat="1" x14ac:dyDescent="0.2">
      <c r="A191" s="588">
        <v>6</v>
      </c>
      <c r="B191" s="587" t="s">
        <v>748</v>
      </c>
      <c r="C191" s="589">
        <v>4074697</v>
      </c>
      <c r="D191" s="589">
        <v>3825586</v>
      </c>
      <c r="E191" s="622">
        <f t="shared" si="22"/>
        <v>-249111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3781958</v>
      </c>
      <c r="D193" s="589">
        <v>5306456</v>
      </c>
      <c r="E193" s="622">
        <f t="shared" si="22"/>
        <v>1524498</v>
      </c>
    </row>
    <row r="194" spans="1:5" s="421" customFormat="1" x14ac:dyDescent="0.2">
      <c r="A194" s="588">
        <v>9</v>
      </c>
      <c r="B194" s="587" t="s">
        <v>818</v>
      </c>
      <c r="C194" s="589">
        <v>6470291</v>
      </c>
      <c r="D194" s="589">
        <v>4909425</v>
      </c>
      <c r="E194" s="622">
        <f t="shared" si="22"/>
        <v>-1560866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10252249</v>
      </c>
      <c r="D195" s="589">
        <f>+D193+D194</f>
        <v>10215881</v>
      </c>
      <c r="E195" s="625">
        <f t="shared" si="22"/>
        <v>-36368</v>
      </c>
    </row>
    <row r="196" spans="1:5" s="421" customFormat="1" x14ac:dyDescent="0.2">
      <c r="A196" s="588">
        <v>11</v>
      </c>
      <c r="B196" s="587" t="s">
        <v>820</v>
      </c>
      <c r="C196" s="589">
        <v>5173982</v>
      </c>
      <c r="D196" s="589">
        <v>4242269</v>
      </c>
      <c r="E196" s="622">
        <f t="shared" si="22"/>
        <v>-931713</v>
      </c>
    </row>
    <row r="197" spans="1:5" s="421" customFormat="1" x14ac:dyDescent="0.2">
      <c r="A197" s="588">
        <v>12</v>
      </c>
      <c r="B197" s="587" t="s">
        <v>710</v>
      </c>
      <c r="C197" s="589">
        <v>134486303</v>
      </c>
      <c r="D197" s="589">
        <v>129703674</v>
      </c>
      <c r="E197" s="622">
        <f t="shared" si="22"/>
        <v>-4782629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2268.2199999999998</v>
      </c>
      <c r="D203" s="629">
        <v>2254.848</v>
      </c>
      <c r="E203" s="630">
        <f t="shared" ref="E203:E211" si="23">D203-C203</f>
        <v>-13.371999999999844</v>
      </c>
    </row>
    <row r="204" spans="1:5" s="421" customFormat="1" x14ac:dyDescent="0.2">
      <c r="A204" s="588">
        <v>2</v>
      </c>
      <c r="B204" s="587" t="s">
        <v>635</v>
      </c>
      <c r="C204" s="629">
        <v>4633.0740000000005</v>
      </c>
      <c r="D204" s="629">
        <v>4483.9423999999999</v>
      </c>
      <c r="E204" s="630">
        <f t="shared" si="23"/>
        <v>-149.13160000000062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1531.5625</v>
      </c>
      <c r="D205" s="629">
        <f>D206+D207</f>
        <v>1562.2186000000002</v>
      </c>
      <c r="E205" s="630">
        <f t="shared" si="23"/>
        <v>30.656100000000151</v>
      </c>
    </row>
    <row r="206" spans="1:5" s="421" customFormat="1" x14ac:dyDescent="0.2">
      <c r="A206" s="588">
        <v>4</v>
      </c>
      <c r="B206" s="587" t="s">
        <v>115</v>
      </c>
      <c r="C206" s="629">
        <v>1531.5625</v>
      </c>
      <c r="D206" s="629">
        <v>1562.2186000000002</v>
      </c>
      <c r="E206" s="630">
        <f t="shared" si="23"/>
        <v>30.656100000000151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18.392500000000002</v>
      </c>
      <c r="D208" s="629">
        <v>11.928000000000001</v>
      </c>
      <c r="E208" s="630">
        <f t="shared" si="23"/>
        <v>-6.464500000000001</v>
      </c>
    </row>
    <row r="209" spans="1:5" s="421" customFormat="1" x14ac:dyDescent="0.2">
      <c r="A209" s="588">
        <v>7</v>
      </c>
      <c r="B209" s="587" t="s">
        <v>758</v>
      </c>
      <c r="C209" s="629">
        <v>111.86</v>
      </c>
      <c r="D209" s="629">
        <v>143.70840000000001</v>
      </c>
      <c r="E209" s="630">
        <f t="shared" si="23"/>
        <v>31.848400000000012</v>
      </c>
    </row>
    <row r="210" spans="1:5" s="421" customFormat="1" x14ac:dyDescent="0.2">
      <c r="A210" s="588"/>
      <c r="B210" s="592" t="s">
        <v>823</v>
      </c>
      <c r="C210" s="631">
        <f>C204+C205+C208</f>
        <v>6183.0290000000005</v>
      </c>
      <c r="D210" s="631">
        <f>D204+D205+D208</f>
        <v>6058.0889999999999</v>
      </c>
      <c r="E210" s="632">
        <f t="shared" si="23"/>
        <v>-124.94000000000051</v>
      </c>
    </row>
    <row r="211" spans="1:5" s="421" customFormat="1" x14ac:dyDescent="0.2">
      <c r="A211" s="588"/>
      <c r="B211" s="592" t="s">
        <v>724</v>
      </c>
      <c r="C211" s="631">
        <f>C210+C203</f>
        <v>8451.2489999999998</v>
      </c>
      <c r="D211" s="631">
        <f>D210+D203</f>
        <v>8312.9369999999999</v>
      </c>
      <c r="E211" s="632">
        <f t="shared" si="23"/>
        <v>-138.3119999999999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6097.7252702117839</v>
      </c>
      <c r="D215" s="633">
        <f>IF(D14*D137=0,0,D25/D14*D137)</f>
        <v>5240.7023639283725</v>
      </c>
      <c r="E215" s="633">
        <f t="shared" ref="E215:E223" si="24">D215-C215</f>
        <v>-857.02290628341143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4151.952891745198</v>
      </c>
      <c r="D216" s="633">
        <f>IF(D15*D138=0,0,D26/D15*D138)</f>
        <v>4323.2759801613083</v>
      </c>
      <c r="E216" s="633">
        <f t="shared" si="24"/>
        <v>171.32308841611029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3282.1509676923911</v>
      </c>
      <c r="D217" s="633">
        <f>D218+D219</f>
        <v>3105.5949577757124</v>
      </c>
      <c r="E217" s="633">
        <f t="shared" si="24"/>
        <v>-176.5560099166787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3282.1509676923911</v>
      </c>
      <c r="D218" s="633">
        <f t="shared" si="25"/>
        <v>3105.5949577757124</v>
      </c>
      <c r="E218" s="633">
        <f t="shared" si="24"/>
        <v>-176.5560099166787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49.965152585213545</v>
      </c>
      <c r="D220" s="633">
        <f t="shared" si="25"/>
        <v>50.230212467896337</v>
      </c>
      <c r="E220" s="633">
        <f t="shared" si="24"/>
        <v>0.26505988268279168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389.91958259632207</v>
      </c>
      <c r="D221" s="633">
        <f t="shared" si="25"/>
        <v>434.23113113730642</v>
      </c>
      <c r="E221" s="633">
        <f t="shared" si="24"/>
        <v>44.311548540984347</v>
      </c>
    </row>
    <row r="222" spans="1:5" s="421" customFormat="1" x14ac:dyDescent="0.2">
      <c r="A222" s="588"/>
      <c r="B222" s="592" t="s">
        <v>825</v>
      </c>
      <c r="C222" s="634">
        <f>C216+C218+C219+C220</f>
        <v>7484.0690120228028</v>
      </c>
      <c r="D222" s="634">
        <f>D216+D218+D219+D220</f>
        <v>7479.1011504049175</v>
      </c>
      <c r="E222" s="634">
        <f t="shared" si="24"/>
        <v>-4.967861617885319</v>
      </c>
    </row>
    <row r="223" spans="1:5" s="421" customFormat="1" x14ac:dyDescent="0.2">
      <c r="A223" s="588"/>
      <c r="B223" s="592" t="s">
        <v>826</v>
      </c>
      <c r="C223" s="634">
        <f>C215+C222</f>
        <v>13581.794282234587</v>
      </c>
      <c r="D223" s="634">
        <f>D215+D222</f>
        <v>12719.803514333289</v>
      </c>
      <c r="E223" s="634">
        <f t="shared" si="24"/>
        <v>-861.99076790129766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10228.818633113191</v>
      </c>
      <c r="D227" s="636">
        <f t="shared" si="26"/>
        <v>9436.5802040758408</v>
      </c>
      <c r="E227" s="636">
        <f t="shared" ref="E227:E235" si="27">D227-C227</f>
        <v>-792.23842903735022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6787.7445946255111</v>
      </c>
      <c r="D228" s="636">
        <f t="shared" si="26"/>
        <v>6687.1414316116106</v>
      </c>
      <c r="E228" s="636">
        <f t="shared" si="27"/>
        <v>-100.60316301390048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4102.7884921444602</v>
      </c>
      <c r="D229" s="636">
        <f t="shared" si="26"/>
        <v>4299.5999407509289</v>
      </c>
      <c r="E229" s="636">
        <f t="shared" si="27"/>
        <v>196.81144860646873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4102.7884921444602</v>
      </c>
      <c r="D230" s="636">
        <f t="shared" si="26"/>
        <v>4299.5999407509289</v>
      </c>
      <c r="E230" s="636">
        <f t="shared" si="27"/>
        <v>196.81144860646873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3669.9741742558103</v>
      </c>
      <c r="D232" s="636">
        <f t="shared" si="26"/>
        <v>5934.3561368209248</v>
      </c>
      <c r="E232" s="636">
        <f t="shared" si="27"/>
        <v>2264.3819625651145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118.43375648131592</v>
      </c>
      <c r="D233" s="636">
        <f t="shared" si="26"/>
        <v>72.160012915041847</v>
      </c>
      <c r="E233" s="636">
        <f t="shared" si="27"/>
        <v>-46.273743566274078</v>
      </c>
    </row>
    <row r="234" spans="1:5" x14ac:dyDescent="0.2">
      <c r="A234" s="588"/>
      <c r="B234" s="592" t="s">
        <v>828</v>
      </c>
      <c r="C234" s="637">
        <f t="shared" si="26"/>
        <v>6113.3952307194413</v>
      </c>
      <c r="D234" s="637">
        <f t="shared" si="26"/>
        <v>6069.9763572308029</v>
      </c>
      <c r="E234" s="637">
        <f t="shared" si="27"/>
        <v>-43.418873488638383</v>
      </c>
    </row>
    <row r="235" spans="1:5" s="421" customFormat="1" x14ac:dyDescent="0.2">
      <c r="A235" s="588"/>
      <c r="B235" s="592" t="s">
        <v>829</v>
      </c>
      <c r="C235" s="637">
        <f t="shared" si="26"/>
        <v>7217.9284979060494</v>
      </c>
      <c r="D235" s="637">
        <f t="shared" si="26"/>
        <v>6983.153005971295</v>
      </c>
      <c r="E235" s="637">
        <f t="shared" si="27"/>
        <v>-234.77549193475443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5731.2821505299153</v>
      </c>
      <c r="D239" s="636">
        <f t="shared" si="28"/>
        <v>7404.689162868548</v>
      </c>
      <c r="E239" s="638">
        <f t="shared" ref="E239:E247" si="29">D239-C239</f>
        <v>1673.4070123386327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4326.1974469199549</v>
      </c>
      <c r="D240" s="636">
        <f t="shared" si="28"/>
        <v>4142.6124730838401</v>
      </c>
      <c r="E240" s="638">
        <f t="shared" si="29"/>
        <v>-183.58497383611484</v>
      </c>
    </row>
    <row r="241" spans="1:5" x14ac:dyDescent="0.2">
      <c r="A241" s="588">
        <v>3</v>
      </c>
      <c r="B241" s="587" t="s">
        <v>777</v>
      </c>
      <c r="C241" s="636">
        <f t="shared" si="28"/>
        <v>3061.4600299951016</v>
      </c>
      <c r="D241" s="636">
        <f t="shared" si="28"/>
        <v>3633.2313625603488</v>
      </c>
      <c r="E241" s="638">
        <f t="shared" si="29"/>
        <v>571.77133256524712</v>
      </c>
    </row>
    <row r="242" spans="1:5" x14ac:dyDescent="0.2">
      <c r="A242" s="588">
        <v>4</v>
      </c>
      <c r="B242" s="587" t="s">
        <v>115</v>
      </c>
      <c r="C242" s="636">
        <f t="shared" si="28"/>
        <v>3061.4600299951016</v>
      </c>
      <c r="D242" s="636">
        <f t="shared" si="28"/>
        <v>3633.2313625603488</v>
      </c>
      <c r="E242" s="638">
        <f t="shared" si="29"/>
        <v>571.77133256524712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3036.1160158829052</v>
      </c>
      <c r="D244" s="636">
        <f t="shared" si="28"/>
        <v>4095.6824566785658</v>
      </c>
      <c r="E244" s="638">
        <f t="shared" si="29"/>
        <v>1059.5664407956606</v>
      </c>
    </row>
    <row r="245" spans="1:5" x14ac:dyDescent="0.2">
      <c r="A245" s="588">
        <v>7</v>
      </c>
      <c r="B245" s="587" t="s">
        <v>758</v>
      </c>
      <c r="C245" s="636">
        <f t="shared" si="28"/>
        <v>93.752664989503444</v>
      </c>
      <c r="D245" s="636">
        <f t="shared" si="28"/>
        <v>173.19117540704318</v>
      </c>
      <c r="E245" s="638">
        <f t="shared" si="29"/>
        <v>79.438510417539732</v>
      </c>
    </row>
    <row r="246" spans="1:5" ht="25.5" x14ac:dyDescent="0.2">
      <c r="A246" s="588"/>
      <c r="B246" s="592" t="s">
        <v>831</v>
      </c>
      <c r="C246" s="637">
        <f t="shared" si="28"/>
        <v>3762.9318963733513</v>
      </c>
      <c r="D246" s="637">
        <f t="shared" si="28"/>
        <v>3930.7837143516044</v>
      </c>
      <c r="E246" s="639">
        <f t="shared" si="29"/>
        <v>167.85181797825317</v>
      </c>
    </row>
    <row r="247" spans="1:5" x14ac:dyDescent="0.2">
      <c r="A247" s="588"/>
      <c r="B247" s="592" t="s">
        <v>832</v>
      </c>
      <c r="C247" s="637">
        <f t="shared" si="28"/>
        <v>4646.6486451314931</v>
      </c>
      <c r="D247" s="637">
        <f t="shared" si="28"/>
        <v>5362.0719001786365</v>
      </c>
      <c r="E247" s="639">
        <f t="shared" si="29"/>
        <v>715.42325504714336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4151059.1368366824</v>
      </c>
      <c r="D251" s="622">
        <f>((IF((IF(D15=0,0,D26/D15)*D138)=0,0,D59/(IF(D15=0,0,D26/D15)*D138)))-(IF((IF(D17=0,0,D28/D17)*D140)=0,0,D61/(IF(D17=0,0,D28/D17)*D140))))*(IF(D17=0,0,D28/D17)*D140)</f>
        <v>1581931.4084279474</v>
      </c>
      <c r="E251" s="622">
        <f>D251-C251</f>
        <v>-2569127.7284087352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2396342.2130871126</v>
      </c>
      <c r="D253" s="622">
        <f>IF(D233=0,0,(D228-D233)*D209+IF(D221=0,0,(D240-D245)*D221))</f>
        <v>2674274.6957613239</v>
      </c>
      <c r="E253" s="622">
        <f>D253-C253</f>
        <v>277932.48267421126</v>
      </c>
    </row>
    <row r="254" spans="1:5" ht="15" customHeight="1" x14ac:dyDescent="0.2">
      <c r="A254" s="588"/>
      <c r="B254" s="592" t="s">
        <v>759</v>
      </c>
      <c r="C254" s="640">
        <f>+C251+C252+C253</f>
        <v>6547401.3499237951</v>
      </c>
      <c r="D254" s="640">
        <f>+D251+D252+D253</f>
        <v>4256206.1041892711</v>
      </c>
      <c r="E254" s="640">
        <f>D254-C254</f>
        <v>-2291195.245734524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385913045</v>
      </c>
      <c r="D258" s="625">
        <f>+D44</f>
        <v>427704615</v>
      </c>
      <c r="E258" s="622">
        <f t="shared" ref="E258:E271" si="30">D258-C258</f>
        <v>41791570</v>
      </c>
    </row>
    <row r="259" spans="1:5" x14ac:dyDescent="0.2">
      <c r="A259" s="588">
        <v>2</v>
      </c>
      <c r="B259" s="587" t="s">
        <v>742</v>
      </c>
      <c r="C259" s="622">
        <f>+(C43-C76)</f>
        <v>177911999</v>
      </c>
      <c r="D259" s="625">
        <f>+(D43-D76)</f>
        <v>212341239</v>
      </c>
      <c r="E259" s="622">
        <f t="shared" si="30"/>
        <v>34429240</v>
      </c>
    </row>
    <row r="260" spans="1:5" x14ac:dyDescent="0.2">
      <c r="A260" s="588">
        <v>3</v>
      </c>
      <c r="B260" s="587" t="s">
        <v>746</v>
      </c>
      <c r="C260" s="622">
        <f>C195</f>
        <v>10252249</v>
      </c>
      <c r="D260" s="622">
        <f>D195</f>
        <v>10215881</v>
      </c>
      <c r="E260" s="622">
        <f t="shared" si="30"/>
        <v>-36368</v>
      </c>
    </row>
    <row r="261" spans="1:5" x14ac:dyDescent="0.2">
      <c r="A261" s="588">
        <v>4</v>
      </c>
      <c r="B261" s="587" t="s">
        <v>747</v>
      </c>
      <c r="C261" s="622">
        <f>C188</f>
        <v>67201429</v>
      </c>
      <c r="D261" s="622">
        <f>D188</f>
        <v>71545518</v>
      </c>
      <c r="E261" s="622">
        <f t="shared" si="30"/>
        <v>4344089</v>
      </c>
    </row>
    <row r="262" spans="1:5" x14ac:dyDescent="0.2">
      <c r="A262" s="588">
        <v>5</v>
      </c>
      <c r="B262" s="587" t="s">
        <v>748</v>
      </c>
      <c r="C262" s="622">
        <f>C191</f>
        <v>4074697</v>
      </c>
      <c r="D262" s="622">
        <f>D191</f>
        <v>3825586</v>
      </c>
      <c r="E262" s="622">
        <f t="shared" si="30"/>
        <v>-249111</v>
      </c>
    </row>
    <row r="263" spans="1:5" x14ac:dyDescent="0.2">
      <c r="A263" s="588">
        <v>6</v>
      </c>
      <c r="B263" s="587" t="s">
        <v>749</v>
      </c>
      <c r="C263" s="622">
        <f>+C259+C260+C261+C262</f>
        <v>259440374</v>
      </c>
      <c r="D263" s="622">
        <f>+D259+D260+D261+D262</f>
        <v>297928224</v>
      </c>
      <c r="E263" s="622">
        <f t="shared" si="30"/>
        <v>38487850</v>
      </c>
    </row>
    <row r="264" spans="1:5" x14ac:dyDescent="0.2">
      <c r="A264" s="588">
        <v>7</v>
      </c>
      <c r="B264" s="587" t="s">
        <v>654</v>
      </c>
      <c r="C264" s="622">
        <f>+C258-C263</f>
        <v>126472671</v>
      </c>
      <c r="D264" s="622">
        <f>+D258-D263</f>
        <v>129776391</v>
      </c>
      <c r="E264" s="622">
        <f t="shared" si="30"/>
        <v>3303720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126472671</v>
      </c>
      <c r="D266" s="622">
        <f>+D264+D265</f>
        <v>129776391</v>
      </c>
      <c r="E266" s="641">
        <f t="shared" si="30"/>
        <v>3303720</v>
      </c>
    </row>
    <row r="267" spans="1:5" x14ac:dyDescent="0.2">
      <c r="A267" s="588">
        <v>10</v>
      </c>
      <c r="B267" s="587" t="s">
        <v>837</v>
      </c>
      <c r="C267" s="642">
        <f>IF(C258=0,0,C266/C258)</f>
        <v>0.32772323361082545</v>
      </c>
      <c r="D267" s="642">
        <f>IF(D258=0,0,D266/D258)</f>
        <v>0.30342527634404881</v>
      </c>
      <c r="E267" s="643">
        <f t="shared" si="30"/>
        <v>-2.4297957266776637E-2</v>
      </c>
    </row>
    <row r="268" spans="1:5" x14ac:dyDescent="0.2">
      <c r="A268" s="588">
        <v>11</v>
      </c>
      <c r="B268" s="587" t="s">
        <v>716</v>
      </c>
      <c r="C268" s="622">
        <f>+C260*C267</f>
        <v>3359900.1940633515</v>
      </c>
      <c r="D268" s="644">
        <f>+D260*D267</f>
        <v>3099756.5155229177</v>
      </c>
      <c r="E268" s="622">
        <f t="shared" si="30"/>
        <v>-260143.67854043376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7200249.2616088986</v>
      </c>
      <c r="D269" s="644">
        <f>((D17+D18+D28+D29)*D267)-(D50+D51+D61+D62)</f>
        <v>6840118.4331069551</v>
      </c>
      <c r="E269" s="622">
        <f t="shared" si="30"/>
        <v>-360130.8285019435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10560149.455672249</v>
      </c>
      <c r="D271" s="622">
        <f>+D268+D269+D270</f>
        <v>9939874.9486298729</v>
      </c>
      <c r="E271" s="625">
        <f t="shared" si="30"/>
        <v>-620274.50704237632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0.58718210904956558</v>
      </c>
      <c r="D276" s="623">
        <f t="shared" si="31"/>
        <v>0.48205784484623182</v>
      </c>
      <c r="E276" s="650">
        <f t="shared" ref="E276:E284" si="32">D276-C276</f>
        <v>-0.10512426420333376</v>
      </c>
    </row>
    <row r="277" spans="1:5" x14ac:dyDescent="0.2">
      <c r="A277" s="588">
        <v>2</v>
      </c>
      <c r="B277" s="587" t="s">
        <v>635</v>
      </c>
      <c r="C277" s="623">
        <f t="shared" si="31"/>
        <v>0.39748474588105071</v>
      </c>
      <c r="D277" s="623">
        <f t="shared" si="31"/>
        <v>0.3379377694697997</v>
      </c>
      <c r="E277" s="650">
        <f t="shared" si="32"/>
        <v>-5.9546976411251007E-2</v>
      </c>
    </row>
    <row r="278" spans="1:5" x14ac:dyDescent="0.2">
      <c r="A278" s="588">
        <v>3</v>
      </c>
      <c r="B278" s="587" t="s">
        <v>777</v>
      </c>
      <c r="C278" s="623">
        <f t="shared" si="31"/>
        <v>0.26426305299066194</v>
      </c>
      <c r="D278" s="623">
        <f t="shared" si="31"/>
        <v>0.23684977839261628</v>
      </c>
      <c r="E278" s="650">
        <f t="shared" si="32"/>
        <v>-2.7413274598045656E-2</v>
      </c>
    </row>
    <row r="279" spans="1:5" x14ac:dyDescent="0.2">
      <c r="A279" s="588">
        <v>4</v>
      </c>
      <c r="B279" s="587" t="s">
        <v>115</v>
      </c>
      <c r="C279" s="623">
        <f t="shared" si="31"/>
        <v>0.26426305299066194</v>
      </c>
      <c r="D279" s="623">
        <f t="shared" si="31"/>
        <v>0.23684977839261628</v>
      </c>
      <c r="E279" s="650">
        <f t="shared" si="32"/>
        <v>-2.7413274598045656E-2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0.25090138646247628</v>
      </c>
      <c r="D281" s="623">
        <f t="shared" si="31"/>
        <v>0.33053934158300258</v>
      </c>
      <c r="E281" s="650">
        <f t="shared" si="32"/>
        <v>7.9637955120526294E-2</v>
      </c>
    </row>
    <row r="282" spans="1:5" x14ac:dyDescent="0.2">
      <c r="A282" s="588">
        <v>7</v>
      </c>
      <c r="B282" s="587" t="s">
        <v>758</v>
      </c>
      <c r="C282" s="623">
        <f t="shared" si="31"/>
        <v>7.7007630428477013E-3</v>
      </c>
      <c r="D282" s="623">
        <f t="shared" si="31"/>
        <v>5.1178663876598716E-3</v>
      </c>
      <c r="E282" s="650">
        <f t="shared" si="32"/>
        <v>-2.5828966551878297E-3</v>
      </c>
    </row>
    <row r="283" spans="1:5" ht="29.25" customHeight="1" x14ac:dyDescent="0.2">
      <c r="A283" s="588"/>
      <c r="B283" s="592" t="s">
        <v>844</v>
      </c>
      <c r="C283" s="651">
        <f t="shared" si="31"/>
        <v>0.36639670903748273</v>
      </c>
      <c r="D283" s="651">
        <f t="shared" si="31"/>
        <v>0.31348487198540753</v>
      </c>
      <c r="E283" s="652">
        <f t="shared" si="32"/>
        <v>-5.2911837052075195E-2</v>
      </c>
    </row>
    <row r="284" spans="1:5" x14ac:dyDescent="0.2">
      <c r="A284" s="588"/>
      <c r="B284" s="592" t="s">
        <v>845</v>
      </c>
      <c r="C284" s="651">
        <f t="shared" si="31"/>
        <v>0.42754043696144989</v>
      </c>
      <c r="D284" s="651">
        <f t="shared" si="31"/>
        <v>0.35957454053049831</v>
      </c>
      <c r="E284" s="652">
        <f t="shared" si="32"/>
        <v>-6.7965896430951578E-2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0.34086453076349199</v>
      </c>
      <c r="D287" s="623">
        <f t="shared" si="33"/>
        <v>0.36939532516170281</v>
      </c>
      <c r="E287" s="650">
        <f t="shared" ref="E287:E295" si="34">D287-C287</f>
        <v>2.8530794398210824E-2</v>
      </c>
    </row>
    <row r="288" spans="1:5" x14ac:dyDescent="0.2">
      <c r="A288" s="588">
        <v>2</v>
      </c>
      <c r="B288" s="587" t="s">
        <v>635</v>
      </c>
      <c r="C288" s="623">
        <f t="shared" si="33"/>
        <v>0.19493580147546855</v>
      </c>
      <c r="D288" s="623">
        <f t="shared" si="33"/>
        <v>0.16733181011442902</v>
      </c>
      <c r="E288" s="650">
        <f t="shared" si="34"/>
        <v>-2.7603991361039526E-2</v>
      </c>
    </row>
    <row r="289" spans="1:5" x14ac:dyDescent="0.2">
      <c r="A289" s="588">
        <v>3</v>
      </c>
      <c r="B289" s="587" t="s">
        <v>777</v>
      </c>
      <c r="C289" s="623">
        <f t="shared" si="33"/>
        <v>0.20922065344383664</v>
      </c>
      <c r="D289" s="623">
        <f t="shared" si="33"/>
        <v>0.21087544667391578</v>
      </c>
      <c r="E289" s="650">
        <f t="shared" si="34"/>
        <v>1.6547932300791379E-3</v>
      </c>
    </row>
    <row r="290" spans="1:5" x14ac:dyDescent="0.2">
      <c r="A290" s="588">
        <v>4</v>
      </c>
      <c r="B290" s="587" t="s">
        <v>115</v>
      </c>
      <c r="C290" s="623">
        <f t="shared" si="33"/>
        <v>0.20922065344383664</v>
      </c>
      <c r="D290" s="623">
        <f t="shared" si="33"/>
        <v>0.21087544667391578</v>
      </c>
      <c r="E290" s="650">
        <f t="shared" si="34"/>
        <v>1.6547932300791379E-3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0.2821354510540558</v>
      </c>
      <c r="D292" s="623">
        <f t="shared" si="33"/>
        <v>0.30600475977986019</v>
      </c>
      <c r="E292" s="650">
        <f t="shared" si="34"/>
        <v>2.3869308725804395E-2</v>
      </c>
    </row>
    <row r="293" spans="1:5" x14ac:dyDescent="0.2">
      <c r="A293" s="588">
        <v>7</v>
      </c>
      <c r="B293" s="587" t="s">
        <v>758</v>
      </c>
      <c r="C293" s="623">
        <f t="shared" si="33"/>
        <v>6.4850603765578448E-3</v>
      </c>
      <c r="D293" s="623">
        <f t="shared" si="33"/>
        <v>1.1282617837382979E-2</v>
      </c>
      <c r="E293" s="650">
        <f t="shared" si="34"/>
        <v>4.7975574608251342E-3</v>
      </c>
    </row>
    <row r="294" spans="1:5" ht="29.25" customHeight="1" x14ac:dyDescent="0.2">
      <c r="A294" s="588"/>
      <c r="B294" s="592" t="s">
        <v>847</v>
      </c>
      <c r="C294" s="651">
        <f t="shared" si="33"/>
        <v>0.20014473053510826</v>
      </c>
      <c r="D294" s="651">
        <f t="shared" si="33"/>
        <v>0.18236265260823892</v>
      </c>
      <c r="E294" s="652">
        <f t="shared" si="34"/>
        <v>-1.7782077926869339E-2</v>
      </c>
    </row>
    <row r="295" spans="1:5" x14ac:dyDescent="0.2">
      <c r="A295" s="588"/>
      <c r="B295" s="592" t="s">
        <v>848</v>
      </c>
      <c r="C295" s="651">
        <f t="shared" si="33"/>
        <v>0.25945999356581845</v>
      </c>
      <c r="D295" s="651">
        <f t="shared" si="33"/>
        <v>0.2561552119725144</v>
      </c>
      <c r="E295" s="652">
        <f t="shared" si="34"/>
        <v>-3.3047815933040514E-3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124110337</v>
      </c>
      <c r="D301" s="590">
        <f>+D48+D47+D50+D51+D52+D59+D58+D61+D62+D63</f>
        <v>126255012</v>
      </c>
      <c r="E301" s="590">
        <f>D301-C301</f>
        <v>2144675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124110337</v>
      </c>
      <c r="D303" s="593">
        <f>+D301+D302</f>
        <v>126255012</v>
      </c>
      <c r="E303" s="593">
        <f>D303-C303</f>
        <v>2144675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6250607</v>
      </c>
      <c r="D305" s="654">
        <v>553490</v>
      </c>
      <c r="E305" s="655">
        <f>D305-C305</f>
        <v>-5697117</v>
      </c>
    </row>
    <row r="306" spans="1:5" x14ac:dyDescent="0.2">
      <c r="A306" s="588">
        <v>4</v>
      </c>
      <c r="B306" s="592" t="s">
        <v>855</v>
      </c>
      <c r="C306" s="593">
        <f>+C303+C305+C194+C190-C191</f>
        <v>139039802</v>
      </c>
      <c r="D306" s="593">
        <f>+D303+D305</f>
        <v>126808502</v>
      </c>
      <c r="E306" s="656">
        <f>D306-C306</f>
        <v>-12231300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130360493</v>
      </c>
      <c r="D308" s="589">
        <v>126808091</v>
      </c>
      <c r="E308" s="590">
        <f>D308-C308</f>
        <v>-3552402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8679309</v>
      </c>
      <c r="D310" s="658">
        <f>D306-D308</f>
        <v>411</v>
      </c>
      <c r="E310" s="656">
        <f>D310-C310</f>
        <v>-8678898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385913045</v>
      </c>
      <c r="D314" s="590">
        <f>+D14+D15+D16+D19+D25+D26+D27+D30</f>
        <v>427704615</v>
      </c>
      <c r="E314" s="590">
        <f>D314-C314</f>
        <v>41791570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385913045</v>
      </c>
      <c r="D316" s="657">
        <f>D314+D315</f>
        <v>427704615</v>
      </c>
      <c r="E316" s="593">
        <f>D316-C316</f>
        <v>41791570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385913045</v>
      </c>
      <c r="D318" s="589">
        <v>427704210</v>
      </c>
      <c r="E318" s="590">
        <f>D318-C318</f>
        <v>41791165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405</v>
      </c>
      <c r="E320" s="593">
        <f>D320-C320</f>
        <v>405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10252249</v>
      </c>
      <c r="D324" s="589">
        <f>+D193+D194</f>
        <v>10215881</v>
      </c>
      <c r="E324" s="590">
        <f>D324-C324</f>
        <v>-36368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10252249</v>
      </c>
      <c r="D326" s="657">
        <f>D324+D325</f>
        <v>10215881</v>
      </c>
      <c r="E326" s="593">
        <f>D326-C326</f>
        <v>-36368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10252249</v>
      </c>
      <c r="D328" s="589">
        <v>10215881</v>
      </c>
      <c r="E328" s="590">
        <f>D328-C328</f>
        <v>-36368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44140043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88728635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28359389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28359389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214150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2026235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117302174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161442217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105052147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107030797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53507154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53507154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672300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6665563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161210251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266262398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149192190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278512425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427704615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21278054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29984757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6716915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6716915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70785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10370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36772457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58050511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38805772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17909657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11283345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11283345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205727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75205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29398729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68204501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60083826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66171186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126255012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2202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3584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1646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1646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132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5246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7448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1.024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1.2511000000000001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0.94910000000000005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0.94910000000000005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0.74550000000000005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1.0887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1.154801563095692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1.1161301020408163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135913793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64368275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71545518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0.52640365941372858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5275587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3825586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5306456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4909425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10215881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4242269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129703674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126255012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126255012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553490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126808502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126808091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411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427704615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427704615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427704210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405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10215881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10215881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10215881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3402</v>
      </c>
      <c r="D12" s="185">
        <v>6916</v>
      </c>
      <c r="E12" s="185">
        <f>+D12-C12</f>
        <v>3514</v>
      </c>
      <c r="F12" s="77">
        <f>IF(C12=0,0,+E12/C12)</f>
        <v>1.0329218106995885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3402</v>
      </c>
      <c r="D13" s="185">
        <v>6916</v>
      </c>
      <c r="E13" s="185">
        <f>+D13-C13</f>
        <v>3514</v>
      </c>
      <c r="F13" s="77">
        <f>IF(C13=0,0,+E13/C13)</f>
        <v>1.0329218106995885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3781958</v>
      </c>
      <c r="D15" s="76">
        <v>5306456</v>
      </c>
      <c r="E15" s="76">
        <f>+D15-C15</f>
        <v>1524498</v>
      </c>
      <c r="F15" s="77">
        <f>IF(C15=0,0,+E15/C15)</f>
        <v>0.40309754894158001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1111.6866549088772</v>
      </c>
      <c r="D16" s="79">
        <f>IF(D13=0,0,+D15/+D13)</f>
        <v>767.2724117987276</v>
      </c>
      <c r="E16" s="79">
        <f>+D16-C16</f>
        <v>-344.41424311014964</v>
      </c>
      <c r="F16" s="80">
        <f>IF(C16=0,0,+E16/C16)</f>
        <v>-0.30981233928582202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0.37561099999999997</v>
      </c>
      <c r="D18" s="704">
        <v>0.34387800000000002</v>
      </c>
      <c r="E18" s="704">
        <f>+D18-C18</f>
        <v>-3.1732999999999956E-2</v>
      </c>
      <c r="F18" s="77">
        <f>IF(C18=0,0,+E18/C18)</f>
        <v>-8.4483681255341184E-2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1420545.0263379999</v>
      </c>
      <c r="D19" s="79">
        <f>+D15*D18</f>
        <v>1824773.476368</v>
      </c>
      <c r="E19" s="79">
        <f>+D19-C19</f>
        <v>404228.45003000018</v>
      </c>
      <c r="F19" s="80">
        <f>IF(C19=0,0,+E19/C19)</f>
        <v>0.28455870284664908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417.5617361369782</v>
      </c>
      <c r="D20" s="79">
        <f>IF(D13=0,0,+D19/D13)</f>
        <v>263.84810242452284</v>
      </c>
      <c r="E20" s="79">
        <f>+D20-C20</f>
        <v>-153.71363371245536</v>
      </c>
      <c r="F20" s="80">
        <f>IF(C20=0,0,+E20/C20)</f>
        <v>-0.3681219336199682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879504</v>
      </c>
      <c r="D22" s="76">
        <v>1177843</v>
      </c>
      <c r="E22" s="76">
        <f>+D22-C22</f>
        <v>298339</v>
      </c>
      <c r="F22" s="77">
        <f>IF(C22=0,0,+E22/C22)</f>
        <v>0.33921278356892065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2080472</v>
      </c>
      <c r="D23" s="185">
        <v>1108562</v>
      </c>
      <c r="E23" s="185">
        <f>+D23-C23</f>
        <v>-971910</v>
      </c>
      <c r="F23" s="77">
        <f>IF(C23=0,0,+E23/C23)</f>
        <v>-0.46715841405219583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821982</v>
      </c>
      <c r="D24" s="185">
        <v>3020051</v>
      </c>
      <c r="E24" s="185">
        <f>+D24-C24</f>
        <v>2198069</v>
      </c>
      <c r="F24" s="77">
        <f>IF(C24=0,0,+E24/C24)</f>
        <v>2.6741084354645235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3781958</v>
      </c>
      <c r="D25" s="79">
        <f>+D22+D23+D24</f>
        <v>5306456</v>
      </c>
      <c r="E25" s="79">
        <f>+E22+E23+E24</f>
        <v>1524498</v>
      </c>
      <c r="F25" s="80">
        <f>IF(C25=0,0,+E25/C25)</f>
        <v>0.40309754894158001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206</v>
      </c>
      <c r="D27" s="185">
        <v>223</v>
      </c>
      <c r="E27" s="185">
        <f>+D27-C27</f>
        <v>17</v>
      </c>
      <c r="F27" s="77">
        <f>IF(C27=0,0,+E27/C27)</f>
        <v>8.2524271844660199E-2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64</v>
      </c>
      <c r="D28" s="185">
        <v>74</v>
      </c>
      <c r="E28" s="185">
        <f>+D28-C28</f>
        <v>10</v>
      </c>
      <c r="F28" s="77">
        <f>IF(C28=0,0,+E28/C28)</f>
        <v>0.15625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2044</v>
      </c>
      <c r="D29" s="185">
        <v>3805</v>
      </c>
      <c r="E29" s="185">
        <f>+D29-C29</f>
        <v>1761</v>
      </c>
      <c r="F29" s="77">
        <f>IF(C29=0,0,+E29/C29)</f>
        <v>0.86154598825831707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1173</v>
      </c>
      <c r="D30" s="185">
        <v>2643</v>
      </c>
      <c r="E30" s="185">
        <f>+D30-C30</f>
        <v>1470</v>
      </c>
      <c r="F30" s="77">
        <f>IF(C30=0,0,+E30/C30)</f>
        <v>1.2531969309462916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1972481</v>
      </c>
      <c r="D33" s="76">
        <v>1496638</v>
      </c>
      <c r="E33" s="76">
        <f>+D33-C33</f>
        <v>-475843</v>
      </c>
      <c r="F33" s="77">
        <f>IF(C33=0,0,+E33/C33)</f>
        <v>-0.24124085352406435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4268954</v>
      </c>
      <c r="D34" s="185">
        <v>3239239</v>
      </c>
      <c r="E34" s="185">
        <f>+D34-C34</f>
        <v>-1029715</v>
      </c>
      <c r="F34" s="77">
        <f>IF(C34=0,0,+E34/C34)</f>
        <v>-0.24121014187550394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228856</v>
      </c>
      <c r="D35" s="185">
        <v>173548</v>
      </c>
      <c r="E35" s="185">
        <f>+D35-C35</f>
        <v>-55308</v>
      </c>
      <c r="F35" s="77">
        <f>IF(C35=0,0,+E35/C35)</f>
        <v>-0.24167161883455099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6470291</v>
      </c>
      <c r="D36" s="79">
        <f>+D33+D34+D35</f>
        <v>4909425</v>
      </c>
      <c r="E36" s="79">
        <f>+E33+E34+E35</f>
        <v>-1560866</v>
      </c>
      <c r="F36" s="80">
        <f>IF(C36=0,0,+E36/C36)</f>
        <v>-0.2412358269512144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3781958</v>
      </c>
      <c r="D39" s="76">
        <f>+D25</f>
        <v>5306456</v>
      </c>
      <c r="E39" s="76">
        <f>+D39-C39</f>
        <v>1524498</v>
      </c>
      <c r="F39" s="77">
        <f>IF(C39=0,0,+E39/C39)</f>
        <v>0.40309754894158001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6470291</v>
      </c>
      <c r="D40" s="185">
        <f>+D36</f>
        <v>4909425</v>
      </c>
      <c r="E40" s="185">
        <f>+D40-C40</f>
        <v>-1560866</v>
      </c>
      <c r="F40" s="77">
        <f>IF(C40=0,0,+E40/C40)</f>
        <v>-0.2412358269512144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10252249</v>
      </c>
      <c r="D41" s="79">
        <f>+D39+D40</f>
        <v>10215881</v>
      </c>
      <c r="E41" s="79">
        <f>+E39+E40</f>
        <v>-36368</v>
      </c>
      <c r="F41" s="80">
        <f>IF(C41=0,0,+E41/C41)</f>
        <v>-3.5473192272251677E-3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2851985</v>
      </c>
      <c r="D43" s="76">
        <f t="shared" si="0"/>
        <v>2674481</v>
      </c>
      <c r="E43" s="76">
        <f>+D43-C43</f>
        <v>-177504</v>
      </c>
      <c r="F43" s="77">
        <f>IF(C43=0,0,+E43/C43)</f>
        <v>-6.2238756515199063E-2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6349426</v>
      </c>
      <c r="D44" s="185">
        <f t="shared" si="0"/>
        <v>4347801</v>
      </c>
      <c r="E44" s="185">
        <f>+D44-C44</f>
        <v>-2001625</v>
      </c>
      <c r="F44" s="77">
        <f>IF(C44=0,0,+E44/C44)</f>
        <v>-0.31524503159813189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1050838</v>
      </c>
      <c r="D45" s="185">
        <f t="shared" si="0"/>
        <v>3193599</v>
      </c>
      <c r="E45" s="185">
        <f>+D45-C45</f>
        <v>2142761</v>
      </c>
      <c r="F45" s="77">
        <f>IF(C45=0,0,+E45/C45)</f>
        <v>2.0390973680053444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10252249</v>
      </c>
      <c r="D46" s="79">
        <f>+D43+D44+D45</f>
        <v>10215881</v>
      </c>
      <c r="E46" s="79">
        <f>+E43+E44+E45</f>
        <v>-36368</v>
      </c>
      <c r="F46" s="80">
        <f>IF(C46=0,0,+E46/C46)</f>
        <v>-3.5473192272251677E-3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128985172</v>
      </c>
      <c r="D15" s="76">
        <v>135913793</v>
      </c>
      <c r="E15" s="76">
        <f>+D15-C15</f>
        <v>6928621</v>
      </c>
      <c r="F15" s="77">
        <f>IF(C15=0,0,E15/C15)</f>
        <v>5.3716414782933347E-2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67201429</v>
      </c>
      <c r="D17" s="76">
        <v>71545518</v>
      </c>
      <c r="E17" s="76">
        <f>+D17-C17</f>
        <v>4344089</v>
      </c>
      <c r="F17" s="77">
        <f>IF(C17=0,0,E17/C17)</f>
        <v>6.4642806926025337E-2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61783743</v>
      </c>
      <c r="D19" s="79">
        <f>+D15-D17</f>
        <v>64368275</v>
      </c>
      <c r="E19" s="79">
        <f>+D19-C19</f>
        <v>2584532</v>
      </c>
      <c r="F19" s="80">
        <f>IF(C19=0,0,E19/C19)</f>
        <v>4.1831910378107066E-2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0.52100119694378511</v>
      </c>
      <c r="D21" s="720">
        <f>IF(D15=0,0,D17/D15)</f>
        <v>0.52640365941372858</v>
      </c>
      <c r="E21" s="720">
        <f>+D21-C21</f>
        <v>5.4024624699434698E-3</v>
      </c>
      <c r="F21" s="80">
        <f>IF(C21=0,0,E21/C21)</f>
        <v>1.036938590858244E-2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131648635</v>
      </c>
      <c r="D10" s="744">
        <v>142677758</v>
      </c>
      <c r="E10" s="744">
        <v>161442217</v>
      </c>
    </row>
    <row r="11" spans="1:6" ht="26.1" customHeight="1" x14ac:dyDescent="0.25">
      <c r="A11" s="742">
        <v>2</v>
      </c>
      <c r="B11" s="743" t="s">
        <v>932</v>
      </c>
      <c r="C11" s="744">
        <v>213396856</v>
      </c>
      <c r="D11" s="744">
        <v>243235287</v>
      </c>
      <c r="E11" s="744">
        <v>266262398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345045491</v>
      </c>
      <c r="D12" s="744">
        <f>+D11+D10</f>
        <v>385913045</v>
      </c>
      <c r="E12" s="744">
        <f>+E11+E10</f>
        <v>427704615</v>
      </c>
    </row>
    <row r="13" spans="1:6" ht="26.1" customHeight="1" x14ac:dyDescent="0.25">
      <c r="A13" s="742">
        <v>4</v>
      </c>
      <c r="B13" s="743" t="s">
        <v>507</v>
      </c>
      <c r="C13" s="744">
        <v>125941019</v>
      </c>
      <c r="D13" s="744">
        <v>130360493</v>
      </c>
      <c r="E13" s="744">
        <v>126808091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131894527</v>
      </c>
      <c r="D16" s="744">
        <v>134486303</v>
      </c>
      <c r="E16" s="744">
        <v>129703674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28670</v>
      </c>
      <c r="D19" s="747">
        <v>29383</v>
      </c>
      <c r="E19" s="747">
        <v>29710</v>
      </c>
    </row>
    <row r="20" spans="1:5" ht="26.1" customHeight="1" x14ac:dyDescent="0.25">
      <c r="A20" s="742">
        <v>2</v>
      </c>
      <c r="B20" s="743" t="s">
        <v>381</v>
      </c>
      <c r="C20" s="748">
        <v>7316</v>
      </c>
      <c r="D20" s="748">
        <v>7565</v>
      </c>
      <c r="E20" s="748">
        <v>7448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3.9188080918534718</v>
      </c>
      <c r="D21" s="749">
        <f>IF(D20=0,0,+D19/D20)</f>
        <v>3.8840713813615335</v>
      </c>
      <c r="E21" s="749">
        <f>IF(E20=0,0,+E19/E20)</f>
        <v>3.9889903329752956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75142.854515506377</v>
      </c>
      <c r="D22" s="748">
        <f>IF(D10=0,0,D19*(D12/D10))</f>
        <v>79474.777009286903</v>
      </c>
      <c r="E22" s="748">
        <f>IF(E10=0,0,E19*(E12/E10))</f>
        <v>78709.920786395058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19174.925833116311</v>
      </c>
      <c r="D23" s="748">
        <f>IF(D10=0,0,D20*(D12/D10))</f>
        <v>20461.718955697357</v>
      </c>
      <c r="E23" s="748">
        <f>IF(E10=0,0,E20*(E12/E10))</f>
        <v>19731.790306868745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1.1123844723892837</v>
      </c>
      <c r="D26" s="750">
        <v>1.1171512227362854</v>
      </c>
      <c r="E26" s="750">
        <v>1.1161301020408163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31892.062823400764</v>
      </c>
      <c r="D27" s="748">
        <f>D19*D26</f>
        <v>32825.254377660276</v>
      </c>
      <c r="E27" s="748">
        <f>E19*E26</f>
        <v>33160.225331632653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8138.2047999999995</v>
      </c>
      <c r="D28" s="748">
        <f>D20*D26</f>
        <v>8451.2489999999998</v>
      </c>
      <c r="E28" s="748">
        <f>E20*E26</f>
        <v>8312.9369999999999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83587.744574056269</v>
      </c>
      <c r="D29" s="748">
        <f>D22*D26</f>
        <v>88785.344312618487</v>
      </c>
      <c r="E29" s="748">
        <f>E22*E26</f>
        <v>87850.511918943681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21329.889755974735</v>
      </c>
      <c r="D30" s="748">
        <f>D23*D26</f>
        <v>22858.83435064353</v>
      </c>
      <c r="E30" s="748">
        <f>E23*E26</f>
        <v>22023.245128653401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12035.071189396582</v>
      </c>
      <c r="D33" s="744">
        <f>IF(D19=0,0,D12/D19)</f>
        <v>13133.888472926523</v>
      </c>
      <c r="E33" s="744">
        <f>IF(E19=0,0,E12/E19)</f>
        <v>14395.981656008078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47163.134363039913</v>
      </c>
      <c r="D34" s="744">
        <f>IF(D20=0,0,D12/D20)</f>
        <v>51012.960343688035</v>
      </c>
      <c r="E34" s="744">
        <f>IF(E20=0,0,E12/E20)</f>
        <v>57425.431659505906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4591.8603069410528</v>
      </c>
      <c r="D35" s="744">
        <f>IF(D22=0,0,D12/D22)</f>
        <v>4855.7927372970762</v>
      </c>
      <c r="E35" s="744">
        <f>IF(E22=0,0,E12/E22)</f>
        <v>5433.9352743184108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17994.619327501365</v>
      </c>
      <c r="D36" s="744">
        <f>IF(D23=0,0,D12/D23)</f>
        <v>18860.245604758755</v>
      </c>
      <c r="E36" s="744">
        <f>IF(E23=0,0,E12/E23)</f>
        <v>21675.9152792696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4127.9435491204085</v>
      </c>
      <c r="D37" s="744">
        <f>IF(D29=0,0,D12/D29)</f>
        <v>4346.5849908874279</v>
      </c>
      <c r="E37" s="744">
        <f>IF(E29=0,0,E12/E29)</f>
        <v>4868.5500591576147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16176.618583007397</v>
      </c>
      <c r="D38" s="744">
        <f>IF(D30=0,0,D12/D30)</f>
        <v>16882.446369761441</v>
      </c>
      <c r="E38" s="744">
        <f>IF(E30=0,0,E12/E30)</f>
        <v>19420.599121586027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1751.9780935768572</v>
      </c>
      <c r="D39" s="744">
        <f>IF(D22=0,0,D10/D22)</f>
        <v>1795.2583620753992</v>
      </c>
      <c r="E39" s="744">
        <f>IF(E22=0,0,E10/E22)</f>
        <v>2051.1037920890035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6865.6659298590075</v>
      </c>
      <c r="D40" s="744">
        <f>IF(D23=0,0,D10/D23)</f>
        <v>6972.9116262870393</v>
      </c>
      <c r="E40" s="744">
        <f>IF(E23=0,0,E10/E23)</f>
        <v>8181.833198572006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4392.7805720265087</v>
      </c>
      <c r="D43" s="744">
        <f>IF(D19=0,0,D13/D19)</f>
        <v>4436.5957526460879</v>
      </c>
      <c r="E43" s="744">
        <f>IF(E19=0,0,E13/E19)</f>
        <v>4268.1955907101983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17214.464051394203</v>
      </c>
      <c r="D44" s="744">
        <f>IF(D20=0,0,D13/D20)</f>
        <v>17232.054593522804</v>
      </c>
      <c r="E44" s="744">
        <f>IF(E20=0,0,E13/E20)</f>
        <v>17025.790950590763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1676.0212240008927</v>
      </c>
      <c r="D45" s="744">
        <f>IF(D22=0,0,D13/D22)</f>
        <v>1640.2750395231299</v>
      </c>
      <c r="E45" s="744">
        <f>IF(E22=0,0,E13/E22)</f>
        <v>1611.0814206526131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6568.0055347328589</v>
      </c>
      <c r="D46" s="744">
        <f>IF(D23=0,0,D13/D23)</f>
        <v>6370.945338573446</v>
      </c>
      <c r="E46" s="744">
        <f>IF(E23=0,0,E13/E23)</f>
        <v>6426.5882126193792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1506.6923942231745</v>
      </c>
      <c r="D47" s="744">
        <f>IF(D29=0,0,D13/D29)</f>
        <v>1468.2658946615438</v>
      </c>
      <c r="E47" s="744">
        <f>IF(E29=0,0,E13/E29)</f>
        <v>1443.4530685148538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5904.4383464158573</v>
      </c>
      <c r="D48" s="744">
        <f>IF(D30=0,0,D13/D30)</f>
        <v>5702.8495416840906</v>
      </c>
      <c r="E48" s="744">
        <f>IF(E30=0,0,E13/E30)</f>
        <v>5757.9203364092782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4600.4369375653996</v>
      </c>
      <c r="D51" s="744">
        <f>IF(D19=0,0,D16/D19)</f>
        <v>4577.0106183847802</v>
      </c>
      <c r="E51" s="744">
        <f>IF(E19=0,0,E16/E19)</f>
        <v>4365.6571524739147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18028.229496992892</v>
      </c>
      <c r="D52" s="744">
        <f>IF(D20=0,0,D16/D20)</f>
        <v>17777.435955056178</v>
      </c>
      <c r="E52" s="744">
        <f>IF(E20=0,0,E16/E20)</f>
        <v>17414.564178302899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1755.250420687471</v>
      </c>
      <c r="D53" s="744">
        <f>IF(D22=0,0,D16/D22)</f>
        <v>1692.1884912528262</v>
      </c>
      <c r="E53" s="744">
        <f>IF(E22=0,0,E16/E22)</f>
        <v>1647.869451577687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6878.4895518192725</v>
      </c>
      <c r="D54" s="744">
        <f>IF(D23=0,0,D16/D23)</f>
        <v>6572.5808907444534</v>
      </c>
      <c r="E54" s="744">
        <f>IF(E23=0,0,E16/E23)</f>
        <v>6573.3353123486941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1577.9170459988347</v>
      </c>
      <c r="D55" s="744">
        <f>IF(D29=0,0,D16/D29)</f>
        <v>1514.7353883819576</v>
      </c>
      <c r="E55" s="744">
        <f>IF(E29=0,0,E16/E29)</f>
        <v>1476.4134114514054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6183.5540881337611</v>
      </c>
      <c r="D56" s="744">
        <f>IF(D30=0,0,D16/D30)</f>
        <v>5883.3403723499086</v>
      </c>
      <c r="E56" s="744">
        <f>IF(E30=0,0,E16/E30)</f>
        <v>5889.3988257547335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20534294</v>
      </c>
      <c r="D59" s="752">
        <v>20544785</v>
      </c>
      <c r="E59" s="752">
        <v>21078367</v>
      </c>
    </row>
    <row r="60" spans="1:6" ht="26.1" customHeight="1" x14ac:dyDescent="0.25">
      <c r="A60" s="742">
        <v>2</v>
      </c>
      <c r="B60" s="743" t="s">
        <v>968</v>
      </c>
      <c r="C60" s="752">
        <v>6098801</v>
      </c>
      <c r="D60" s="752">
        <v>5639912</v>
      </c>
      <c r="E60" s="752">
        <v>5707940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26633095</v>
      </c>
      <c r="D61" s="755">
        <f>D59+D60</f>
        <v>26184697</v>
      </c>
      <c r="E61" s="755">
        <f>E59+E60</f>
        <v>26786307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427269</v>
      </c>
      <c r="D64" s="744">
        <v>320735</v>
      </c>
      <c r="E64" s="752">
        <v>348650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126901</v>
      </c>
      <c r="D65" s="752">
        <v>88048</v>
      </c>
      <c r="E65" s="752">
        <v>94413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554170</v>
      </c>
      <c r="D66" s="757">
        <f>D64+D65</f>
        <v>408783</v>
      </c>
      <c r="E66" s="757">
        <f>E64+E65</f>
        <v>443063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32130283</v>
      </c>
      <c r="D69" s="752">
        <v>34060540</v>
      </c>
      <c r="E69" s="752">
        <v>33298451</v>
      </c>
    </row>
    <row r="70" spans="1:6" ht="26.1" customHeight="1" x14ac:dyDescent="0.25">
      <c r="A70" s="742">
        <v>2</v>
      </c>
      <c r="B70" s="743" t="s">
        <v>976</v>
      </c>
      <c r="C70" s="752">
        <v>9542875</v>
      </c>
      <c r="D70" s="752">
        <v>9350229</v>
      </c>
      <c r="E70" s="752">
        <v>9017091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41673158</v>
      </c>
      <c r="D71" s="755">
        <f>D69+D70</f>
        <v>43410769</v>
      </c>
      <c r="E71" s="755">
        <f>E69+E70</f>
        <v>42315542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53091846</v>
      </c>
      <c r="D75" s="744">
        <f t="shared" si="0"/>
        <v>54926060</v>
      </c>
      <c r="E75" s="744">
        <f t="shared" si="0"/>
        <v>54725468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15768577</v>
      </c>
      <c r="D76" s="744">
        <f t="shared" si="0"/>
        <v>15078189</v>
      </c>
      <c r="E76" s="744">
        <f t="shared" si="0"/>
        <v>14819444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68860423</v>
      </c>
      <c r="D77" s="757">
        <f>D75+D76</f>
        <v>70004249</v>
      </c>
      <c r="E77" s="757">
        <f>E75+E76</f>
        <v>69544912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278.2</v>
      </c>
      <c r="D80" s="749">
        <v>281.39999999999998</v>
      </c>
      <c r="E80" s="749">
        <v>226</v>
      </c>
    </row>
    <row r="81" spans="1:5" ht="26.1" customHeight="1" x14ac:dyDescent="0.25">
      <c r="A81" s="742">
        <v>2</v>
      </c>
      <c r="B81" s="743" t="s">
        <v>617</v>
      </c>
      <c r="C81" s="749">
        <v>1.9</v>
      </c>
      <c r="D81" s="749">
        <v>1.4</v>
      </c>
      <c r="E81" s="749">
        <v>1.6</v>
      </c>
    </row>
    <row r="82" spans="1:5" ht="26.1" customHeight="1" x14ac:dyDescent="0.25">
      <c r="A82" s="742">
        <v>3</v>
      </c>
      <c r="B82" s="743" t="s">
        <v>982</v>
      </c>
      <c r="C82" s="749">
        <v>580.70000000000005</v>
      </c>
      <c r="D82" s="749">
        <v>580.9</v>
      </c>
      <c r="E82" s="749">
        <v>627.4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860.8</v>
      </c>
      <c r="D83" s="759">
        <f>D80+D81+D82</f>
        <v>863.69999999999993</v>
      </c>
      <c r="E83" s="759">
        <f>E80+E81+E82</f>
        <v>855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73811.265276779304</v>
      </c>
      <c r="D86" s="752">
        <f>IF(D80=0,0,D59/D80)</f>
        <v>73009.186211798151</v>
      </c>
      <c r="E86" s="752">
        <f>IF(E80=0,0,E59/E80)</f>
        <v>93267.110619469022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21922.361610352265</v>
      </c>
      <c r="D87" s="752">
        <f>IF(D80=0,0,D60/D80)</f>
        <v>20042.331201137175</v>
      </c>
      <c r="E87" s="752">
        <f>IF(E80=0,0,E60/E80)</f>
        <v>25256.371681415931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95733.62688713157</v>
      </c>
      <c r="D88" s="755">
        <f>+D86+D87</f>
        <v>93051.517412935325</v>
      </c>
      <c r="E88" s="755">
        <f>+E86+E87</f>
        <v>118523.48230088495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224878.4210526316</v>
      </c>
      <c r="D91" s="744">
        <f>IF(D81=0,0,D64/D81)</f>
        <v>229096.42857142858</v>
      </c>
      <c r="E91" s="744">
        <f>IF(E81=0,0,E64/E81)</f>
        <v>217906.25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66790</v>
      </c>
      <c r="D92" s="744">
        <f>IF(D81=0,0,D65/D81)</f>
        <v>62891.428571428572</v>
      </c>
      <c r="E92" s="744">
        <f>IF(E81=0,0,E65/E81)</f>
        <v>59008.125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291668.42105263157</v>
      </c>
      <c r="D93" s="757">
        <f>+D91+D92</f>
        <v>291987.85714285716</v>
      </c>
      <c r="E93" s="757">
        <f>+E91+E92</f>
        <v>276914.375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55330.261753056649</v>
      </c>
      <c r="D96" s="752">
        <f>IF(D82=0,0,D69/D82)</f>
        <v>58634.085040454469</v>
      </c>
      <c r="E96" s="752">
        <f>IF(E82=0,0,E69/E82)</f>
        <v>53073.718520879826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16433.399345617356</v>
      </c>
      <c r="D97" s="752">
        <f>IF(D82=0,0,D70/D82)</f>
        <v>16096.107763814771</v>
      </c>
      <c r="E97" s="752">
        <f>IF(E82=0,0,E70/E82)</f>
        <v>14372.156518967167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71763.661098673998</v>
      </c>
      <c r="D98" s="757">
        <f>+D96+D97</f>
        <v>74730.192804269245</v>
      </c>
      <c r="E98" s="757">
        <f>+E96+E97</f>
        <v>67445.875039846986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61677.330390334573</v>
      </c>
      <c r="D101" s="744">
        <f>IF(D83=0,0,D75/D83)</f>
        <v>63593.90992242677</v>
      </c>
      <c r="E101" s="744">
        <f>IF(E83=0,0,E75/E83)</f>
        <v>64006.395321637428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18318.514172862455</v>
      </c>
      <c r="D102" s="761">
        <f>IF(D83=0,0,D76/D83)</f>
        <v>17457.669329628345</v>
      </c>
      <c r="E102" s="761">
        <f>IF(E83=0,0,E76/E83)</f>
        <v>17332.683040935673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79995.844563197024</v>
      </c>
      <c r="D103" s="757">
        <f>+D101+D102</f>
        <v>81051.579252055119</v>
      </c>
      <c r="E103" s="757">
        <f>+E101+E102</f>
        <v>81339.078362573098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2401.8284966864317</v>
      </c>
      <c r="D108" s="744">
        <f>IF(D19=0,0,D77/D19)</f>
        <v>2382.4745260865125</v>
      </c>
      <c r="E108" s="744">
        <f>IF(E19=0,0,E77/E19)</f>
        <v>2340.791383372602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9412.3049480590489</v>
      </c>
      <c r="D109" s="744">
        <f>IF(D20=0,0,D77/D20)</f>
        <v>9253.7011235955051</v>
      </c>
      <c r="E109" s="744">
        <f>IF(E20=0,0,E77/E20)</f>
        <v>9337.394199785178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916.39349401865024</v>
      </c>
      <c r="D110" s="744">
        <f>IF(D22=0,0,D77/D22)</f>
        <v>880.83605433482069</v>
      </c>
      <c r="E110" s="744">
        <f>IF(E22=0,0,E77/E22)</f>
        <v>883.55967462770946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3591.1702396821629</v>
      </c>
      <c r="D111" s="744">
        <f>IF(D23=0,0,D77/D23)</f>
        <v>3421.2301103132895</v>
      </c>
      <c r="E111" s="744">
        <f>IF(E23=0,0,E77/E23)</f>
        <v>3524.5110006967302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823.81003759458667</v>
      </c>
      <c r="D112" s="744">
        <f>IF(D29=0,0,D77/D29)</f>
        <v>788.46626706217262</v>
      </c>
      <c r="E112" s="744">
        <f>IF(E29=0,0,E77/E29)</f>
        <v>791.62785145937949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3228.3534414757792</v>
      </c>
      <c r="D113" s="744">
        <f>IF(D30=0,0,D77/D30)</f>
        <v>3062.4592630651446</v>
      </c>
      <c r="E113" s="744">
        <f>IF(E30=0,0,E77/E30)</f>
        <v>3157.7958467854678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385913045</v>
      </c>
      <c r="D12" s="76">
        <v>427704210</v>
      </c>
      <c r="E12" s="76">
        <f t="shared" ref="E12:E21" si="0">D12-C12</f>
        <v>41791165</v>
      </c>
      <c r="F12" s="77">
        <f t="shared" ref="F12:F21" si="1">IF(C12=0,0,E12/C12)</f>
        <v>0.10829166192088686</v>
      </c>
    </row>
    <row r="13" spans="1:8" ht="23.1" customHeight="1" x14ac:dyDescent="0.2">
      <c r="A13" s="74">
        <v>2</v>
      </c>
      <c r="B13" s="75" t="s">
        <v>72</v>
      </c>
      <c r="C13" s="76">
        <v>251770594</v>
      </c>
      <c r="D13" s="76">
        <v>290680238</v>
      </c>
      <c r="E13" s="76">
        <f t="shared" si="0"/>
        <v>38909644</v>
      </c>
      <c r="F13" s="77">
        <f t="shared" si="1"/>
        <v>0.15454403702125755</v>
      </c>
    </row>
    <row r="14" spans="1:8" ht="23.1" customHeight="1" x14ac:dyDescent="0.2">
      <c r="A14" s="74">
        <v>3</v>
      </c>
      <c r="B14" s="75" t="s">
        <v>73</v>
      </c>
      <c r="C14" s="76">
        <v>3781958</v>
      </c>
      <c r="D14" s="76">
        <v>5306456</v>
      </c>
      <c r="E14" s="76">
        <f t="shared" si="0"/>
        <v>1524498</v>
      </c>
      <c r="F14" s="77">
        <f t="shared" si="1"/>
        <v>0.40309754894158001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130360493</v>
      </c>
      <c r="D16" s="79">
        <f>D12-D13-D14-D15</f>
        <v>131717516</v>
      </c>
      <c r="E16" s="79">
        <f t="shared" si="0"/>
        <v>1357023</v>
      </c>
      <c r="F16" s="80">
        <f t="shared" si="1"/>
        <v>1.0409771923768346E-2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4909425</v>
      </c>
      <c r="E17" s="76">
        <f t="shared" si="0"/>
        <v>4909425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130360493</v>
      </c>
      <c r="D18" s="79">
        <f>D16-D17</f>
        <v>126808091</v>
      </c>
      <c r="E18" s="79">
        <f t="shared" si="0"/>
        <v>-3552402</v>
      </c>
      <c r="F18" s="80">
        <f t="shared" si="1"/>
        <v>-2.7250602680675657E-2</v>
      </c>
    </row>
    <row r="19" spans="1:7" ht="23.1" customHeight="1" x14ac:dyDescent="0.2">
      <c r="A19" s="74">
        <v>6</v>
      </c>
      <c r="B19" s="75" t="s">
        <v>78</v>
      </c>
      <c r="C19" s="76">
        <v>5173982</v>
      </c>
      <c r="D19" s="76">
        <v>4242269</v>
      </c>
      <c r="E19" s="76">
        <f t="shared" si="0"/>
        <v>-931713</v>
      </c>
      <c r="F19" s="77">
        <f t="shared" si="1"/>
        <v>-0.18007658318100064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135534475</v>
      </c>
      <c r="D21" s="79">
        <f>SUM(D18:D20)</f>
        <v>131050360</v>
      </c>
      <c r="E21" s="79">
        <f t="shared" si="0"/>
        <v>-4484115</v>
      </c>
      <c r="F21" s="80">
        <f t="shared" si="1"/>
        <v>-3.308468196006957E-2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54926060</v>
      </c>
      <c r="D24" s="76">
        <v>54725468</v>
      </c>
      <c r="E24" s="76">
        <f t="shared" ref="E24:E33" si="2">D24-C24</f>
        <v>-200592</v>
      </c>
      <c r="F24" s="77">
        <f t="shared" ref="F24:F33" si="3">IF(C24=0,0,E24/C24)</f>
        <v>-3.6520369383858955E-3</v>
      </c>
    </row>
    <row r="25" spans="1:7" ht="23.1" customHeight="1" x14ac:dyDescent="0.2">
      <c r="A25" s="74">
        <v>2</v>
      </c>
      <c r="B25" s="75" t="s">
        <v>83</v>
      </c>
      <c r="C25" s="76">
        <v>15078189</v>
      </c>
      <c r="D25" s="76">
        <v>14819444</v>
      </c>
      <c r="E25" s="76">
        <f t="shared" si="2"/>
        <v>-258745</v>
      </c>
      <c r="F25" s="77">
        <f t="shared" si="3"/>
        <v>-1.7160217317875509E-2</v>
      </c>
    </row>
    <row r="26" spans="1:7" ht="23.1" customHeight="1" x14ac:dyDescent="0.2">
      <c r="A26" s="74">
        <v>3</v>
      </c>
      <c r="B26" s="75" t="s">
        <v>84</v>
      </c>
      <c r="C26" s="76">
        <v>7870257</v>
      </c>
      <c r="D26" s="76">
        <v>9064475</v>
      </c>
      <c r="E26" s="76">
        <f t="shared" si="2"/>
        <v>1194218</v>
      </c>
      <c r="F26" s="77">
        <f t="shared" si="3"/>
        <v>0.15173811986063479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17934966</v>
      </c>
      <c r="D27" s="76">
        <v>18039840</v>
      </c>
      <c r="E27" s="76">
        <f t="shared" si="2"/>
        <v>104874</v>
      </c>
      <c r="F27" s="77">
        <f t="shared" si="3"/>
        <v>5.8474602070614466E-3</v>
      </c>
    </row>
    <row r="28" spans="1:7" ht="23.1" customHeight="1" x14ac:dyDescent="0.2">
      <c r="A28" s="74">
        <v>5</v>
      </c>
      <c r="B28" s="75" t="s">
        <v>86</v>
      </c>
      <c r="C28" s="76">
        <v>6320576</v>
      </c>
      <c r="D28" s="76">
        <v>6363743</v>
      </c>
      <c r="E28" s="76">
        <f t="shared" si="2"/>
        <v>43167</v>
      </c>
      <c r="F28" s="77">
        <f t="shared" si="3"/>
        <v>6.8295990745147282E-3</v>
      </c>
    </row>
    <row r="29" spans="1:7" ht="23.1" customHeight="1" x14ac:dyDescent="0.2">
      <c r="A29" s="74">
        <v>6</v>
      </c>
      <c r="B29" s="75" t="s">
        <v>87</v>
      </c>
      <c r="C29" s="76">
        <v>6470291</v>
      </c>
      <c r="D29" s="76">
        <v>0</v>
      </c>
      <c r="E29" s="76">
        <f t="shared" si="2"/>
        <v>-6470291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1641972</v>
      </c>
      <c r="D30" s="76">
        <v>1421576</v>
      </c>
      <c r="E30" s="76">
        <f t="shared" si="2"/>
        <v>-220396</v>
      </c>
      <c r="F30" s="77">
        <f t="shared" si="3"/>
        <v>-0.13422640580959969</v>
      </c>
    </row>
    <row r="31" spans="1:7" ht="23.1" customHeight="1" x14ac:dyDescent="0.2">
      <c r="A31" s="74">
        <v>8</v>
      </c>
      <c r="B31" s="75" t="s">
        <v>89</v>
      </c>
      <c r="C31" s="76">
        <v>-399676</v>
      </c>
      <c r="D31" s="76">
        <v>-168825</v>
      </c>
      <c r="E31" s="76">
        <f t="shared" si="2"/>
        <v>230851</v>
      </c>
      <c r="F31" s="77">
        <f t="shared" si="3"/>
        <v>-0.57759535223531056</v>
      </c>
    </row>
    <row r="32" spans="1:7" ht="23.1" customHeight="1" x14ac:dyDescent="0.2">
      <c r="A32" s="74">
        <v>9</v>
      </c>
      <c r="B32" s="75" t="s">
        <v>90</v>
      </c>
      <c r="C32" s="76">
        <v>24643668</v>
      </c>
      <c r="D32" s="76">
        <v>25437953</v>
      </c>
      <c r="E32" s="76">
        <f t="shared" si="2"/>
        <v>794285</v>
      </c>
      <c r="F32" s="77">
        <f t="shared" si="3"/>
        <v>3.223079453918954E-2</v>
      </c>
    </row>
    <row r="33" spans="1:6" ht="23.1" customHeight="1" x14ac:dyDescent="0.25">
      <c r="A33" s="71"/>
      <c r="B33" s="78" t="s">
        <v>91</v>
      </c>
      <c r="C33" s="79">
        <f>SUM(C24:C32)</f>
        <v>134486303</v>
      </c>
      <c r="D33" s="79">
        <f>SUM(D24:D32)</f>
        <v>129703674</v>
      </c>
      <c r="E33" s="79">
        <f t="shared" si="2"/>
        <v>-4782629</v>
      </c>
      <c r="F33" s="80">
        <f t="shared" si="3"/>
        <v>-3.556220145333313E-2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1048172</v>
      </c>
      <c r="D35" s="79">
        <f>+D21-D33</f>
        <v>1346686</v>
      </c>
      <c r="E35" s="79">
        <f>D35-C35</f>
        <v>298514</v>
      </c>
      <c r="F35" s="80">
        <f>IF(C35=0,0,E35/C35)</f>
        <v>0.28479486191197628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355214</v>
      </c>
      <c r="D38" s="76">
        <v>288208</v>
      </c>
      <c r="E38" s="76">
        <f>D38-C38</f>
        <v>-67006</v>
      </c>
      <c r="F38" s="77">
        <f>IF(C38=0,0,E38/C38)</f>
        <v>-0.18863558305697412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897940</v>
      </c>
      <c r="D40" s="76">
        <v>555862</v>
      </c>
      <c r="E40" s="76">
        <f>D40-C40</f>
        <v>-342078</v>
      </c>
      <c r="F40" s="77">
        <f>IF(C40=0,0,E40/C40)</f>
        <v>-0.38095863866182594</v>
      </c>
    </row>
    <row r="41" spans="1:6" ht="23.1" customHeight="1" x14ac:dyDescent="0.25">
      <c r="A41" s="83"/>
      <c r="B41" s="78" t="s">
        <v>97</v>
      </c>
      <c r="C41" s="79">
        <f>SUM(C38:C40)</f>
        <v>1253154</v>
      </c>
      <c r="D41" s="79">
        <f>SUM(D38:D40)</f>
        <v>844070</v>
      </c>
      <c r="E41" s="79">
        <f>D41-C41</f>
        <v>-409084</v>
      </c>
      <c r="F41" s="80">
        <f>IF(C41=0,0,E41/C41)</f>
        <v>-0.32644351771609875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2301326</v>
      </c>
      <c r="D43" s="79">
        <f>D35+D41</f>
        <v>2190756</v>
      </c>
      <c r="E43" s="79">
        <f>D43-C43</f>
        <v>-110570</v>
      </c>
      <c r="F43" s="80">
        <f>IF(C43=0,0,E43/C43)</f>
        <v>-4.8046213356995056E-2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2301326</v>
      </c>
      <c r="D50" s="79">
        <f>D43+D48</f>
        <v>2190756</v>
      </c>
      <c r="E50" s="79">
        <f>D50-C50</f>
        <v>-110570</v>
      </c>
      <c r="F50" s="80">
        <f>IF(C50=0,0,E50/C50)</f>
        <v>-4.8046213356995056E-2</v>
      </c>
    </row>
    <row r="51" spans="1:6" ht="23.1" customHeight="1" x14ac:dyDescent="0.2">
      <c r="A51" s="85"/>
      <c r="B51" s="75" t="s">
        <v>104</v>
      </c>
      <c r="C51" s="76">
        <v>797743</v>
      </c>
      <c r="D51" s="76">
        <v>776377</v>
      </c>
      <c r="E51" s="76">
        <f>D51-C51</f>
        <v>-21366</v>
      </c>
      <c r="F51" s="77">
        <f>IF(C51=0,0,E51/C51)</f>
        <v>-2.6783061712857398E-2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62592371</v>
      </c>
      <c r="D14" s="113">
        <v>67634700</v>
      </c>
      <c r="E14" s="113">
        <f t="shared" ref="E14:E25" si="0">D14-C14</f>
        <v>5042329</v>
      </c>
      <c r="F14" s="114">
        <f t="shared" ref="F14:F25" si="1">IF(C14=0,0,E14/C14)</f>
        <v>8.0558204130020891E-2</v>
      </c>
    </row>
    <row r="15" spans="1:6" x14ac:dyDescent="0.2">
      <c r="A15" s="115">
        <v>2</v>
      </c>
      <c r="B15" s="116" t="s">
        <v>114</v>
      </c>
      <c r="C15" s="113">
        <v>16525440</v>
      </c>
      <c r="D15" s="113">
        <v>21093935</v>
      </c>
      <c r="E15" s="113">
        <f t="shared" si="0"/>
        <v>4568495</v>
      </c>
      <c r="F15" s="114">
        <f t="shared" si="1"/>
        <v>0.27645224574958366</v>
      </c>
    </row>
    <row r="16" spans="1:6" x14ac:dyDescent="0.2">
      <c r="A16" s="115">
        <v>3</v>
      </c>
      <c r="B16" s="116" t="s">
        <v>115</v>
      </c>
      <c r="C16" s="113">
        <v>22132724</v>
      </c>
      <c r="D16" s="113">
        <v>28359389</v>
      </c>
      <c r="E16" s="113">
        <f t="shared" si="0"/>
        <v>6226665</v>
      </c>
      <c r="F16" s="114">
        <f t="shared" si="1"/>
        <v>0.28133297103420257</v>
      </c>
    </row>
    <row r="17" spans="1:6" x14ac:dyDescent="0.2">
      <c r="A17" s="115">
        <v>4</v>
      </c>
      <c r="B17" s="116" t="s">
        <v>116</v>
      </c>
      <c r="C17" s="113">
        <v>1645390</v>
      </c>
      <c r="D17" s="113">
        <v>0</v>
      </c>
      <c r="E17" s="113">
        <f t="shared" si="0"/>
        <v>-1645390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269030</v>
      </c>
      <c r="D18" s="113">
        <v>214150</v>
      </c>
      <c r="E18" s="113">
        <f t="shared" si="0"/>
        <v>-54880</v>
      </c>
      <c r="F18" s="114">
        <f t="shared" si="1"/>
        <v>-0.2039921198379363</v>
      </c>
    </row>
    <row r="19" spans="1:6" x14ac:dyDescent="0.2">
      <c r="A19" s="115">
        <v>6</v>
      </c>
      <c r="B19" s="116" t="s">
        <v>118</v>
      </c>
      <c r="C19" s="113">
        <v>21198971</v>
      </c>
      <c r="D19" s="113">
        <v>24877921</v>
      </c>
      <c r="E19" s="113">
        <f t="shared" si="0"/>
        <v>3678950</v>
      </c>
      <c r="F19" s="114">
        <f t="shared" si="1"/>
        <v>0.17354380078165116</v>
      </c>
    </row>
    <row r="20" spans="1:6" x14ac:dyDescent="0.2">
      <c r="A20" s="115">
        <v>7</v>
      </c>
      <c r="B20" s="116" t="s">
        <v>119</v>
      </c>
      <c r="C20" s="113">
        <v>15385117</v>
      </c>
      <c r="D20" s="113">
        <v>16284320</v>
      </c>
      <c r="E20" s="113">
        <f t="shared" si="0"/>
        <v>899203</v>
      </c>
      <c r="F20" s="114">
        <f t="shared" si="1"/>
        <v>5.8446289358735456E-2</v>
      </c>
    </row>
    <row r="21" spans="1:6" x14ac:dyDescent="0.2">
      <c r="A21" s="115">
        <v>8</v>
      </c>
      <c r="B21" s="116" t="s">
        <v>120</v>
      </c>
      <c r="C21" s="113">
        <v>1208366</v>
      </c>
      <c r="D21" s="113">
        <v>951567</v>
      </c>
      <c r="E21" s="113">
        <f t="shared" si="0"/>
        <v>-256799</v>
      </c>
      <c r="F21" s="114">
        <f t="shared" si="1"/>
        <v>-0.21251756504237954</v>
      </c>
    </row>
    <row r="22" spans="1:6" x14ac:dyDescent="0.2">
      <c r="A22" s="115">
        <v>9</v>
      </c>
      <c r="B22" s="116" t="s">
        <v>121</v>
      </c>
      <c r="C22" s="113">
        <v>1720349</v>
      </c>
      <c r="D22" s="113">
        <v>2026235</v>
      </c>
      <c r="E22" s="113">
        <f t="shared" si="0"/>
        <v>305886</v>
      </c>
      <c r="F22" s="114">
        <f t="shared" si="1"/>
        <v>0.1778046198765483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142677758</v>
      </c>
      <c r="D25" s="119">
        <f>SUM(D14:D24)</f>
        <v>161442217</v>
      </c>
      <c r="E25" s="119">
        <f t="shared" si="0"/>
        <v>18764459</v>
      </c>
      <c r="F25" s="120">
        <f t="shared" si="1"/>
        <v>0.13151635730076441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69913177</v>
      </c>
      <c r="D27" s="113">
        <v>78682721</v>
      </c>
      <c r="E27" s="113">
        <f t="shared" ref="E27:E38" si="2">D27-C27</f>
        <v>8769544</v>
      </c>
      <c r="F27" s="114">
        <f t="shared" ref="F27:F38" si="3">IF(C27=0,0,E27/C27)</f>
        <v>0.12543478034190894</v>
      </c>
    </row>
    <row r="28" spans="1:6" x14ac:dyDescent="0.2">
      <c r="A28" s="115">
        <v>2</v>
      </c>
      <c r="B28" s="116" t="s">
        <v>114</v>
      </c>
      <c r="C28" s="113">
        <v>22230841</v>
      </c>
      <c r="D28" s="113">
        <v>28348076</v>
      </c>
      <c r="E28" s="113">
        <f t="shared" si="2"/>
        <v>6117235</v>
      </c>
      <c r="F28" s="114">
        <f t="shared" si="3"/>
        <v>0.27516885213654313</v>
      </c>
    </row>
    <row r="29" spans="1:6" x14ac:dyDescent="0.2">
      <c r="A29" s="115">
        <v>3</v>
      </c>
      <c r="B29" s="116" t="s">
        <v>115</v>
      </c>
      <c r="C29" s="113">
        <v>43050338</v>
      </c>
      <c r="D29" s="113">
        <v>53507154</v>
      </c>
      <c r="E29" s="113">
        <f t="shared" si="2"/>
        <v>10456816</v>
      </c>
      <c r="F29" s="114">
        <f t="shared" si="3"/>
        <v>0.2428974192955233</v>
      </c>
    </row>
    <row r="30" spans="1:6" x14ac:dyDescent="0.2">
      <c r="A30" s="115">
        <v>4</v>
      </c>
      <c r="B30" s="116" t="s">
        <v>116</v>
      </c>
      <c r="C30" s="113">
        <v>4976345</v>
      </c>
      <c r="D30" s="113">
        <v>0</v>
      </c>
      <c r="E30" s="113">
        <f t="shared" si="2"/>
        <v>-4976345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537685</v>
      </c>
      <c r="D31" s="113">
        <v>672300</v>
      </c>
      <c r="E31" s="113">
        <f t="shared" si="2"/>
        <v>134615</v>
      </c>
      <c r="F31" s="114">
        <f t="shared" si="3"/>
        <v>0.25036034109190325</v>
      </c>
    </row>
    <row r="32" spans="1:6" x14ac:dyDescent="0.2">
      <c r="A32" s="115">
        <v>6</v>
      </c>
      <c r="B32" s="116" t="s">
        <v>118</v>
      </c>
      <c r="C32" s="113">
        <v>55408293</v>
      </c>
      <c r="D32" s="113">
        <v>58242349</v>
      </c>
      <c r="E32" s="113">
        <f t="shared" si="2"/>
        <v>2834056</v>
      </c>
      <c r="F32" s="114">
        <f t="shared" si="3"/>
        <v>5.1148588894445818E-2</v>
      </c>
    </row>
    <row r="33" spans="1:6" x14ac:dyDescent="0.2">
      <c r="A33" s="115">
        <v>7</v>
      </c>
      <c r="B33" s="116" t="s">
        <v>119</v>
      </c>
      <c r="C33" s="113">
        <v>36906213</v>
      </c>
      <c r="D33" s="113">
        <v>36442168</v>
      </c>
      <c r="E33" s="113">
        <f t="shared" si="2"/>
        <v>-464045</v>
      </c>
      <c r="F33" s="114">
        <f t="shared" si="3"/>
        <v>-1.2573628185584903E-2</v>
      </c>
    </row>
    <row r="34" spans="1:6" x14ac:dyDescent="0.2">
      <c r="A34" s="115">
        <v>8</v>
      </c>
      <c r="B34" s="116" t="s">
        <v>120</v>
      </c>
      <c r="C34" s="113">
        <v>4575439</v>
      </c>
      <c r="D34" s="113">
        <v>3702067</v>
      </c>
      <c r="E34" s="113">
        <f t="shared" si="2"/>
        <v>-873372</v>
      </c>
      <c r="F34" s="114">
        <f t="shared" si="3"/>
        <v>-0.19088266721510219</v>
      </c>
    </row>
    <row r="35" spans="1:6" x14ac:dyDescent="0.2">
      <c r="A35" s="115">
        <v>9</v>
      </c>
      <c r="B35" s="116" t="s">
        <v>121</v>
      </c>
      <c r="C35" s="113">
        <v>5636956</v>
      </c>
      <c r="D35" s="113">
        <v>6665563</v>
      </c>
      <c r="E35" s="113">
        <f t="shared" si="2"/>
        <v>1028607</v>
      </c>
      <c r="F35" s="114">
        <f t="shared" si="3"/>
        <v>0.18247561272431434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243235287</v>
      </c>
      <c r="D38" s="119">
        <f>SUM(D27:D37)</f>
        <v>266262398</v>
      </c>
      <c r="E38" s="119">
        <f t="shared" si="2"/>
        <v>23027111</v>
      </c>
      <c r="F38" s="120">
        <f t="shared" si="3"/>
        <v>9.4670108453466295E-2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132505548</v>
      </c>
      <c r="D41" s="119">
        <f t="shared" si="4"/>
        <v>146317421</v>
      </c>
      <c r="E41" s="123">
        <f t="shared" ref="E41:E52" si="5">D41-C41</f>
        <v>13811873</v>
      </c>
      <c r="F41" s="124">
        <f t="shared" ref="F41:F52" si="6">IF(C41=0,0,E41/C41)</f>
        <v>0.10423618639726692</v>
      </c>
    </row>
    <row r="42" spans="1:6" ht="15.75" x14ac:dyDescent="0.25">
      <c r="A42" s="121">
        <v>2</v>
      </c>
      <c r="B42" s="122" t="s">
        <v>114</v>
      </c>
      <c r="C42" s="119">
        <f t="shared" si="4"/>
        <v>38756281</v>
      </c>
      <c r="D42" s="119">
        <f t="shared" si="4"/>
        <v>49442011</v>
      </c>
      <c r="E42" s="123">
        <f t="shared" si="5"/>
        <v>10685730</v>
      </c>
      <c r="F42" s="124">
        <f t="shared" si="6"/>
        <v>0.27571608328466812</v>
      </c>
    </row>
    <row r="43" spans="1:6" ht="15.75" x14ac:dyDescent="0.25">
      <c r="A43" s="121">
        <v>3</v>
      </c>
      <c r="B43" s="122" t="s">
        <v>115</v>
      </c>
      <c r="C43" s="119">
        <f t="shared" si="4"/>
        <v>65183062</v>
      </c>
      <c r="D43" s="119">
        <f t="shared" si="4"/>
        <v>81866543</v>
      </c>
      <c r="E43" s="123">
        <f t="shared" si="5"/>
        <v>16683481</v>
      </c>
      <c r="F43" s="124">
        <f t="shared" si="6"/>
        <v>0.25594810197778067</v>
      </c>
    </row>
    <row r="44" spans="1:6" ht="15.75" x14ac:dyDescent="0.25">
      <c r="A44" s="121">
        <v>4</v>
      </c>
      <c r="B44" s="122" t="s">
        <v>116</v>
      </c>
      <c r="C44" s="119">
        <f t="shared" si="4"/>
        <v>6621735</v>
      </c>
      <c r="D44" s="119">
        <f t="shared" si="4"/>
        <v>0</v>
      </c>
      <c r="E44" s="123">
        <f t="shared" si="5"/>
        <v>-6621735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806715</v>
      </c>
      <c r="D45" s="119">
        <f t="shared" si="4"/>
        <v>886450</v>
      </c>
      <c r="E45" s="123">
        <f t="shared" si="5"/>
        <v>79735</v>
      </c>
      <c r="F45" s="124">
        <f t="shared" si="6"/>
        <v>9.8839119143687676E-2</v>
      </c>
    </row>
    <row r="46" spans="1:6" ht="15.75" x14ac:dyDescent="0.25">
      <c r="A46" s="121">
        <v>6</v>
      </c>
      <c r="B46" s="122" t="s">
        <v>118</v>
      </c>
      <c r="C46" s="119">
        <f t="shared" si="4"/>
        <v>76607264</v>
      </c>
      <c r="D46" s="119">
        <f t="shared" si="4"/>
        <v>83120270</v>
      </c>
      <c r="E46" s="123">
        <f t="shared" si="5"/>
        <v>6513006</v>
      </c>
      <c r="F46" s="124">
        <f t="shared" si="6"/>
        <v>8.5018125696278618E-2</v>
      </c>
    </row>
    <row r="47" spans="1:6" ht="15.75" x14ac:dyDescent="0.25">
      <c r="A47" s="121">
        <v>7</v>
      </c>
      <c r="B47" s="122" t="s">
        <v>119</v>
      </c>
      <c r="C47" s="119">
        <f t="shared" si="4"/>
        <v>52291330</v>
      </c>
      <c r="D47" s="119">
        <f t="shared" si="4"/>
        <v>52726488</v>
      </c>
      <c r="E47" s="123">
        <f t="shared" si="5"/>
        <v>435158</v>
      </c>
      <c r="F47" s="124">
        <f t="shared" si="6"/>
        <v>8.321800191351033E-3</v>
      </c>
    </row>
    <row r="48" spans="1:6" ht="15.75" x14ac:dyDescent="0.25">
      <c r="A48" s="121">
        <v>8</v>
      </c>
      <c r="B48" s="122" t="s">
        <v>120</v>
      </c>
      <c r="C48" s="119">
        <f t="shared" si="4"/>
        <v>5783805</v>
      </c>
      <c r="D48" s="119">
        <f t="shared" si="4"/>
        <v>4653634</v>
      </c>
      <c r="E48" s="123">
        <f t="shared" si="5"/>
        <v>-1130171</v>
      </c>
      <c r="F48" s="124">
        <f t="shared" si="6"/>
        <v>-0.19540268041540129</v>
      </c>
    </row>
    <row r="49" spans="1:6" ht="15.75" x14ac:dyDescent="0.25">
      <c r="A49" s="121">
        <v>9</v>
      </c>
      <c r="B49" s="122" t="s">
        <v>121</v>
      </c>
      <c r="C49" s="119">
        <f t="shared" si="4"/>
        <v>7357305</v>
      </c>
      <c r="D49" s="119">
        <f t="shared" si="4"/>
        <v>8691798</v>
      </c>
      <c r="E49" s="123">
        <f t="shared" si="5"/>
        <v>1334493</v>
      </c>
      <c r="F49" s="124">
        <f t="shared" si="6"/>
        <v>0.18138340057942412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385913045</v>
      </c>
      <c r="D52" s="128">
        <f>SUM(D41:D51)</f>
        <v>427704615</v>
      </c>
      <c r="E52" s="127">
        <f t="shared" si="5"/>
        <v>41791570</v>
      </c>
      <c r="F52" s="129">
        <f t="shared" si="6"/>
        <v>0.10829271138009859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25401334</v>
      </c>
      <c r="D57" s="113">
        <v>22673728</v>
      </c>
      <c r="E57" s="113">
        <f t="shared" ref="E57:E68" si="7">D57-C57</f>
        <v>-2727606</v>
      </c>
      <c r="F57" s="114">
        <f t="shared" ref="F57:F68" si="8">IF(C57=0,0,E57/C57)</f>
        <v>-0.1073804234061093</v>
      </c>
    </row>
    <row r="58" spans="1:6" x14ac:dyDescent="0.2">
      <c r="A58" s="115">
        <v>2</v>
      </c>
      <c r="B58" s="116" t="s">
        <v>114</v>
      </c>
      <c r="C58" s="113">
        <v>6046789</v>
      </c>
      <c r="D58" s="113">
        <v>7311029</v>
      </c>
      <c r="E58" s="113">
        <f t="shared" si="7"/>
        <v>1264240</v>
      </c>
      <c r="F58" s="114">
        <f t="shared" si="8"/>
        <v>0.20907625518270936</v>
      </c>
    </row>
    <row r="59" spans="1:6" x14ac:dyDescent="0.2">
      <c r="A59" s="115">
        <v>3</v>
      </c>
      <c r="B59" s="116" t="s">
        <v>115</v>
      </c>
      <c r="C59" s="113">
        <v>6059905</v>
      </c>
      <c r="D59" s="113">
        <v>6716915</v>
      </c>
      <c r="E59" s="113">
        <f t="shared" si="7"/>
        <v>657010</v>
      </c>
      <c r="F59" s="114">
        <f t="shared" si="8"/>
        <v>0.10841919138996403</v>
      </c>
    </row>
    <row r="60" spans="1:6" x14ac:dyDescent="0.2">
      <c r="A60" s="115">
        <v>4</v>
      </c>
      <c r="B60" s="116" t="s">
        <v>116</v>
      </c>
      <c r="C60" s="113">
        <v>223772</v>
      </c>
      <c r="D60" s="113">
        <v>0</v>
      </c>
      <c r="E60" s="113">
        <f t="shared" si="7"/>
        <v>-223772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67500</v>
      </c>
      <c r="D61" s="113">
        <v>70785</v>
      </c>
      <c r="E61" s="113">
        <f t="shared" si="7"/>
        <v>3285</v>
      </c>
      <c r="F61" s="114">
        <f t="shared" si="8"/>
        <v>4.8666666666666664E-2</v>
      </c>
    </row>
    <row r="62" spans="1:6" x14ac:dyDescent="0.2">
      <c r="A62" s="115">
        <v>6</v>
      </c>
      <c r="B62" s="116" t="s">
        <v>118</v>
      </c>
      <c r="C62" s="113">
        <v>12927217</v>
      </c>
      <c r="D62" s="113">
        <v>10899954</v>
      </c>
      <c r="E62" s="113">
        <f t="shared" si="7"/>
        <v>-2027263</v>
      </c>
      <c r="F62" s="114">
        <f t="shared" si="8"/>
        <v>-0.15682130190898783</v>
      </c>
    </row>
    <row r="63" spans="1:6" x14ac:dyDescent="0.2">
      <c r="A63" s="115">
        <v>7</v>
      </c>
      <c r="B63" s="116" t="s">
        <v>119</v>
      </c>
      <c r="C63" s="113">
        <v>9052381</v>
      </c>
      <c r="D63" s="113">
        <v>9416163</v>
      </c>
      <c r="E63" s="113">
        <f t="shared" si="7"/>
        <v>363782</v>
      </c>
      <c r="F63" s="114">
        <f t="shared" si="8"/>
        <v>4.0186333297283883E-2</v>
      </c>
    </row>
    <row r="64" spans="1:6" x14ac:dyDescent="0.2">
      <c r="A64" s="115">
        <v>8</v>
      </c>
      <c r="B64" s="116" t="s">
        <v>120</v>
      </c>
      <c r="C64" s="113">
        <v>1208365</v>
      </c>
      <c r="D64" s="113">
        <v>951567</v>
      </c>
      <c r="E64" s="113">
        <f t="shared" si="7"/>
        <v>-256798</v>
      </c>
      <c r="F64" s="114">
        <f t="shared" si="8"/>
        <v>-0.21251691334985703</v>
      </c>
    </row>
    <row r="65" spans="1:6" x14ac:dyDescent="0.2">
      <c r="A65" s="115">
        <v>9</v>
      </c>
      <c r="B65" s="116" t="s">
        <v>121</v>
      </c>
      <c r="C65" s="113">
        <v>13248</v>
      </c>
      <c r="D65" s="113">
        <v>10370</v>
      </c>
      <c r="E65" s="113">
        <f t="shared" si="7"/>
        <v>-2878</v>
      </c>
      <c r="F65" s="114">
        <f t="shared" si="8"/>
        <v>-0.2172403381642512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61000511</v>
      </c>
      <c r="D68" s="119">
        <f>SUM(D57:D67)</f>
        <v>58050511</v>
      </c>
      <c r="E68" s="119">
        <f t="shared" si="7"/>
        <v>-2950000</v>
      </c>
      <c r="F68" s="120">
        <f t="shared" si="8"/>
        <v>-4.8360250621507089E-2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13327132</v>
      </c>
      <c r="D70" s="113">
        <v>12774920</v>
      </c>
      <c r="E70" s="113">
        <f t="shared" ref="E70:E81" si="9">D70-C70</f>
        <v>-552212</v>
      </c>
      <c r="F70" s="114">
        <f t="shared" ref="F70:F81" si="10">IF(C70=0,0,E70/C70)</f>
        <v>-4.143517149826384E-2</v>
      </c>
    </row>
    <row r="71" spans="1:6" x14ac:dyDescent="0.2">
      <c r="A71" s="115">
        <v>2</v>
      </c>
      <c r="B71" s="116" t="s">
        <v>114</v>
      </c>
      <c r="C71" s="113">
        <v>4635036</v>
      </c>
      <c r="D71" s="113">
        <v>5134737</v>
      </c>
      <c r="E71" s="113">
        <f t="shared" si="9"/>
        <v>499701</v>
      </c>
      <c r="F71" s="114">
        <f t="shared" si="10"/>
        <v>0.1078095186315705</v>
      </c>
    </row>
    <row r="72" spans="1:6" x14ac:dyDescent="0.2">
      <c r="A72" s="115">
        <v>3</v>
      </c>
      <c r="B72" s="116" t="s">
        <v>115</v>
      </c>
      <c r="C72" s="113">
        <v>9412836</v>
      </c>
      <c r="D72" s="113">
        <v>11283345</v>
      </c>
      <c r="E72" s="113">
        <f t="shared" si="9"/>
        <v>1870509</v>
      </c>
      <c r="F72" s="114">
        <f t="shared" si="10"/>
        <v>0.19871896206414305</v>
      </c>
    </row>
    <row r="73" spans="1:6" x14ac:dyDescent="0.2">
      <c r="A73" s="115">
        <v>4</v>
      </c>
      <c r="B73" s="116" t="s">
        <v>116</v>
      </c>
      <c r="C73" s="113">
        <v>635338</v>
      </c>
      <c r="D73" s="113">
        <v>0</v>
      </c>
      <c r="E73" s="113">
        <f t="shared" si="9"/>
        <v>-635338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151700</v>
      </c>
      <c r="D74" s="113">
        <v>205727</v>
      </c>
      <c r="E74" s="113">
        <f t="shared" si="9"/>
        <v>54027</v>
      </c>
      <c r="F74" s="114">
        <f t="shared" si="10"/>
        <v>0.35614370468029005</v>
      </c>
    </row>
    <row r="75" spans="1:6" x14ac:dyDescent="0.2">
      <c r="A75" s="115">
        <v>6</v>
      </c>
      <c r="B75" s="116" t="s">
        <v>118</v>
      </c>
      <c r="C75" s="113">
        <v>18611186</v>
      </c>
      <c r="D75" s="113">
        <v>24102734</v>
      </c>
      <c r="E75" s="113">
        <f t="shared" si="9"/>
        <v>5491548</v>
      </c>
      <c r="F75" s="114">
        <f t="shared" si="10"/>
        <v>0.2950670634316373</v>
      </c>
    </row>
    <row r="76" spans="1:6" x14ac:dyDescent="0.2">
      <c r="A76" s="115">
        <v>7</v>
      </c>
      <c r="B76" s="116" t="s">
        <v>119</v>
      </c>
      <c r="C76" s="113">
        <v>11724603</v>
      </c>
      <c r="D76" s="113">
        <v>10925766</v>
      </c>
      <c r="E76" s="113">
        <f t="shared" si="9"/>
        <v>-798837</v>
      </c>
      <c r="F76" s="114">
        <f t="shared" si="10"/>
        <v>-6.8133394367382846E-2</v>
      </c>
    </row>
    <row r="77" spans="1:6" x14ac:dyDescent="0.2">
      <c r="A77" s="115">
        <v>8</v>
      </c>
      <c r="B77" s="116" t="s">
        <v>120</v>
      </c>
      <c r="C77" s="113">
        <v>4575439</v>
      </c>
      <c r="D77" s="113">
        <v>3702067</v>
      </c>
      <c r="E77" s="113">
        <f t="shared" si="9"/>
        <v>-873372</v>
      </c>
      <c r="F77" s="114">
        <f t="shared" si="10"/>
        <v>-0.19088266721510219</v>
      </c>
    </row>
    <row r="78" spans="1:6" x14ac:dyDescent="0.2">
      <c r="A78" s="115">
        <v>9</v>
      </c>
      <c r="B78" s="116" t="s">
        <v>121</v>
      </c>
      <c r="C78" s="113">
        <v>36556</v>
      </c>
      <c r="D78" s="113">
        <v>75205</v>
      </c>
      <c r="E78" s="113">
        <f t="shared" si="9"/>
        <v>38649</v>
      </c>
      <c r="F78" s="114">
        <f t="shared" si="10"/>
        <v>1.0572546230440967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63109826</v>
      </c>
      <c r="D81" s="119">
        <f>SUM(D70:D80)</f>
        <v>68204501</v>
      </c>
      <c r="E81" s="119">
        <f t="shared" si="9"/>
        <v>5094675</v>
      </c>
      <c r="F81" s="120">
        <f t="shared" si="10"/>
        <v>8.0727127975285501E-2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38728466</v>
      </c>
      <c r="D84" s="119">
        <f t="shared" si="11"/>
        <v>35448648</v>
      </c>
      <c r="E84" s="119">
        <f t="shared" ref="E84:E95" si="12">D84-C84</f>
        <v>-3279818</v>
      </c>
      <c r="F84" s="120">
        <f t="shared" ref="F84:F95" si="13">IF(C84=0,0,E84/C84)</f>
        <v>-8.4687526740666666E-2</v>
      </c>
    </row>
    <row r="85" spans="1:6" ht="15.75" x14ac:dyDescent="0.25">
      <c r="A85" s="130">
        <v>2</v>
      </c>
      <c r="B85" s="122" t="s">
        <v>114</v>
      </c>
      <c r="C85" s="119">
        <f t="shared" si="11"/>
        <v>10681825</v>
      </c>
      <c r="D85" s="119">
        <f t="shared" si="11"/>
        <v>12445766</v>
      </c>
      <c r="E85" s="119">
        <f t="shared" si="12"/>
        <v>1763941</v>
      </c>
      <c r="F85" s="120">
        <f t="shared" si="13"/>
        <v>0.16513479672247017</v>
      </c>
    </row>
    <row r="86" spans="1:6" ht="15.75" x14ac:dyDescent="0.25">
      <c r="A86" s="130">
        <v>3</v>
      </c>
      <c r="B86" s="122" t="s">
        <v>115</v>
      </c>
      <c r="C86" s="119">
        <f t="shared" si="11"/>
        <v>15472741</v>
      </c>
      <c r="D86" s="119">
        <f t="shared" si="11"/>
        <v>18000260</v>
      </c>
      <c r="E86" s="119">
        <f t="shared" si="12"/>
        <v>2527519</v>
      </c>
      <c r="F86" s="120">
        <f t="shared" si="13"/>
        <v>0.16335302193709569</v>
      </c>
    </row>
    <row r="87" spans="1:6" ht="15.75" x14ac:dyDescent="0.25">
      <c r="A87" s="130">
        <v>4</v>
      </c>
      <c r="B87" s="122" t="s">
        <v>116</v>
      </c>
      <c r="C87" s="119">
        <f t="shared" si="11"/>
        <v>859110</v>
      </c>
      <c r="D87" s="119">
        <f t="shared" si="11"/>
        <v>0</v>
      </c>
      <c r="E87" s="119">
        <f t="shared" si="12"/>
        <v>-859110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219200</v>
      </c>
      <c r="D88" s="119">
        <f t="shared" si="11"/>
        <v>276512</v>
      </c>
      <c r="E88" s="119">
        <f t="shared" si="12"/>
        <v>57312</v>
      </c>
      <c r="F88" s="120">
        <f t="shared" si="13"/>
        <v>0.26145985401459854</v>
      </c>
    </row>
    <row r="89" spans="1:6" ht="15.75" x14ac:dyDescent="0.25">
      <c r="A89" s="130">
        <v>6</v>
      </c>
      <c r="B89" s="122" t="s">
        <v>118</v>
      </c>
      <c r="C89" s="119">
        <f t="shared" si="11"/>
        <v>31538403</v>
      </c>
      <c r="D89" s="119">
        <f t="shared" si="11"/>
        <v>35002688</v>
      </c>
      <c r="E89" s="119">
        <f t="shared" si="12"/>
        <v>3464285</v>
      </c>
      <c r="F89" s="120">
        <f t="shared" si="13"/>
        <v>0.10984338680687161</v>
      </c>
    </row>
    <row r="90" spans="1:6" ht="15.75" x14ac:dyDescent="0.25">
      <c r="A90" s="130">
        <v>7</v>
      </c>
      <c r="B90" s="122" t="s">
        <v>119</v>
      </c>
      <c r="C90" s="119">
        <f t="shared" si="11"/>
        <v>20776984</v>
      </c>
      <c r="D90" s="119">
        <f t="shared" si="11"/>
        <v>20341929</v>
      </c>
      <c r="E90" s="119">
        <f t="shared" si="12"/>
        <v>-435055</v>
      </c>
      <c r="F90" s="120">
        <f t="shared" si="13"/>
        <v>-2.0939275883352464E-2</v>
      </c>
    </row>
    <row r="91" spans="1:6" ht="15.75" x14ac:dyDescent="0.25">
      <c r="A91" s="130">
        <v>8</v>
      </c>
      <c r="B91" s="122" t="s">
        <v>120</v>
      </c>
      <c r="C91" s="119">
        <f t="shared" si="11"/>
        <v>5783804</v>
      </c>
      <c r="D91" s="119">
        <f t="shared" si="11"/>
        <v>4653634</v>
      </c>
      <c r="E91" s="119">
        <f t="shared" si="12"/>
        <v>-1130170</v>
      </c>
      <c r="F91" s="120">
        <f t="shared" si="13"/>
        <v>-0.19540254130326684</v>
      </c>
    </row>
    <row r="92" spans="1:6" ht="15.75" x14ac:dyDescent="0.25">
      <c r="A92" s="130">
        <v>9</v>
      </c>
      <c r="B92" s="122" t="s">
        <v>121</v>
      </c>
      <c r="C92" s="119">
        <f t="shared" si="11"/>
        <v>49804</v>
      </c>
      <c r="D92" s="119">
        <f t="shared" si="11"/>
        <v>85575</v>
      </c>
      <c r="E92" s="119">
        <f t="shared" si="12"/>
        <v>35771</v>
      </c>
      <c r="F92" s="120">
        <f t="shared" si="13"/>
        <v>0.71823548309372742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124110337</v>
      </c>
      <c r="D95" s="128">
        <f>SUM(D84:D94)</f>
        <v>126255012</v>
      </c>
      <c r="E95" s="128">
        <f t="shared" si="12"/>
        <v>2144675</v>
      </c>
      <c r="F95" s="129">
        <f t="shared" si="13"/>
        <v>1.7280389787355101E-2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2875</v>
      </c>
      <c r="D100" s="133">
        <v>2740</v>
      </c>
      <c r="E100" s="133">
        <f t="shared" ref="E100:E111" si="14">D100-C100</f>
        <v>-135</v>
      </c>
      <c r="F100" s="114">
        <f t="shared" ref="F100:F111" si="15">IF(C100=0,0,E100/C100)</f>
        <v>-4.6956521739130432E-2</v>
      </c>
    </row>
    <row r="101" spans="1:6" x14ac:dyDescent="0.2">
      <c r="A101" s="115">
        <v>2</v>
      </c>
      <c r="B101" s="116" t="s">
        <v>114</v>
      </c>
      <c r="C101" s="133">
        <v>690</v>
      </c>
      <c r="D101" s="133">
        <v>844</v>
      </c>
      <c r="E101" s="133">
        <f t="shared" si="14"/>
        <v>154</v>
      </c>
      <c r="F101" s="114">
        <f t="shared" si="15"/>
        <v>0.22318840579710145</v>
      </c>
    </row>
    <row r="102" spans="1:6" x14ac:dyDescent="0.2">
      <c r="A102" s="115">
        <v>3</v>
      </c>
      <c r="B102" s="116" t="s">
        <v>115</v>
      </c>
      <c r="C102" s="133">
        <v>1499</v>
      </c>
      <c r="D102" s="133">
        <v>1646</v>
      </c>
      <c r="E102" s="133">
        <f t="shared" si="14"/>
        <v>147</v>
      </c>
      <c r="F102" s="114">
        <f t="shared" si="15"/>
        <v>9.8065376917945299E-2</v>
      </c>
    </row>
    <row r="103" spans="1:6" x14ac:dyDescent="0.2">
      <c r="A103" s="115">
        <v>4</v>
      </c>
      <c r="B103" s="116" t="s">
        <v>116</v>
      </c>
      <c r="C103" s="133">
        <v>126</v>
      </c>
      <c r="D103" s="133">
        <v>0</v>
      </c>
      <c r="E103" s="133">
        <f t="shared" si="14"/>
        <v>-126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25</v>
      </c>
      <c r="D104" s="133">
        <v>16</v>
      </c>
      <c r="E104" s="133">
        <f t="shared" si="14"/>
        <v>-9</v>
      </c>
      <c r="F104" s="114">
        <f t="shared" si="15"/>
        <v>-0.36</v>
      </c>
    </row>
    <row r="105" spans="1:6" x14ac:dyDescent="0.2">
      <c r="A105" s="115">
        <v>6</v>
      </c>
      <c r="B105" s="116" t="s">
        <v>118</v>
      </c>
      <c r="C105" s="133">
        <v>1295</v>
      </c>
      <c r="D105" s="133">
        <v>1217</v>
      </c>
      <c r="E105" s="133">
        <f t="shared" si="14"/>
        <v>-78</v>
      </c>
      <c r="F105" s="114">
        <f t="shared" si="15"/>
        <v>-6.0231660231660232E-2</v>
      </c>
    </row>
    <row r="106" spans="1:6" x14ac:dyDescent="0.2">
      <c r="A106" s="115">
        <v>7</v>
      </c>
      <c r="B106" s="116" t="s">
        <v>119</v>
      </c>
      <c r="C106" s="133">
        <v>905</v>
      </c>
      <c r="D106" s="133">
        <v>837</v>
      </c>
      <c r="E106" s="133">
        <f t="shared" si="14"/>
        <v>-68</v>
      </c>
      <c r="F106" s="114">
        <f t="shared" si="15"/>
        <v>-7.5138121546961326E-2</v>
      </c>
    </row>
    <row r="107" spans="1:6" x14ac:dyDescent="0.2">
      <c r="A107" s="115">
        <v>8</v>
      </c>
      <c r="B107" s="116" t="s">
        <v>120</v>
      </c>
      <c r="C107" s="133">
        <v>31</v>
      </c>
      <c r="D107" s="133">
        <v>16</v>
      </c>
      <c r="E107" s="133">
        <f t="shared" si="14"/>
        <v>-15</v>
      </c>
      <c r="F107" s="114">
        <f t="shared" si="15"/>
        <v>-0.4838709677419355</v>
      </c>
    </row>
    <row r="108" spans="1:6" x14ac:dyDescent="0.2">
      <c r="A108" s="115">
        <v>9</v>
      </c>
      <c r="B108" s="116" t="s">
        <v>121</v>
      </c>
      <c r="C108" s="133">
        <v>119</v>
      </c>
      <c r="D108" s="133">
        <v>132</v>
      </c>
      <c r="E108" s="133">
        <f t="shared" si="14"/>
        <v>13</v>
      </c>
      <c r="F108" s="114">
        <f t="shared" si="15"/>
        <v>0.1092436974789916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7565</v>
      </c>
      <c r="D111" s="134">
        <f>SUM(D100:D110)</f>
        <v>7448</v>
      </c>
      <c r="E111" s="134">
        <f t="shared" si="14"/>
        <v>-117</v>
      </c>
      <c r="F111" s="120">
        <f t="shared" si="15"/>
        <v>-1.5465961665565102E-2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12803</v>
      </c>
      <c r="D113" s="133">
        <v>12730</v>
      </c>
      <c r="E113" s="133">
        <f t="shared" ref="E113:E124" si="16">D113-C113</f>
        <v>-73</v>
      </c>
      <c r="F113" s="114">
        <f t="shared" ref="F113:F124" si="17">IF(C113=0,0,E113/C113)</f>
        <v>-5.7017886432867296E-3</v>
      </c>
    </row>
    <row r="114" spans="1:6" x14ac:dyDescent="0.2">
      <c r="A114" s="115">
        <v>2</v>
      </c>
      <c r="B114" s="116" t="s">
        <v>114</v>
      </c>
      <c r="C114" s="133">
        <v>3116</v>
      </c>
      <c r="D114" s="133">
        <v>3776</v>
      </c>
      <c r="E114" s="133">
        <f t="shared" si="16"/>
        <v>660</v>
      </c>
      <c r="F114" s="114">
        <f t="shared" si="17"/>
        <v>0.21181001283697048</v>
      </c>
    </row>
    <row r="115" spans="1:6" x14ac:dyDescent="0.2">
      <c r="A115" s="115">
        <v>3</v>
      </c>
      <c r="B115" s="116" t="s">
        <v>115</v>
      </c>
      <c r="C115" s="133">
        <v>5689</v>
      </c>
      <c r="D115" s="133">
        <v>5997</v>
      </c>
      <c r="E115" s="133">
        <f t="shared" si="16"/>
        <v>308</v>
      </c>
      <c r="F115" s="114">
        <f t="shared" si="17"/>
        <v>5.4139567586570576E-2</v>
      </c>
    </row>
    <row r="116" spans="1:6" x14ac:dyDescent="0.2">
      <c r="A116" s="115">
        <v>4</v>
      </c>
      <c r="B116" s="116" t="s">
        <v>116</v>
      </c>
      <c r="C116" s="133">
        <v>420</v>
      </c>
      <c r="D116" s="133">
        <v>0</v>
      </c>
      <c r="E116" s="133">
        <f t="shared" si="16"/>
        <v>-420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65</v>
      </c>
      <c r="D117" s="133">
        <v>43</v>
      </c>
      <c r="E117" s="133">
        <f t="shared" si="16"/>
        <v>-22</v>
      </c>
      <c r="F117" s="114">
        <f t="shared" si="17"/>
        <v>-0.33846153846153848</v>
      </c>
    </row>
    <row r="118" spans="1:6" x14ac:dyDescent="0.2">
      <c r="A118" s="115">
        <v>6</v>
      </c>
      <c r="B118" s="116" t="s">
        <v>118</v>
      </c>
      <c r="C118" s="133">
        <v>3997</v>
      </c>
      <c r="D118" s="133">
        <v>4100</v>
      </c>
      <c r="E118" s="133">
        <f t="shared" si="16"/>
        <v>103</v>
      </c>
      <c r="F118" s="114">
        <f t="shared" si="17"/>
        <v>2.5769326995246436E-2</v>
      </c>
    </row>
    <row r="119" spans="1:6" x14ac:dyDescent="0.2">
      <c r="A119" s="115">
        <v>7</v>
      </c>
      <c r="B119" s="116" t="s">
        <v>119</v>
      </c>
      <c r="C119" s="133">
        <v>2848</v>
      </c>
      <c r="D119" s="133">
        <v>2635</v>
      </c>
      <c r="E119" s="133">
        <f t="shared" si="16"/>
        <v>-213</v>
      </c>
      <c r="F119" s="114">
        <f t="shared" si="17"/>
        <v>-7.4789325842696625E-2</v>
      </c>
    </row>
    <row r="120" spans="1:6" x14ac:dyDescent="0.2">
      <c r="A120" s="115">
        <v>8</v>
      </c>
      <c r="B120" s="116" t="s">
        <v>120</v>
      </c>
      <c r="C120" s="133">
        <v>75</v>
      </c>
      <c r="D120" s="133">
        <v>61</v>
      </c>
      <c r="E120" s="133">
        <f t="shared" si="16"/>
        <v>-14</v>
      </c>
      <c r="F120" s="114">
        <f t="shared" si="17"/>
        <v>-0.18666666666666668</v>
      </c>
    </row>
    <row r="121" spans="1:6" x14ac:dyDescent="0.2">
      <c r="A121" s="115">
        <v>9</v>
      </c>
      <c r="B121" s="116" t="s">
        <v>121</v>
      </c>
      <c r="C121" s="133">
        <v>370</v>
      </c>
      <c r="D121" s="133">
        <v>368</v>
      </c>
      <c r="E121" s="133">
        <f t="shared" si="16"/>
        <v>-2</v>
      </c>
      <c r="F121" s="114">
        <f t="shared" si="17"/>
        <v>-5.4054054054054057E-3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29383</v>
      </c>
      <c r="D124" s="134">
        <f>SUM(D113:D123)</f>
        <v>29710</v>
      </c>
      <c r="E124" s="134">
        <f t="shared" si="16"/>
        <v>327</v>
      </c>
      <c r="F124" s="120">
        <f t="shared" si="17"/>
        <v>1.1128884048599531E-2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56763</v>
      </c>
      <c r="D126" s="133">
        <v>58334</v>
      </c>
      <c r="E126" s="133">
        <f t="shared" ref="E126:E137" si="18">D126-C126</f>
        <v>1571</v>
      </c>
      <c r="F126" s="114">
        <f t="shared" ref="F126:F137" si="19">IF(C126=0,0,E126/C126)</f>
        <v>2.7676479396790164E-2</v>
      </c>
    </row>
    <row r="127" spans="1:6" x14ac:dyDescent="0.2">
      <c r="A127" s="115">
        <v>2</v>
      </c>
      <c r="B127" s="116" t="s">
        <v>114</v>
      </c>
      <c r="C127" s="133">
        <v>14543</v>
      </c>
      <c r="D127" s="133">
        <v>16975</v>
      </c>
      <c r="E127" s="133">
        <f t="shared" si="18"/>
        <v>2432</v>
      </c>
      <c r="F127" s="114">
        <f t="shared" si="19"/>
        <v>0.16722821976208485</v>
      </c>
    </row>
    <row r="128" spans="1:6" x14ac:dyDescent="0.2">
      <c r="A128" s="115">
        <v>3</v>
      </c>
      <c r="B128" s="116" t="s">
        <v>115</v>
      </c>
      <c r="C128" s="133">
        <v>34953</v>
      </c>
      <c r="D128" s="133">
        <v>39669</v>
      </c>
      <c r="E128" s="133">
        <f t="shared" si="18"/>
        <v>4716</v>
      </c>
      <c r="F128" s="114">
        <f t="shared" si="19"/>
        <v>0.13492404085486223</v>
      </c>
    </row>
    <row r="129" spans="1:6" x14ac:dyDescent="0.2">
      <c r="A129" s="115">
        <v>4</v>
      </c>
      <c r="B129" s="116" t="s">
        <v>116</v>
      </c>
      <c r="C129" s="133">
        <v>4240</v>
      </c>
      <c r="D129" s="133">
        <v>0</v>
      </c>
      <c r="E129" s="133">
        <f t="shared" si="18"/>
        <v>-4240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437</v>
      </c>
      <c r="D130" s="133">
        <v>498</v>
      </c>
      <c r="E130" s="133">
        <f t="shared" si="18"/>
        <v>61</v>
      </c>
      <c r="F130" s="114">
        <f t="shared" si="19"/>
        <v>0.13958810068649885</v>
      </c>
    </row>
    <row r="131" spans="1:6" x14ac:dyDescent="0.2">
      <c r="A131" s="115">
        <v>6</v>
      </c>
      <c r="B131" s="116" t="s">
        <v>118</v>
      </c>
      <c r="C131" s="133">
        <v>44986</v>
      </c>
      <c r="D131" s="133">
        <v>43179</v>
      </c>
      <c r="E131" s="133">
        <f t="shared" si="18"/>
        <v>-1807</v>
      </c>
      <c r="F131" s="114">
        <f t="shared" si="19"/>
        <v>-4.0168052282932465E-2</v>
      </c>
    </row>
    <row r="132" spans="1:6" x14ac:dyDescent="0.2">
      <c r="A132" s="115">
        <v>7</v>
      </c>
      <c r="B132" s="116" t="s">
        <v>119</v>
      </c>
      <c r="C132" s="133">
        <v>29964</v>
      </c>
      <c r="D132" s="133">
        <v>27018</v>
      </c>
      <c r="E132" s="133">
        <f t="shared" si="18"/>
        <v>-2946</v>
      </c>
      <c r="F132" s="114">
        <f t="shared" si="19"/>
        <v>-9.8317981577893468E-2</v>
      </c>
    </row>
    <row r="133" spans="1:6" x14ac:dyDescent="0.2">
      <c r="A133" s="115">
        <v>8</v>
      </c>
      <c r="B133" s="116" t="s">
        <v>120</v>
      </c>
      <c r="C133" s="133">
        <v>3715</v>
      </c>
      <c r="D133" s="133">
        <v>2745</v>
      </c>
      <c r="E133" s="133">
        <f t="shared" si="18"/>
        <v>-970</v>
      </c>
      <c r="F133" s="114">
        <f t="shared" si="19"/>
        <v>-0.2611036339165545</v>
      </c>
    </row>
    <row r="134" spans="1:6" x14ac:dyDescent="0.2">
      <c r="A134" s="115">
        <v>9</v>
      </c>
      <c r="B134" s="116" t="s">
        <v>121</v>
      </c>
      <c r="C134" s="133">
        <v>4577</v>
      </c>
      <c r="D134" s="133">
        <v>4942</v>
      </c>
      <c r="E134" s="133">
        <f t="shared" si="18"/>
        <v>365</v>
      </c>
      <c r="F134" s="114">
        <f t="shared" si="19"/>
        <v>7.9746558881363339E-2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194178</v>
      </c>
      <c r="D137" s="134">
        <f>SUM(D126:D136)</f>
        <v>193360</v>
      </c>
      <c r="E137" s="134">
        <f t="shared" si="18"/>
        <v>-818</v>
      </c>
      <c r="F137" s="120">
        <f t="shared" si="19"/>
        <v>-4.2126296490848604E-3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5994603</v>
      </c>
      <c r="D142" s="113">
        <v>6109952</v>
      </c>
      <c r="E142" s="113">
        <f t="shared" ref="E142:E153" si="20">D142-C142</f>
        <v>115349</v>
      </c>
      <c r="F142" s="114">
        <f t="shared" ref="F142:F153" si="21">IF(C142=0,0,E142/C142)</f>
        <v>1.9242141639738277E-2</v>
      </c>
    </row>
    <row r="143" spans="1:6" x14ac:dyDescent="0.2">
      <c r="A143" s="115">
        <v>2</v>
      </c>
      <c r="B143" s="116" t="s">
        <v>114</v>
      </c>
      <c r="C143" s="113">
        <v>1544716</v>
      </c>
      <c r="D143" s="113">
        <v>2126203</v>
      </c>
      <c r="E143" s="113">
        <f t="shared" si="20"/>
        <v>581487</v>
      </c>
      <c r="F143" s="114">
        <f t="shared" si="21"/>
        <v>0.37643618632810172</v>
      </c>
    </row>
    <row r="144" spans="1:6" x14ac:dyDescent="0.2">
      <c r="A144" s="115">
        <v>3</v>
      </c>
      <c r="B144" s="116" t="s">
        <v>115</v>
      </c>
      <c r="C144" s="113">
        <v>11395844</v>
      </c>
      <c r="D144" s="113">
        <v>15145449</v>
      </c>
      <c r="E144" s="113">
        <f t="shared" si="20"/>
        <v>3749605</v>
      </c>
      <c r="F144" s="114">
        <f t="shared" si="21"/>
        <v>0.32903267191091767</v>
      </c>
    </row>
    <row r="145" spans="1:6" x14ac:dyDescent="0.2">
      <c r="A145" s="115">
        <v>4</v>
      </c>
      <c r="B145" s="116" t="s">
        <v>116</v>
      </c>
      <c r="C145" s="113">
        <v>1591944</v>
      </c>
      <c r="D145" s="113">
        <v>0</v>
      </c>
      <c r="E145" s="113">
        <f t="shared" si="20"/>
        <v>-1591944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153258</v>
      </c>
      <c r="D146" s="113">
        <v>155410</v>
      </c>
      <c r="E146" s="113">
        <f t="shared" si="20"/>
        <v>2152</v>
      </c>
      <c r="F146" s="114">
        <f t="shared" si="21"/>
        <v>1.4041681347792611E-2</v>
      </c>
    </row>
    <row r="147" spans="1:6" x14ac:dyDescent="0.2">
      <c r="A147" s="115">
        <v>6</v>
      </c>
      <c r="B147" s="116" t="s">
        <v>118</v>
      </c>
      <c r="C147" s="113">
        <v>6222781</v>
      </c>
      <c r="D147" s="113">
        <v>7028198</v>
      </c>
      <c r="E147" s="113">
        <f t="shared" si="20"/>
        <v>805417</v>
      </c>
      <c r="F147" s="114">
        <f t="shared" si="21"/>
        <v>0.12943039454546126</v>
      </c>
    </row>
    <row r="148" spans="1:6" x14ac:dyDescent="0.2">
      <c r="A148" s="115">
        <v>7</v>
      </c>
      <c r="B148" s="116" t="s">
        <v>119</v>
      </c>
      <c r="C148" s="113">
        <v>4283859</v>
      </c>
      <c r="D148" s="113">
        <v>4348206</v>
      </c>
      <c r="E148" s="113">
        <f t="shared" si="20"/>
        <v>64347</v>
      </c>
      <c r="F148" s="114">
        <f t="shared" si="21"/>
        <v>1.5020802505404589E-2</v>
      </c>
    </row>
    <row r="149" spans="1:6" x14ac:dyDescent="0.2">
      <c r="A149" s="115">
        <v>8</v>
      </c>
      <c r="B149" s="116" t="s">
        <v>120</v>
      </c>
      <c r="C149" s="113">
        <v>510541</v>
      </c>
      <c r="D149" s="113">
        <v>492976</v>
      </c>
      <c r="E149" s="113">
        <f t="shared" si="20"/>
        <v>-17565</v>
      </c>
      <c r="F149" s="114">
        <f t="shared" si="21"/>
        <v>-3.4404680525168402E-2</v>
      </c>
    </row>
    <row r="150" spans="1:6" x14ac:dyDescent="0.2">
      <c r="A150" s="115">
        <v>9</v>
      </c>
      <c r="B150" s="116" t="s">
        <v>121</v>
      </c>
      <c r="C150" s="113">
        <v>2751561</v>
      </c>
      <c r="D150" s="113">
        <v>3037565</v>
      </c>
      <c r="E150" s="113">
        <f t="shared" si="20"/>
        <v>286004</v>
      </c>
      <c r="F150" s="114">
        <f t="shared" si="21"/>
        <v>0.10394245302938949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34449107</v>
      </c>
      <c r="D153" s="119">
        <f>SUM(D142:D152)</f>
        <v>38443959</v>
      </c>
      <c r="E153" s="119">
        <f t="shared" si="20"/>
        <v>3994852</v>
      </c>
      <c r="F153" s="120">
        <f t="shared" si="21"/>
        <v>0.11596387679947698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1142715</v>
      </c>
      <c r="D155" s="113">
        <v>992011</v>
      </c>
      <c r="E155" s="113">
        <f t="shared" ref="E155:E166" si="22">D155-C155</f>
        <v>-150704</v>
      </c>
      <c r="F155" s="114">
        <f t="shared" ref="F155:F166" si="23">IF(C155=0,0,E155/C155)</f>
        <v>-0.13188240287385744</v>
      </c>
    </row>
    <row r="156" spans="1:6" x14ac:dyDescent="0.2">
      <c r="A156" s="115">
        <v>2</v>
      </c>
      <c r="B156" s="116" t="s">
        <v>114</v>
      </c>
      <c r="C156" s="113">
        <v>322067</v>
      </c>
      <c r="D156" s="113">
        <v>385123</v>
      </c>
      <c r="E156" s="113">
        <f t="shared" si="22"/>
        <v>63056</v>
      </c>
      <c r="F156" s="114">
        <f t="shared" si="23"/>
        <v>0.19578534901123057</v>
      </c>
    </row>
    <row r="157" spans="1:6" x14ac:dyDescent="0.2">
      <c r="A157" s="115">
        <v>3</v>
      </c>
      <c r="B157" s="116" t="s">
        <v>115</v>
      </c>
      <c r="C157" s="113">
        <v>2491669</v>
      </c>
      <c r="D157" s="113">
        <v>3193803</v>
      </c>
      <c r="E157" s="113">
        <f t="shared" si="22"/>
        <v>702134</v>
      </c>
      <c r="F157" s="114">
        <f t="shared" si="23"/>
        <v>0.28179264581290692</v>
      </c>
    </row>
    <row r="158" spans="1:6" x14ac:dyDescent="0.2">
      <c r="A158" s="115">
        <v>4</v>
      </c>
      <c r="B158" s="116" t="s">
        <v>116</v>
      </c>
      <c r="C158" s="113">
        <v>203246</v>
      </c>
      <c r="D158" s="113">
        <v>0</v>
      </c>
      <c r="E158" s="113">
        <f t="shared" si="22"/>
        <v>-203246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43240</v>
      </c>
      <c r="D159" s="113">
        <v>47556</v>
      </c>
      <c r="E159" s="113">
        <f t="shared" si="22"/>
        <v>4316</v>
      </c>
      <c r="F159" s="114">
        <f t="shared" si="23"/>
        <v>9.9814986123959296E-2</v>
      </c>
    </row>
    <row r="160" spans="1:6" x14ac:dyDescent="0.2">
      <c r="A160" s="115">
        <v>6</v>
      </c>
      <c r="B160" s="116" t="s">
        <v>118</v>
      </c>
      <c r="C160" s="113">
        <v>2090180</v>
      </c>
      <c r="D160" s="113">
        <v>2908516</v>
      </c>
      <c r="E160" s="113">
        <f t="shared" si="22"/>
        <v>818336</v>
      </c>
      <c r="F160" s="114">
        <f t="shared" si="23"/>
        <v>0.39151460639753516</v>
      </c>
    </row>
    <row r="161" spans="1:6" x14ac:dyDescent="0.2">
      <c r="A161" s="115">
        <v>7</v>
      </c>
      <c r="B161" s="116" t="s">
        <v>119</v>
      </c>
      <c r="C161" s="113">
        <v>1360924</v>
      </c>
      <c r="D161" s="113">
        <v>1303640</v>
      </c>
      <c r="E161" s="113">
        <f t="shared" si="22"/>
        <v>-57284</v>
      </c>
      <c r="F161" s="114">
        <f t="shared" si="23"/>
        <v>-4.2091990441788081E-2</v>
      </c>
    </row>
    <row r="162" spans="1:6" x14ac:dyDescent="0.2">
      <c r="A162" s="115">
        <v>8</v>
      </c>
      <c r="B162" s="116" t="s">
        <v>120</v>
      </c>
      <c r="C162" s="113">
        <v>510541</v>
      </c>
      <c r="D162" s="113">
        <v>492976</v>
      </c>
      <c r="E162" s="113">
        <f t="shared" si="22"/>
        <v>-17565</v>
      </c>
      <c r="F162" s="114">
        <f t="shared" si="23"/>
        <v>-3.4404680525168402E-2</v>
      </c>
    </row>
    <row r="163" spans="1:6" x14ac:dyDescent="0.2">
      <c r="A163" s="115">
        <v>9</v>
      </c>
      <c r="B163" s="116" t="s">
        <v>121</v>
      </c>
      <c r="C163" s="113">
        <v>17844</v>
      </c>
      <c r="D163" s="113">
        <v>34272</v>
      </c>
      <c r="E163" s="113">
        <f t="shared" si="22"/>
        <v>16428</v>
      </c>
      <c r="F163" s="114">
        <f t="shared" si="23"/>
        <v>0.92064559515803635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8182426</v>
      </c>
      <c r="D166" s="119">
        <f>SUM(D155:D165)</f>
        <v>9357897</v>
      </c>
      <c r="E166" s="119">
        <f t="shared" si="22"/>
        <v>1175471</v>
      </c>
      <c r="F166" s="120">
        <f t="shared" si="23"/>
        <v>0.14365800558416295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4968</v>
      </c>
      <c r="D168" s="133">
        <v>4533</v>
      </c>
      <c r="E168" s="133">
        <f t="shared" ref="E168:E179" si="24">D168-C168</f>
        <v>-435</v>
      </c>
      <c r="F168" s="114">
        <f t="shared" ref="F168:F179" si="25">IF(C168=0,0,E168/C168)</f>
        <v>-8.7560386473429952E-2</v>
      </c>
    </row>
    <row r="169" spans="1:6" x14ac:dyDescent="0.2">
      <c r="A169" s="115">
        <v>2</v>
      </c>
      <c r="B169" s="116" t="s">
        <v>114</v>
      </c>
      <c r="C169" s="133">
        <v>1270</v>
      </c>
      <c r="D169" s="133">
        <v>1554</v>
      </c>
      <c r="E169" s="133">
        <f t="shared" si="24"/>
        <v>284</v>
      </c>
      <c r="F169" s="114">
        <f t="shared" si="25"/>
        <v>0.22362204724409449</v>
      </c>
    </row>
    <row r="170" spans="1:6" x14ac:dyDescent="0.2">
      <c r="A170" s="115">
        <v>3</v>
      </c>
      <c r="B170" s="116" t="s">
        <v>115</v>
      </c>
      <c r="C170" s="133">
        <v>11612</v>
      </c>
      <c r="D170" s="133">
        <v>13957</v>
      </c>
      <c r="E170" s="133">
        <f t="shared" si="24"/>
        <v>2345</v>
      </c>
      <c r="F170" s="114">
        <f t="shared" si="25"/>
        <v>0.20194626248708233</v>
      </c>
    </row>
    <row r="171" spans="1:6" x14ac:dyDescent="0.2">
      <c r="A171" s="115">
        <v>4</v>
      </c>
      <c r="B171" s="116" t="s">
        <v>116</v>
      </c>
      <c r="C171" s="133">
        <v>1696</v>
      </c>
      <c r="D171" s="133">
        <v>0</v>
      </c>
      <c r="E171" s="133">
        <f t="shared" si="24"/>
        <v>-1696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133</v>
      </c>
      <c r="D172" s="133">
        <v>139</v>
      </c>
      <c r="E172" s="133">
        <f t="shared" si="24"/>
        <v>6</v>
      </c>
      <c r="F172" s="114">
        <f t="shared" si="25"/>
        <v>4.5112781954887216E-2</v>
      </c>
    </row>
    <row r="173" spans="1:6" x14ac:dyDescent="0.2">
      <c r="A173" s="115">
        <v>6</v>
      </c>
      <c r="B173" s="116" t="s">
        <v>118</v>
      </c>
      <c r="C173" s="133">
        <v>5680</v>
      </c>
      <c r="D173" s="133">
        <v>5674</v>
      </c>
      <c r="E173" s="133">
        <f t="shared" si="24"/>
        <v>-6</v>
      </c>
      <c r="F173" s="114">
        <f t="shared" si="25"/>
        <v>-1.056338028169014E-3</v>
      </c>
    </row>
    <row r="174" spans="1:6" x14ac:dyDescent="0.2">
      <c r="A174" s="115">
        <v>7</v>
      </c>
      <c r="B174" s="116" t="s">
        <v>119</v>
      </c>
      <c r="C174" s="133">
        <v>3892</v>
      </c>
      <c r="D174" s="133">
        <v>3619</v>
      </c>
      <c r="E174" s="133">
        <f t="shared" si="24"/>
        <v>-273</v>
      </c>
      <c r="F174" s="114">
        <f t="shared" si="25"/>
        <v>-7.0143884892086325E-2</v>
      </c>
    </row>
    <row r="175" spans="1:6" x14ac:dyDescent="0.2">
      <c r="A175" s="115">
        <v>8</v>
      </c>
      <c r="B175" s="116" t="s">
        <v>120</v>
      </c>
      <c r="C175" s="133">
        <v>513</v>
      </c>
      <c r="D175" s="133">
        <v>455</v>
      </c>
      <c r="E175" s="133">
        <f t="shared" si="24"/>
        <v>-58</v>
      </c>
      <c r="F175" s="114">
        <f t="shared" si="25"/>
        <v>-0.11306042884990253</v>
      </c>
    </row>
    <row r="176" spans="1:6" x14ac:dyDescent="0.2">
      <c r="A176" s="115">
        <v>9</v>
      </c>
      <c r="B176" s="116" t="s">
        <v>121</v>
      </c>
      <c r="C176" s="133">
        <v>2478</v>
      </c>
      <c r="D176" s="133">
        <v>2651</v>
      </c>
      <c r="E176" s="133">
        <f t="shared" si="24"/>
        <v>173</v>
      </c>
      <c r="F176" s="114">
        <f t="shared" si="25"/>
        <v>6.9814366424535909E-2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32242</v>
      </c>
      <c r="D179" s="134">
        <f>SUM(D168:D178)</f>
        <v>32582</v>
      </c>
      <c r="E179" s="134">
        <f t="shared" si="24"/>
        <v>340</v>
      </c>
      <c r="F179" s="120">
        <f t="shared" si="25"/>
        <v>1.0545251535264562E-2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20544785</v>
      </c>
      <c r="D15" s="157">
        <v>21078367</v>
      </c>
      <c r="E15" s="157">
        <f>+D15-C15</f>
        <v>533582</v>
      </c>
      <c r="F15" s="161">
        <f>IF(C15=0,0,E15/C15)</f>
        <v>2.5971651686790588E-2</v>
      </c>
    </row>
    <row r="16" spans="1:6" ht="15" customHeight="1" x14ac:dyDescent="0.2">
      <c r="A16" s="147">
        <v>2</v>
      </c>
      <c r="B16" s="160" t="s">
        <v>157</v>
      </c>
      <c r="C16" s="157">
        <v>320735</v>
      </c>
      <c r="D16" s="157">
        <v>348650</v>
      </c>
      <c r="E16" s="157">
        <f>+D16-C16</f>
        <v>27915</v>
      </c>
      <c r="F16" s="161">
        <f>IF(C16=0,0,E16/C16)</f>
        <v>8.7034467706985516E-2</v>
      </c>
    </row>
    <row r="17" spans="1:6" ht="15" customHeight="1" x14ac:dyDescent="0.2">
      <c r="A17" s="147">
        <v>3</v>
      </c>
      <c r="B17" s="160" t="s">
        <v>158</v>
      </c>
      <c r="C17" s="157">
        <v>34060540</v>
      </c>
      <c r="D17" s="157">
        <v>33298451</v>
      </c>
      <c r="E17" s="157">
        <f>+D17-C17</f>
        <v>-762089</v>
      </c>
      <c r="F17" s="161">
        <f>IF(C17=0,0,E17/C17)</f>
        <v>-2.2374542505785286E-2</v>
      </c>
    </row>
    <row r="18" spans="1:6" ht="15.75" customHeight="1" x14ac:dyDescent="0.25">
      <c r="A18" s="147"/>
      <c r="B18" s="162" t="s">
        <v>159</v>
      </c>
      <c r="C18" s="158">
        <f>SUM(C15:C17)</f>
        <v>54926060</v>
      </c>
      <c r="D18" s="158">
        <f>SUM(D15:D17)</f>
        <v>54725468</v>
      </c>
      <c r="E18" s="158">
        <f>+D18-C18</f>
        <v>-200592</v>
      </c>
      <c r="F18" s="159">
        <f>IF(C18=0,0,E18/C18)</f>
        <v>-3.6520369383858955E-3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5639912</v>
      </c>
      <c r="D21" s="157">
        <v>5707940</v>
      </c>
      <c r="E21" s="157">
        <f>+D21-C21</f>
        <v>68028</v>
      </c>
      <c r="F21" s="161">
        <f>IF(C21=0,0,E21/C21)</f>
        <v>1.2061890327366809E-2</v>
      </c>
    </row>
    <row r="22" spans="1:6" ht="15" customHeight="1" x14ac:dyDescent="0.2">
      <c r="A22" s="147">
        <v>2</v>
      </c>
      <c r="B22" s="160" t="s">
        <v>162</v>
      </c>
      <c r="C22" s="157">
        <v>88048</v>
      </c>
      <c r="D22" s="157">
        <v>94413</v>
      </c>
      <c r="E22" s="157">
        <f>+D22-C22</f>
        <v>6365</v>
      </c>
      <c r="F22" s="161">
        <f>IF(C22=0,0,E22/C22)</f>
        <v>7.2290114483009274E-2</v>
      </c>
    </row>
    <row r="23" spans="1:6" ht="15" customHeight="1" x14ac:dyDescent="0.2">
      <c r="A23" s="147">
        <v>3</v>
      </c>
      <c r="B23" s="160" t="s">
        <v>163</v>
      </c>
      <c r="C23" s="157">
        <v>9350229</v>
      </c>
      <c r="D23" s="157">
        <v>9017091</v>
      </c>
      <c r="E23" s="157">
        <f>+D23-C23</f>
        <v>-333138</v>
      </c>
      <c r="F23" s="161">
        <f>IF(C23=0,0,E23/C23)</f>
        <v>-3.5628859999043874E-2</v>
      </c>
    </row>
    <row r="24" spans="1:6" ht="15.75" customHeight="1" x14ac:dyDescent="0.25">
      <c r="A24" s="147"/>
      <c r="B24" s="162" t="s">
        <v>164</v>
      </c>
      <c r="C24" s="158">
        <f>SUM(C21:C23)</f>
        <v>15078189</v>
      </c>
      <c r="D24" s="158">
        <f>SUM(D21:D23)</f>
        <v>14819444</v>
      </c>
      <c r="E24" s="158">
        <f>+D24-C24</f>
        <v>-258745</v>
      </c>
      <c r="F24" s="159">
        <f>IF(C24=0,0,E24/C24)</f>
        <v>-1.7160217317875509E-2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379722</v>
      </c>
      <c r="D27" s="157">
        <v>399022</v>
      </c>
      <c r="E27" s="157">
        <f>+D27-C27</f>
        <v>19300</v>
      </c>
      <c r="F27" s="161">
        <f>IF(C27=0,0,E27/C27)</f>
        <v>5.0826657396727079E-2</v>
      </c>
    </row>
    <row r="28" spans="1:6" ht="15" customHeight="1" x14ac:dyDescent="0.2">
      <c r="A28" s="147">
        <v>2</v>
      </c>
      <c r="B28" s="160" t="s">
        <v>167</v>
      </c>
      <c r="C28" s="157">
        <v>7870257</v>
      </c>
      <c r="D28" s="157">
        <v>9064475</v>
      </c>
      <c r="E28" s="157">
        <f>+D28-C28</f>
        <v>1194218</v>
      </c>
      <c r="F28" s="161">
        <f>IF(C28=0,0,E28/C28)</f>
        <v>0.15173811986063479</v>
      </c>
    </row>
    <row r="29" spans="1:6" ht="15" customHeight="1" x14ac:dyDescent="0.2">
      <c r="A29" s="147">
        <v>3</v>
      </c>
      <c r="B29" s="160" t="s">
        <v>168</v>
      </c>
      <c r="C29" s="157">
        <v>641547</v>
      </c>
      <c r="D29" s="157">
        <v>795267</v>
      </c>
      <c r="E29" s="157">
        <f>+D29-C29</f>
        <v>153720</v>
      </c>
      <c r="F29" s="161">
        <f>IF(C29=0,0,E29/C29)</f>
        <v>0.23960832175974636</v>
      </c>
    </row>
    <row r="30" spans="1:6" ht="15.75" customHeight="1" x14ac:dyDescent="0.25">
      <c r="A30" s="147"/>
      <c r="B30" s="162" t="s">
        <v>169</v>
      </c>
      <c r="C30" s="158">
        <f>SUM(C27:C29)</f>
        <v>8891526</v>
      </c>
      <c r="D30" s="158">
        <f>SUM(D27:D29)</f>
        <v>10258764</v>
      </c>
      <c r="E30" s="158">
        <f>+D30-C30</f>
        <v>1367238</v>
      </c>
      <c r="F30" s="159">
        <f>IF(C30=0,0,E30/C30)</f>
        <v>0.15376865568407494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10584242</v>
      </c>
      <c r="D33" s="157">
        <v>10660064</v>
      </c>
      <c r="E33" s="157">
        <f>+D33-C33</f>
        <v>75822</v>
      </c>
      <c r="F33" s="161">
        <f>IF(C33=0,0,E33/C33)</f>
        <v>7.1636684044072314E-3</v>
      </c>
    </row>
    <row r="34" spans="1:6" ht="15" customHeight="1" x14ac:dyDescent="0.2">
      <c r="A34" s="147">
        <v>2</v>
      </c>
      <c r="B34" s="160" t="s">
        <v>173</v>
      </c>
      <c r="C34" s="157">
        <v>7350724</v>
      </c>
      <c r="D34" s="157">
        <v>7379776</v>
      </c>
      <c r="E34" s="157">
        <f>+D34-C34</f>
        <v>29052</v>
      </c>
      <c r="F34" s="161">
        <f>IF(C34=0,0,E34/C34)</f>
        <v>3.95226374980206E-3</v>
      </c>
    </row>
    <row r="35" spans="1:6" ht="15.75" customHeight="1" x14ac:dyDescent="0.25">
      <c r="A35" s="147"/>
      <c r="B35" s="162" t="s">
        <v>174</v>
      </c>
      <c r="C35" s="158">
        <f>SUM(C33:C34)</f>
        <v>17934966</v>
      </c>
      <c r="D35" s="158">
        <f>SUM(D33:D34)</f>
        <v>18039840</v>
      </c>
      <c r="E35" s="158">
        <f>+D35-C35</f>
        <v>104874</v>
      </c>
      <c r="F35" s="159">
        <f>IF(C35=0,0,E35/C35)</f>
        <v>5.8474602070614466E-3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2160045</v>
      </c>
      <c r="D38" s="157">
        <v>2132010</v>
      </c>
      <c r="E38" s="157">
        <f>+D38-C38</f>
        <v>-28035</v>
      </c>
      <c r="F38" s="161">
        <f>IF(C38=0,0,E38/C38)</f>
        <v>-1.2978896272994313E-2</v>
      </c>
    </row>
    <row r="39" spans="1:6" ht="15" customHeight="1" x14ac:dyDescent="0.2">
      <c r="A39" s="147">
        <v>2</v>
      </c>
      <c r="B39" s="160" t="s">
        <v>178</v>
      </c>
      <c r="C39" s="157">
        <v>4105937</v>
      </c>
      <c r="D39" s="157">
        <v>4177139</v>
      </c>
      <c r="E39" s="157">
        <f>+D39-C39</f>
        <v>71202</v>
      </c>
      <c r="F39" s="161">
        <f>IF(C39=0,0,E39/C39)</f>
        <v>1.7341230515714196E-2</v>
      </c>
    </row>
    <row r="40" spans="1:6" ht="15" customHeight="1" x14ac:dyDescent="0.2">
      <c r="A40" s="147">
        <v>3</v>
      </c>
      <c r="B40" s="160" t="s">
        <v>179</v>
      </c>
      <c r="C40" s="157">
        <v>54594</v>
      </c>
      <c r="D40" s="157">
        <v>54594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6320576</v>
      </c>
      <c r="D41" s="158">
        <f>SUM(D38:D40)</f>
        <v>6363743</v>
      </c>
      <c r="E41" s="158">
        <f>+D41-C41</f>
        <v>43167</v>
      </c>
      <c r="F41" s="159">
        <f>IF(C41=0,0,E41/C41)</f>
        <v>6.8295990745147282E-3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6470291</v>
      </c>
      <c r="D44" s="157">
        <v>0</v>
      </c>
      <c r="E44" s="157">
        <f>+D44-C44</f>
        <v>-6470291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1641972</v>
      </c>
      <c r="D47" s="157">
        <v>1421576</v>
      </c>
      <c r="E47" s="157">
        <f>+D47-C47</f>
        <v>-220396</v>
      </c>
      <c r="F47" s="161">
        <f>IF(C47=0,0,E47/C47)</f>
        <v>-0.13422640580959969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-399676</v>
      </c>
      <c r="D50" s="157">
        <v>-168825</v>
      </c>
      <c r="E50" s="157">
        <f>+D50-C50</f>
        <v>230851</v>
      </c>
      <c r="F50" s="161">
        <f>IF(C50=0,0,E50/C50)</f>
        <v>-0.57759535223531056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59970</v>
      </c>
      <c r="D53" s="157">
        <v>69074</v>
      </c>
      <c r="E53" s="157">
        <f t="shared" ref="E53:E59" si="0">+D53-C53</f>
        <v>9104</v>
      </c>
      <c r="F53" s="161">
        <f t="shared" ref="F53:F59" si="1">IF(C53=0,0,E53/C53)</f>
        <v>0.15180923795230949</v>
      </c>
    </row>
    <row r="54" spans="1:6" ht="15" customHeight="1" x14ac:dyDescent="0.2">
      <c r="A54" s="147">
        <v>2</v>
      </c>
      <c r="B54" s="160" t="s">
        <v>189</v>
      </c>
      <c r="C54" s="157">
        <v>683094</v>
      </c>
      <c r="D54" s="157">
        <v>695677</v>
      </c>
      <c r="E54" s="157">
        <f t="shared" si="0"/>
        <v>12583</v>
      </c>
      <c r="F54" s="161">
        <f t="shared" si="1"/>
        <v>1.8420598043607468E-2</v>
      </c>
    </row>
    <row r="55" spans="1:6" ht="15" customHeight="1" x14ac:dyDescent="0.2">
      <c r="A55" s="147">
        <v>3</v>
      </c>
      <c r="B55" s="160" t="s">
        <v>190</v>
      </c>
      <c r="C55" s="157">
        <v>5557</v>
      </c>
      <c r="D55" s="157">
        <v>12478</v>
      </c>
      <c r="E55" s="157">
        <f t="shared" si="0"/>
        <v>6921</v>
      </c>
      <c r="F55" s="161">
        <f t="shared" si="1"/>
        <v>1.2454561813928378</v>
      </c>
    </row>
    <row r="56" spans="1:6" ht="15" customHeight="1" x14ac:dyDescent="0.2">
      <c r="A56" s="147">
        <v>4</v>
      </c>
      <c r="B56" s="160" t="s">
        <v>191</v>
      </c>
      <c r="C56" s="157">
        <v>1460795</v>
      </c>
      <c r="D56" s="157">
        <v>1452433</v>
      </c>
      <c r="E56" s="157">
        <f t="shared" si="0"/>
        <v>-8362</v>
      </c>
      <c r="F56" s="161">
        <f t="shared" si="1"/>
        <v>-5.7242802720436472E-3</v>
      </c>
    </row>
    <row r="57" spans="1:6" ht="15" customHeight="1" x14ac:dyDescent="0.2">
      <c r="A57" s="147">
        <v>5</v>
      </c>
      <c r="B57" s="160" t="s">
        <v>192</v>
      </c>
      <c r="C57" s="157">
        <v>222485</v>
      </c>
      <c r="D57" s="157">
        <v>392335</v>
      </c>
      <c r="E57" s="157">
        <f t="shared" si="0"/>
        <v>169850</v>
      </c>
      <c r="F57" s="161">
        <f t="shared" si="1"/>
        <v>0.76342225318560797</v>
      </c>
    </row>
    <row r="58" spans="1:6" ht="15" customHeight="1" x14ac:dyDescent="0.2">
      <c r="A58" s="147">
        <v>6</v>
      </c>
      <c r="B58" s="160" t="s">
        <v>193</v>
      </c>
      <c r="C58" s="157">
        <v>184311</v>
      </c>
      <c r="D58" s="157">
        <v>37418</v>
      </c>
      <c r="E58" s="157">
        <f t="shared" si="0"/>
        <v>-146893</v>
      </c>
      <c r="F58" s="161">
        <f t="shared" si="1"/>
        <v>-0.7969844447699812</v>
      </c>
    </row>
    <row r="59" spans="1:6" ht="15.75" customHeight="1" x14ac:dyDescent="0.25">
      <c r="A59" s="147"/>
      <c r="B59" s="162" t="s">
        <v>194</v>
      </c>
      <c r="C59" s="158">
        <f>SUM(C53:C58)</f>
        <v>2616212</v>
      </c>
      <c r="D59" s="158">
        <f>SUM(D53:D58)</f>
        <v>2659415</v>
      </c>
      <c r="E59" s="158">
        <f t="shared" si="0"/>
        <v>43203</v>
      </c>
      <c r="F59" s="159">
        <f t="shared" si="1"/>
        <v>1.6513570001207852E-2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152353</v>
      </c>
      <c r="D62" s="157">
        <v>171312</v>
      </c>
      <c r="E62" s="157">
        <f t="shared" ref="E62:E90" si="2">+D62-C62</f>
        <v>18959</v>
      </c>
      <c r="F62" s="161">
        <f t="shared" ref="F62:F90" si="3">IF(C62=0,0,E62/C62)</f>
        <v>0.12444126469449239</v>
      </c>
    </row>
    <row r="63" spans="1:6" ht="15" customHeight="1" x14ac:dyDescent="0.2">
      <c r="A63" s="147">
        <v>2</v>
      </c>
      <c r="B63" s="160" t="s">
        <v>198</v>
      </c>
      <c r="C63" s="157">
        <v>756903</v>
      </c>
      <c r="D63" s="157">
        <v>807095</v>
      </c>
      <c r="E63" s="157">
        <f t="shared" si="2"/>
        <v>50192</v>
      </c>
      <c r="F63" s="161">
        <f t="shared" si="3"/>
        <v>6.6312327999756907E-2</v>
      </c>
    </row>
    <row r="64" spans="1:6" ht="15" customHeight="1" x14ac:dyDescent="0.2">
      <c r="A64" s="147">
        <v>3</v>
      </c>
      <c r="B64" s="160" t="s">
        <v>199</v>
      </c>
      <c r="C64" s="157">
        <v>1226968</v>
      </c>
      <c r="D64" s="157">
        <v>1770585</v>
      </c>
      <c r="E64" s="157">
        <f t="shared" si="2"/>
        <v>543617</v>
      </c>
      <c r="F64" s="161">
        <f t="shared" si="3"/>
        <v>0.44305719464566312</v>
      </c>
    </row>
    <row r="65" spans="1:6" ht="15" customHeight="1" x14ac:dyDescent="0.2">
      <c r="A65" s="147">
        <v>4</v>
      </c>
      <c r="B65" s="160" t="s">
        <v>200</v>
      </c>
      <c r="C65" s="157">
        <v>280608</v>
      </c>
      <c r="D65" s="157">
        <v>135537</v>
      </c>
      <c r="E65" s="157">
        <f t="shared" si="2"/>
        <v>-145071</v>
      </c>
      <c r="F65" s="161">
        <f t="shared" si="3"/>
        <v>-0.51698811152925073</v>
      </c>
    </row>
    <row r="66" spans="1:6" ht="15" customHeight="1" x14ac:dyDescent="0.2">
      <c r="A66" s="147">
        <v>5</v>
      </c>
      <c r="B66" s="160" t="s">
        <v>201</v>
      </c>
      <c r="C66" s="157">
        <v>1326236</v>
      </c>
      <c r="D66" s="157">
        <v>1261778</v>
      </c>
      <c r="E66" s="157">
        <f t="shared" si="2"/>
        <v>-64458</v>
      </c>
      <c r="F66" s="161">
        <f t="shared" si="3"/>
        <v>-4.8602209561495843E-2</v>
      </c>
    </row>
    <row r="67" spans="1:6" ht="15" customHeight="1" x14ac:dyDescent="0.2">
      <c r="A67" s="147">
        <v>6</v>
      </c>
      <c r="B67" s="160" t="s">
        <v>202</v>
      </c>
      <c r="C67" s="157">
        <v>905894</v>
      </c>
      <c r="D67" s="157">
        <v>799040</v>
      </c>
      <c r="E67" s="157">
        <f t="shared" si="2"/>
        <v>-106854</v>
      </c>
      <c r="F67" s="161">
        <f t="shared" si="3"/>
        <v>-0.11795419773174345</v>
      </c>
    </row>
    <row r="68" spans="1:6" ht="15" customHeight="1" x14ac:dyDescent="0.2">
      <c r="A68" s="147">
        <v>7</v>
      </c>
      <c r="B68" s="160" t="s">
        <v>203</v>
      </c>
      <c r="C68" s="157">
        <v>733462</v>
      </c>
      <c r="D68" s="157">
        <v>331185</v>
      </c>
      <c r="E68" s="157">
        <f t="shared" si="2"/>
        <v>-402277</v>
      </c>
      <c r="F68" s="161">
        <f t="shared" si="3"/>
        <v>-0.5484633150729008</v>
      </c>
    </row>
    <row r="69" spans="1:6" ht="15" customHeight="1" x14ac:dyDescent="0.2">
      <c r="A69" s="147">
        <v>8</v>
      </c>
      <c r="B69" s="160" t="s">
        <v>204</v>
      </c>
      <c r="C69" s="157">
        <v>1341717</v>
      </c>
      <c r="D69" s="157">
        <v>1351873</v>
      </c>
      <c r="E69" s="157">
        <f t="shared" si="2"/>
        <v>10156</v>
      </c>
      <c r="F69" s="161">
        <f t="shared" si="3"/>
        <v>7.5694054707512838E-3</v>
      </c>
    </row>
    <row r="70" spans="1:6" ht="15" customHeight="1" x14ac:dyDescent="0.2">
      <c r="A70" s="147">
        <v>9</v>
      </c>
      <c r="B70" s="160" t="s">
        <v>205</v>
      </c>
      <c r="C70" s="157">
        <v>241530</v>
      </c>
      <c r="D70" s="157">
        <v>186771</v>
      </c>
      <c r="E70" s="157">
        <f t="shared" si="2"/>
        <v>-54759</v>
      </c>
      <c r="F70" s="161">
        <f t="shared" si="3"/>
        <v>-0.22671717799031177</v>
      </c>
    </row>
    <row r="71" spans="1:6" ht="15" customHeight="1" x14ac:dyDescent="0.2">
      <c r="A71" s="147">
        <v>10</v>
      </c>
      <c r="B71" s="160" t="s">
        <v>206</v>
      </c>
      <c r="C71" s="157">
        <v>1433</v>
      </c>
      <c r="D71" s="157">
        <v>513</v>
      </c>
      <c r="E71" s="157">
        <f t="shared" si="2"/>
        <v>-920</v>
      </c>
      <c r="F71" s="161">
        <f t="shared" si="3"/>
        <v>-0.6420097697138869</v>
      </c>
    </row>
    <row r="72" spans="1:6" ht="15" customHeight="1" x14ac:dyDescent="0.2">
      <c r="A72" s="147">
        <v>11</v>
      </c>
      <c r="B72" s="160" t="s">
        <v>207</v>
      </c>
      <c r="C72" s="157">
        <v>72985</v>
      </c>
      <c r="D72" s="157">
        <v>194997</v>
      </c>
      <c r="E72" s="157">
        <f t="shared" si="2"/>
        <v>122012</v>
      </c>
      <c r="F72" s="161">
        <f t="shared" si="3"/>
        <v>1.6717407686510928</v>
      </c>
    </row>
    <row r="73" spans="1:6" ht="15" customHeight="1" x14ac:dyDescent="0.2">
      <c r="A73" s="147">
        <v>12</v>
      </c>
      <c r="B73" s="160" t="s">
        <v>208</v>
      </c>
      <c r="C73" s="157">
        <v>227699</v>
      </c>
      <c r="D73" s="157">
        <v>434178</v>
      </c>
      <c r="E73" s="157">
        <f t="shared" si="2"/>
        <v>206479</v>
      </c>
      <c r="F73" s="161">
        <f t="shared" si="3"/>
        <v>0.90680679317871404</v>
      </c>
    </row>
    <row r="74" spans="1:6" ht="15" customHeight="1" x14ac:dyDescent="0.2">
      <c r="A74" s="147">
        <v>13</v>
      </c>
      <c r="B74" s="160" t="s">
        <v>209</v>
      </c>
      <c r="C74" s="157">
        <v>588</v>
      </c>
      <c r="D74" s="157">
        <v>2750</v>
      </c>
      <c r="E74" s="157">
        <f t="shared" si="2"/>
        <v>2162</v>
      </c>
      <c r="F74" s="161">
        <f t="shared" si="3"/>
        <v>3.6768707482993199</v>
      </c>
    </row>
    <row r="75" spans="1:6" ht="15" customHeight="1" x14ac:dyDescent="0.2">
      <c r="A75" s="147">
        <v>14</v>
      </c>
      <c r="B75" s="160" t="s">
        <v>210</v>
      </c>
      <c r="C75" s="157">
        <v>179786</v>
      </c>
      <c r="D75" s="157">
        <v>146268</v>
      </c>
      <c r="E75" s="157">
        <f t="shared" si="2"/>
        <v>-33518</v>
      </c>
      <c r="F75" s="161">
        <f t="shared" si="3"/>
        <v>-0.1864327589467478</v>
      </c>
    </row>
    <row r="76" spans="1:6" ht="15" customHeight="1" x14ac:dyDescent="0.2">
      <c r="A76" s="147">
        <v>15</v>
      </c>
      <c r="B76" s="160" t="s">
        <v>211</v>
      </c>
      <c r="C76" s="157">
        <v>851838</v>
      </c>
      <c r="D76" s="157">
        <v>864419</v>
      </c>
      <c r="E76" s="157">
        <f t="shared" si="2"/>
        <v>12581</v>
      </c>
      <c r="F76" s="161">
        <f t="shared" si="3"/>
        <v>1.4769240160687831E-2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1723852</v>
      </c>
      <c r="D78" s="157">
        <v>1960189</v>
      </c>
      <c r="E78" s="157">
        <f t="shared" si="2"/>
        <v>236337</v>
      </c>
      <c r="F78" s="161">
        <f t="shared" si="3"/>
        <v>0.13709819636488516</v>
      </c>
    </row>
    <row r="79" spans="1:6" ht="15" customHeight="1" x14ac:dyDescent="0.2">
      <c r="A79" s="147">
        <v>18</v>
      </c>
      <c r="B79" s="160" t="s">
        <v>214</v>
      </c>
      <c r="C79" s="157">
        <v>79946</v>
      </c>
      <c r="D79" s="157">
        <v>0</v>
      </c>
      <c r="E79" s="157">
        <f t="shared" si="2"/>
        <v>-79946</v>
      </c>
      <c r="F79" s="161">
        <f t="shared" si="3"/>
        <v>-1</v>
      </c>
    </row>
    <row r="80" spans="1:6" ht="15" customHeight="1" x14ac:dyDescent="0.2">
      <c r="A80" s="147">
        <v>19</v>
      </c>
      <c r="B80" s="160" t="s">
        <v>215</v>
      </c>
      <c r="C80" s="157">
        <v>694305</v>
      </c>
      <c r="D80" s="157">
        <v>895021</v>
      </c>
      <c r="E80" s="157">
        <f t="shared" si="2"/>
        <v>200716</v>
      </c>
      <c r="F80" s="161">
        <f t="shared" si="3"/>
        <v>0.28908908908908909</v>
      </c>
    </row>
    <row r="81" spans="1:6" ht="15" customHeight="1" x14ac:dyDescent="0.2">
      <c r="A81" s="147">
        <v>20</v>
      </c>
      <c r="B81" s="160" t="s">
        <v>216</v>
      </c>
      <c r="C81" s="157">
        <v>2360953</v>
      </c>
      <c r="D81" s="157">
        <v>1756306</v>
      </c>
      <c r="E81" s="157">
        <f t="shared" si="2"/>
        <v>-604647</v>
      </c>
      <c r="F81" s="161">
        <f t="shared" si="3"/>
        <v>-0.25610293809321916</v>
      </c>
    </row>
    <row r="82" spans="1:6" ht="15" customHeight="1" x14ac:dyDescent="0.2">
      <c r="A82" s="147">
        <v>21</v>
      </c>
      <c r="B82" s="160" t="s">
        <v>217</v>
      </c>
      <c r="C82" s="157">
        <v>1177987</v>
      </c>
      <c r="D82" s="157">
        <v>1569347</v>
      </c>
      <c r="E82" s="157">
        <f t="shared" si="2"/>
        <v>391360</v>
      </c>
      <c r="F82" s="161">
        <f t="shared" si="3"/>
        <v>0.33222777500940165</v>
      </c>
    </row>
    <row r="83" spans="1:6" ht="15" customHeight="1" x14ac:dyDescent="0.2">
      <c r="A83" s="147">
        <v>22</v>
      </c>
      <c r="B83" s="160" t="s">
        <v>218</v>
      </c>
      <c r="C83" s="157">
        <v>53159</v>
      </c>
      <c r="D83" s="157">
        <v>288697</v>
      </c>
      <c r="E83" s="157">
        <f t="shared" si="2"/>
        <v>235538</v>
      </c>
      <c r="F83" s="161">
        <f t="shared" si="3"/>
        <v>4.4308207453112365</v>
      </c>
    </row>
    <row r="84" spans="1:6" ht="15" customHeight="1" x14ac:dyDescent="0.2">
      <c r="A84" s="147">
        <v>23</v>
      </c>
      <c r="B84" s="160" t="s">
        <v>219</v>
      </c>
      <c r="C84" s="157">
        <v>104050</v>
      </c>
      <c r="D84" s="157">
        <v>103871</v>
      </c>
      <c r="E84" s="157">
        <f t="shared" si="2"/>
        <v>-179</v>
      </c>
      <c r="F84" s="161">
        <f t="shared" si="3"/>
        <v>-1.7203267659778951E-3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212486</v>
      </c>
      <c r="D86" s="157">
        <v>195988</v>
      </c>
      <c r="E86" s="157">
        <f t="shared" si="2"/>
        <v>-16498</v>
      </c>
      <c r="F86" s="161">
        <f t="shared" si="3"/>
        <v>-7.7642762346695787E-2</v>
      </c>
    </row>
    <row r="87" spans="1:6" ht="15" customHeight="1" x14ac:dyDescent="0.2">
      <c r="A87" s="147">
        <v>26</v>
      </c>
      <c r="B87" s="160" t="s">
        <v>222</v>
      </c>
      <c r="C87" s="157">
        <v>371186</v>
      </c>
      <c r="D87" s="157">
        <v>443956</v>
      </c>
      <c r="E87" s="157">
        <f t="shared" si="2"/>
        <v>72770</v>
      </c>
      <c r="F87" s="161">
        <f t="shared" si="3"/>
        <v>0.19604726471364761</v>
      </c>
    </row>
    <row r="88" spans="1:6" ht="15" customHeight="1" x14ac:dyDescent="0.2">
      <c r="A88" s="147">
        <v>27</v>
      </c>
      <c r="B88" s="160" t="s">
        <v>223</v>
      </c>
      <c r="C88" s="157">
        <v>271857</v>
      </c>
      <c r="D88" s="157">
        <v>262218</v>
      </c>
      <c r="E88" s="157">
        <f t="shared" si="2"/>
        <v>-9639</v>
      </c>
      <c r="F88" s="161">
        <f t="shared" si="3"/>
        <v>-3.5456140544477426E-2</v>
      </c>
    </row>
    <row r="89" spans="1:6" ht="15" customHeight="1" x14ac:dyDescent="0.2">
      <c r="A89" s="147">
        <v>28</v>
      </c>
      <c r="B89" s="160" t="s">
        <v>224</v>
      </c>
      <c r="C89" s="157">
        <v>5656406</v>
      </c>
      <c r="D89" s="157">
        <v>5650355</v>
      </c>
      <c r="E89" s="157">
        <f t="shared" si="2"/>
        <v>-6051</v>
      </c>
      <c r="F89" s="161">
        <f t="shared" si="3"/>
        <v>-1.069760551134413E-3</v>
      </c>
    </row>
    <row r="90" spans="1:6" ht="15.75" customHeight="1" x14ac:dyDescent="0.25">
      <c r="A90" s="147"/>
      <c r="B90" s="162" t="s">
        <v>225</v>
      </c>
      <c r="C90" s="158">
        <f>SUM(C62:C89)</f>
        <v>21006187</v>
      </c>
      <c r="D90" s="158">
        <f>SUM(D62:D89)</f>
        <v>21584249</v>
      </c>
      <c r="E90" s="158">
        <f t="shared" si="2"/>
        <v>578062</v>
      </c>
      <c r="F90" s="159">
        <f t="shared" si="3"/>
        <v>2.7518654385015235E-2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134486303</v>
      </c>
      <c r="D95" s="158">
        <f>+D93+D90+D59+D50+D47+D44+D41+D35+D30+D24+D18</f>
        <v>129703674</v>
      </c>
      <c r="E95" s="158">
        <f>+D95-C95</f>
        <v>-4782629</v>
      </c>
      <c r="F95" s="159">
        <f>IF(C95=0,0,E95/C95)</f>
        <v>-3.556220145333313E-2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3274606</v>
      </c>
      <c r="D103" s="157">
        <v>3493679</v>
      </c>
      <c r="E103" s="157">
        <f t="shared" ref="E103:E121" si="4">D103-C103</f>
        <v>219073</v>
      </c>
      <c r="F103" s="161">
        <f t="shared" ref="F103:F121" si="5">IF(C103=0,0,E103/C103)</f>
        <v>6.6900567579733256E-2</v>
      </c>
    </row>
    <row r="104" spans="1:6" ht="15" customHeight="1" x14ac:dyDescent="0.2">
      <c r="A104" s="147">
        <v>2</v>
      </c>
      <c r="B104" s="169" t="s">
        <v>234</v>
      </c>
      <c r="C104" s="157">
        <v>1533538</v>
      </c>
      <c r="D104" s="157">
        <v>1699882</v>
      </c>
      <c r="E104" s="157">
        <f t="shared" si="4"/>
        <v>166344</v>
      </c>
      <c r="F104" s="161">
        <f t="shared" si="5"/>
        <v>0.10847073890571998</v>
      </c>
    </row>
    <row r="105" spans="1:6" ht="15" customHeight="1" x14ac:dyDescent="0.2">
      <c r="A105" s="147">
        <v>3</v>
      </c>
      <c r="B105" s="169" t="s">
        <v>235</v>
      </c>
      <c r="C105" s="157">
        <v>2260372</v>
      </c>
      <c r="D105" s="157">
        <v>2520003</v>
      </c>
      <c r="E105" s="157">
        <f t="shared" si="4"/>
        <v>259631</v>
      </c>
      <c r="F105" s="161">
        <f t="shared" si="5"/>
        <v>0.11486206695181148</v>
      </c>
    </row>
    <row r="106" spans="1:6" ht="15" customHeight="1" x14ac:dyDescent="0.2">
      <c r="A106" s="147">
        <v>4</v>
      </c>
      <c r="B106" s="169" t="s">
        <v>236</v>
      </c>
      <c r="C106" s="157">
        <v>751684</v>
      </c>
      <c r="D106" s="157">
        <v>790858</v>
      </c>
      <c r="E106" s="157">
        <f t="shared" si="4"/>
        <v>39174</v>
      </c>
      <c r="F106" s="161">
        <f t="shared" si="5"/>
        <v>5.2114984488162576E-2</v>
      </c>
    </row>
    <row r="107" spans="1:6" ht="15" customHeight="1" x14ac:dyDescent="0.2">
      <c r="A107" s="147">
        <v>5</v>
      </c>
      <c r="B107" s="169" t="s">
        <v>237</v>
      </c>
      <c r="C107" s="157">
        <v>4122221</v>
      </c>
      <c r="D107" s="157">
        <v>4265069</v>
      </c>
      <c r="E107" s="157">
        <f t="shared" si="4"/>
        <v>142848</v>
      </c>
      <c r="F107" s="161">
        <f t="shared" si="5"/>
        <v>3.4653163913337011E-2</v>
      </c>
    </row>
    <row r="108" spans="1:6" ht="15" customHeight="1" x14ac:dyDescent="0.2">
      <c r="A108" s="147">
        <v>6</v>
      </c>
      <c r="B108" s="169" t="s">
        <v>238</v>
      </c>
      <c r="C108" s="157">
        <v>226123</v>
      </c>
      <c r="D108" s="157">
        <v>240268</v>
      </c>
      <c r="E108" s="157">
        <f t="shared" si="4"/>
        <v>14145</v>
      </c>
      <c r="F108" s="161">
        <f t="shared" si="5"/>
        <v>6.2554450453956481E-2</v>
      </c>
    </row>
    <row r="109" spans="1:6" ht="15" customHeight="1" x14ac:dyDescent="0.2">
      <c r="A109" s="147">
        <v>7</v>
      </c>
      <c r="B109" s="169" t="s">
        <v>239</v>
      </c>
      <c r="C109" s="157">
        <v>749526</v>
      </c>
      <c r="D109" s="157">
        <v>908171</v>
      </c>
      <c r="E109" s="157">
        <f t="shared" si="4"/>
        <v>158645</v>
      </c>
      <c r="F109" s="161">
        <f t="shared" si="5"/>
        <v>0.21166043606225801</v>
      </c>
    </row>
    <row r="110" spans="1:6" ht="15" customHeight="1" x14ac:dyDescent="0.2">
      <c r="A110" s="147">
        <v>8</v>
      </c>
      <c r="B110" s="169" t="s">
        <v>240</v>
      </c>
      <c r="C110" s="157">
        <v>1201673</v>
      </c>
      <c r="D110" s="157">
        <v>1296926</v>
      </c>
      <c r="E110" s="157">
        <f t="shared" si="4"/>
        <v>95253</v>
      </c>
      <c r="F110" s="161">
        <f t="shared" si="5"/>
        <v>7.9266988606717464E-2</v>
      </c>
    </row>
    <row r="111" spans="1:6" ht="15" customHeight="1" x14ac:dyDescent="0.2">
      <c r="A111" s="147">
        <v>9</v>
      </c>
      <c r="B111" s="169" t="s">
        <v>241</v>
      </c>
      <c r="C111" s="157">
        <v>664289</v>
      </c>
      <c r="D111" s="157">
        <v>480556</v>
      </c>
      <c r="E111" s="157">
        <f t="shared" si="4"/>
        <v>-183733</v>
      </c>
      <c r="F111" s="161">
        <f t="shared" si="5"/>
        <v>-0.27658594376845019</v>
      </c>
    </row>
    <row r="112" spans="1:6" ht="15" customHeight="1" x14ac:dyDescent="0.2">
      <c r="A112" s="147">
        <v>10</v>
      </c>
      <c r="B112" s="169" t="s">
        <v>242</v>
      </c>
      <c r="C112" s="157">
        <v>1641499</v>
      </c>
      <c r="D112" s="157">
        <v>1685454</v>
      </c>
      <c r="E112" s="157">
        <f t="shared" si="4"/>
        <v>43955</v>
      </c>
      <c r="F112" s="161">
        <f t="shared" si="5"/>
        <v>2.6777354113526722E-2</v>
      </c>
    </row>
    <row r="113" spans="1:6" ht="15" customHeight="1" x14ac:dyDescent="0.2">
      <c r="A113" s="147">
        <v>11</v>
      </c>
      <c r="B113" s="169" t="s">
        <v>243</v>
      </c>
      <c r="C113" s="157">
        <v>1580551</v>
      </c>
      <c r="D113" s="157">
        <v>1591295</v>
      </c>
      <c r="E113" s="157">
        <f t="shared" si="4"/>
        <v>10744</v>
      </c>
      <c r="F113" s="161">
        <f t="shared" si="5"/>
        <v>6.797629434292218E-3</v>
      </c>
    </row>
    <row r="114" spans="1:6" ht="15" customHeight="1" x14ac:dyDescent="0.2">
      <c r="A114" s="147">
        <v>12</v>
      </c>
      <c r="B114" s="169" t="s">
        <v>244</v>
      </c>
      <c r="C114" s="157">
        <v>537804</v>
      </c>
      <c r="D114" s="157">
        <v>545270</v>
      </c>
      <c r="E114" s="157">
        <f t="shared" si="4"/>
        <v>7466</v>
      </c>
      <c r="F114" s="161">
        <f t="shared" si="5"/>
        <v>1.3882380941755732E-2</v>
      </c>
    </row>
    <row r="115" spans="1:6" ht="15" customHeight="1" x14ac:dyDescent="0.2">
      <c r="A115" s="147">
        <v>13</v>
      </c>
      <c r="B115" s="169" t="s">
        <v>245</v>
      </c>
      <c r="C115" s="157">
        <v>5574</v>
      </c>
      <c r="D115" s="157">
        <v>62044</v>
      </c>
      <c r="E115" s="157">
        <f t="shared" si="4"/>
        <v>56470</v>
      </c>
      <c r="F115" s="161">
        <f t="shared" si="5"/>
        <v>10.130965195550772</v>
      </c>
    </row>
    <row r="116" spans="1:6" ht="15" customHeight="1" x14ac:dyDescent="0.2">
      <c r="A116" s="147">
        <v>14</v>
      </c>
      <c r="B116" s="169" t="s">
        <v>246</v>
      </c>
      <c r="C116" s="157">
        <v>390234</v>
      </c>
      <c r="D116" s="157">
        <v>379593</v>
      </c>
      <c r="E116" s="157">
        <f t="shared" si="4"/>
        <v>-10641</v>
      </c>
      <c r="F116" s="161">
        <f t="shared" si="5"/>
        <v>-2.7268254431956213E-2</v>
      </c>
    </row>
    <row r="117" spans="1:6" ht="15" customHeight="1" x14ac:dyDescent="0.2">
      <c r="A117" s="147">
        <v>15</v>
      </c>
      <c r="B117" s="169" t="s">
        <v>203</v>
      </c>
      <c r="C117" s="157">
        <v>4808127</v>
      </c>
      <c r="D117" s="157">
        <v>4811924</v>
      </c>
      <c r="E117" s="157">
        <f t="shared" si="4"/>
        <v>3797</v>
      </c>
      <c r="F117" s="161">
        <f t="shared" si="5"/>
        <v>7.8970459806906098E-4</v>
      </c>
    </row>
    <row r="118" spans="1:6" ht="15" customHeight="1" x14ac:dyDescent="0.2">
      <c r="A118" s="147">
        <v>16</v>
      </c>
      <c r="B118" s="169" t="s">
        <v>247</v>
      </c>
      <c r="C118" s="157">
        <v>447642</v>
      </c>
      <c r="D118" s="157">
        <v>427906</v>
      </c>
      <c r="E118" s="157">
        <f t="shared" si="4"/>
        <v>-19736</v>
      </c>
      <c r="F118" s="161">
        <f t="shared" si="5"/>
        <v>-4.4088803106053495E-2</v>
      </c>
    </row>
    <row r="119" spans="1:6" ht="15" customHeight="1" x14ac:dyDescent="0.2">
      <c r="A119" s="147">
        <v>17</v>
      </c>
      <c r="B119" s="169" t="s">
        <v>248</v>
      </c>
      <c r="C119" s="157">
        <v>8827328</v>
      </c>
      <c r="D119" s="157">
        <v>8937896</v>
      </c>
      <c r="E119" s="157">
        <f t="shared" si="4"/>
        <v>110568</v>
      </c>
      <c r="F119" s="161">
        <f t="shared" si="5"/>
        <v>1.2525647625193037E-2</v>
      </c>
    </row>
    <row r="120" spans="1:6" ht="15" customHeight="1" x14ac:dyDescent="0.2">
      <c r="A120" s="147">
        <v>18</v>
      </c>
      <c r="B120" s="169" t="s">
        <v>249</v>
      </c>
      <c r="C120" s="157">
        <v>1440548</v>
      </c>
      <c r="D120" s="157">
        <v>1700104</v>
      </c>
      <c r="E120" s="157">
        <f t="shared" si="4"/>
        <v>259556</v>
      </c>
      <c r="F120" s="161">
        <f t="shared" si="5"/>
        <v>0.1801786542343608</v>
      </c>
    </row>
    <row r="121" spans="1:6" ht="15.75" customHeight="1" x14ac:dyDescent="0.25">
      <c r="A121" s="147"/>
      <c r="B121" s="165" t="s">
        <v>250</v>
      </c>
      <c r="C121" s="158">
        <f>SUM(C103:C120)</f>
        <v>34463339</v>
      </c>
      <c r="D121" s="158">
        <f>SUM(D103:D120)</f>
        <v>35836898</v>
      </c>
      <c r="E121" s="158">
        <f t="shared" si="4"/>
        <v>1373559</v>
      </c>
      <c r="F121" s="159">
        <f t="shared" si="5"/>
        <v>3.9855656470198668E-2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1885173</v>
      </c>
      <c r="D124" s="157">
        <v>2071021</v>
      </c>
      <c r="E124" s="157">
        <f t="shared" ref="E124:E130" si="6">D124-C124</f>
        <v>185848</v>
      </c>
      <c r="F124" s="161">
        <f t="shared" ref="F124:F130" si="7">IF(C124=0,0,E124/C124)</f>
        <v>9.8584055680831409E-2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1668183</v>
      </c>
      <c r="D126" s="157">
        <v>1656938</v>
      </c>
      <c r="E126" s="157">
        <f t="shared" si="6"/>
        <v>-11245</v>
      </c>
      <c r="F126" s="161">
        <f t="shared" si="7"/>
        <v>-6.7408671590586883E-3</v>
      </c>
    </row>
    <row r="127" spans="1:6" ht="15" customHeight="1" x14ac:dyDescent="0.2">
      <c r="A127" s="147">
        <v>4</v>
      </c>
      <c r="B127" s="169" t="s">
        <v>255</v>
      </c>
      <c r="C127" s="157">
        <v>1858801</v>
      </c>
      <c r="D127" s="157">
        <v>1340929</v>
      </c>
      <c r="E127" s="157">
        <f t="shared" si="6"/>
        <v>-517872</v>
      </c>
      <c r="F127" s="161">
        <f t="shared" si="7"/>
        <v>-0.27860540208446199</v>
      </c>
    </row>
    <row r="128" spans="1:6" ht="15" customHeight="1" x14ac:dyDescent="0.2">
      <c r="A128" s="147">
        <v>5</v>
      </c>
      <c r="B128" s="169" t="s">
        <v>256</v>
      </c>
      <c r="C128" s="157">
        <v>1044000</v>
      </c>
      <c r="D128" s="157">
        <v>1208248</v>
      </c>
      <c r="E128" s="157">
        <f t="shared" si="6"/>
        <v>164248</v>
      </c>
      <c r="F128" s="161">
        <f t="shared" si="7"/>
        <v>0.1573256704980843</v>
      </c>
    </row>
    <row r="129" spans="1:6" ht="15" customHeight="1" x14ac:dyDescent="0.2">
      <c r="A129" s="147">
        <v>6</v>
      </c>
      <c r="B129" s="169" t="s">
        <v>257</v>
      </c>
      <c r="C129" s="157">
        <v>216754</v>
      </c>
      <c r="D129" s="157">
        <v>224716</v>
      </c>
      <c r="E129" s="157">
        <f t="shared" si="6"/>
        <v>7962</v>
      </c>
      <c r="F129" s="161">
        <f t="shared" si="7"/>
        <v>3.6732886128975704E-2</v>
      </c>
    </row>
    <row r="130" spans="1:6" ht="15.75" customHeight="1" x14ac:dyDescent="0.25">
      <c r="A130" s="147"/>
      <c r="B130" s="165" t="s">
        <v>258</v>
      </c>
      <c r="C130" s="158">
        <f>SUM(C124:C129)</f>
        <v>6672911</v>
      </c>
      <c r="D130" s="158">
        <f>SUM(D124:D129)</f>
        <v>6501852</v>
      </c>
      <c r="E130" s="158">
        <f t="shared" si="6"/>
        <v>-171059</v>
      </c>
      <c r="F130" s="159">
        <f t="shared" si="7"/>
        <v>-2.5634839127930825E-2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7969509</v>
      </c>
      <c r="D133" s="157">
        <v>8101532</v>
      </c>
      <c r="E133" s="157">
        <f t="shared" ref="E133:E167" si="8">D133-C133</f>
        <v>132023</v>
      </c>
      <c r="F133" s="161">
        <f t="shared" ref="F133:F167" si="9">IF(C133=0,0,E133/C133)</f>
        <v>1.6566014292724935E-2</v>
      </c>
    </row>
    <row r="134" spans="1:6" ht="15" customHeight="1" x14ac:dyDescent="0.2">
      <c r="A134" s="147">
        <v>2</v>
      </c>
      <c r="B134" s="169" t="s">
        <v>261</v>
      </c>
      <c r="C134" s="157">
        <v>728785</v>
      </c>
      <c r="D134" s="157">
        <v>8011</v>
      </c>
      <c r="E134" s="157">
        <f t="shared" si="8"/>
        <v>-720774</v>
      </c>
      <c r="F134" s="161">
        <f t="shared" si="9"/>
        <v>-0.9890077320471744</v>
      </c>
    </row>
    <row r="135" spans="1:6" ht="15" customHeight="1" x14ac:dyDescent="0.2">
      <c r="A135" s="147">
        <v>3</v>
      </c>
      <c r="B135" s="169" t="s">
        <v>262</v>
      </c>
      <c r="C135" s="157">
        <v>293016</v>
      </c>
      <c r="D135" s="157">
        <v>333821</v>
      </c>
      <c r="E135" s="157">
        <f t="shared" si="8"/>
        <v>40805</v>
      </c>
      <c r="F135" s="161">
        <f t="shared" si="9"/>
        <v>0.1392586070385235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3045284</v>
      </c>
      <c r="D137" s="157">
        <v>2354399</v>
      </c>
      <c r="E137" s="157">
        <f t="shared" si="8"/>
        <v>-690885</v>
      </c>
      <c r="F137" s="161">
        <f t="shared" si="9"/>
        <v>-0.2268704659401225</v>
      </c>
    </row>
    <row r="138" spans="1:6" ht="15" customHeight="1" x14ac:dyDescent="0.2">
      <c r="A138" s="147">
        <v>6</v>
      </c>
      <c r="B138" s="169" t="s">
        <v>265</v>
      </c>
      <c r="C138" s="157">
        <v>457872</v>
      </c>
      <c r="D138" s="157">
        <v>456308</v>
      </c>
      <c r="E138" s="157">
        <f t="shared" si="8"/>
        <v>-1564</v>
      </c>
      <c r="F138" s="161">
        <f t="shared" si="9"/>
        <v>-3.4158017961351643E-3</v>
      </c>
    </row>
    <row r="139" spans="1:6" ht="15" customHeight="1" x14ac:dyDescent="0.2">
      <c r="A139" s="147">
        <v>7</v>
      </c>
      <c r="B139" s="169" t="s">
        <v>266</v>
      </c>
      <c r="C139" s="157">
        <v>5321</v>
      </c>
      <c r="D139" s="157">
        <v>149</v>
      </c>
      <c r="E139" s="157">
        <f t="shared" si="8"/>
        <v>-5172</v>
      </c>
      <c r="F139" s="161">
        <f t="shared" si="9"/>
        <v>-0.97199774478481493</v>
      </c>
    </row>
    <row r="140" spans="1:6" ht="15" customHeight="1" x14ac:dyDescent="0.2">
      <c r="A140" s="147">
        <v>8</v>
      </c>
      <c r="B140" s="169" t="s">
        <v>267</v>
      </c>
      <c r="C140" s="157">
        <v>512257</v>
      </c>
      <c r="D140" s="157">
        <v>489696</v>
      </c>
      <c r="E140" s="157">
        <f t="shared" si="8"/>
        <v>-22561</v>
      </c>
      <c r="F140" s="161">
        <f t="shared" si="9"/>
        <v>-4.4042345931827188E-2</v>
      </c>
    </row>
    <row r="141" spans="1:6" ht="15" customHeight="1" x14ac:dyDescent="0.2">
      <c r="A141" s="147">
        <v>9</v>
      </c>
      <c r="B141" s="169" t="s">
        <v>268</v>
      </c>
      <c r="C141" s="157">
        <v>616758</v>
      </c>
      <c r="D141" s="157">
        <v>735597</v>
      </c>
      <c r="E141" s="157">
        <f t="shared" si="8"/>
        <v>118839</v>
      </c>
      <c r="F141" s="161">
        <f t="shared" si="9"/>
        <v>0.19268335392487815</v>
      </c>
    </row>
    <row r="142" spans="1:6" ht="15" customHeight="1" x14ac:dyDescent="0.2">
      <c r="A142" s="147">
        <v>10</v>
      </c>
      <c r="B142" s="169" t="s">
        <v>269</v>
      </c>
      <c r="C142" s="157">
        <v>7607400</v>
      </c>
      <c r="D142" s="157">
        <v>7332065</v>
      </c>
      <c r="E142" s="157">
        <f t="shared" si="8"/>
        <v>-275335</v>
      </c>
      <c r="F142" s="161">
        <f t="shared" si="9"/>
        <v>-3.6193048873465312E-2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617472</v>
      </c>
      <c r="D144" s="157">
        <v>597683</v>
      </c>
      <c r="E144" s="157">
        <f t="shared" si="8"/>
        <v>-19789</v>
      </c>
      <c r="F144" s="161">
        <f t="shared" si="9"/>
        <v>-3.2048416770315093E-2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24368</v>
      </c>
      <c r="D146" s="157">
        <v>23488</v>
      </c>
      <c r="E146" s="157">
        <f t="shared" si="8"/>
        <v>-880</v>
      </c>
      <c r="F146" s="161">
        <f t="shared" si="9"/>
        <v>-3.6112934996717007E-2</v>
      </c>
    </row>
    <row r="147" spans="1:6" ht="15" customHeight="1" x14ac:dyDescent="0.2">
      <c r="A147" s="147">
        <v>15</v>
      </c>
      <c r="B147" s="169" t="s">
        <v>274</v>
      </c>
      <c r="C147" s="157">
        <v>232728</v>
      </c>
      <c r="D147" s="157">
        <v>154886</v>
      </c>
      <c r="E147" s="157">
        <f t="shared" si="8"/>
        <v>-77842</v>
      </c>
      <c r="F147" s="161">
        <f t="shared" si="9"/>
        <v>-0.33447629851156713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875391</v>
      </c>
      <c r="D150" s="157">
        <v>867463</v>
      </c>
      <c r="E150" s="157">
        <f t="shared" si="8"/>
        <v>-7928</v>
      </c>
      <c r="F150" s="161">
        <f t="shared" si="9"/>
        <v>-9.0565244559288362E-3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211999</v>
      </c>
      <c r="D152" s="157">
        <v>206308</v>
      </c>
      <c r="E152" s="157">
        <f t="shared" si="8"/>
        <v>-5691</v>
      </c>
      <c r="F152" s="161">
        <f t="shared" si="9"/>
        <v>-2.6844466247482299E-2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4734167</v>
      </c>
      <c r="D156" s="157">
        <v>4741652</v>
      </c>
      <c r="E156" s="157">
        <f t="shared" si="8"/>
        <v>7485</v>
      </c>
      <c r="F156" s="161">
        <f t="shared" si="9"/>
        <v>1.5810595612702298E-3</v>
      </c>
    </row>
    <row r="157" spans="1:6" ht="15" customHeight="1" x14ac:dyDescent="0.2">
      <c r="A157" s="147">
        <v>25</v>
      </c>
      <c r="B157" s="169" t="s">
        <v>284</v>
      </c>
      <c r="C157" s="157">
        <v>377606</v>
      </c>
      <c r="D157" s="157">
        <v>448550</v>
      </c>
      <c r="E157" s="157">
        <f t="shared" si="8"/>
        <v>70944</v>
      </c>
      <c r="F157" s="161">
        <f t="shared" si="9"/>
        <v>0.18787837057673873</v>
      </c>
    </row>
    <row r="158" spans="1:6" ht="15" customHeight="1" x14ac:dyDescent="0.2">
      <c r="A158" s="147">
        <v>26</v>
      </c>
      <c r="B158" s="169" t="s">
        <v>285</v>
      </c>
      <c r="C158" s="157">
        <v>225182</v>
      </c>
      <c r="D158" s="157">
        <v>206530</v>
      </c>
      <c r="E158" s="157">
        <f t="shared" si="8"/>
        <v>-18652</v>
      </c>
      <c r="F158" s="161">
        <f t="shared" si="9"/>
        <v>-8.2830776882699325E-2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1127851</v>
      </c>
      <c r="D160" s="157">
        <v>808208</v>
      </c>
      <c r="E160" s="157">
        <f t="shared" si="8"/>
        <v>-319643</v>
      </c>
      <c r="F160" s="161">
        <f t="shared" si="9"/>
        <v>-0.28340889000408742</v>
      </c>
    </row>
    <row r="161" spans="1:6" ht="15" customHeight="1" x14ac:dyDescent="0.2">
      <c r="A161" s="147">
        <v>29</v>
      </c>
      <c r="B161" s="169" t="s">
        <v>288</v>
      </c>
      <c r="C161" s="157">
        <v>143310</v>
      </c>
      <c r="D161" s="157">
        <v>173329</v>
      </c>
      <c r="E161" s="157">
        <f t="shared" si="8"/>
        <v>30019</v>
      </c>
      <c r="F161" s="161">
        <f t="shared" si="9"/>
        <v>0.20946898332286651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1630184</v>
      </c>
      <c r="D164" s="157">
        <v>1713970</v>
      </c>
      <c r="E164" s="157">
        <f t="shared" si="8"/>
        <v>83786</v>
      </c>
      <c r="F164" s="161">
        <f t="shared" si="9"/>
        <v>5.1396652157057118E-2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2177288</v>
      </c>
      <c r="D166" s="157">
        <v>3096907</v>
      </c>
      <c r="E166" s="157">
        <f t="shared" si="8"/>
        <v>919619</v>
      </c>
      <c r="F166" s="161">
        <f t="shared" si="9"/>
        <v>0.42236902054298742</v>
      </c>
    </row>
    <row r="167" spans="1:6" ht="15.75" customHeight="1" x14ac:dyDescent="0.25">
      <c r="A167" s="147"/>
      <c r="B167" s="165" t="s">
        <v>294</v>
      </c>
      <c r="C167" s="158">
        <f>SUM(C133:C166)</f>
        <v>33613748</v>
      </c>
      <c r="D167" s="158">
        <f>SUM(D133:D166)</f>
        <v>32850552</v>
      </c>
      <c r="E167" s="158">
        <f t="shared" si="8"/>
        <v>-763196</v>
      </c>
      <c r="F167" s="159">
        <f t="shared" si="9"/>
        <v>-2.2704876587996078E-2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7568545</v>
      </c>
      <c r="D170" s="157">
        <v>7985829</v>
      </c>
      <c r="E170" s="157">
        <f t="shared" ref="E170:E183" si="10">D170-C170</f>
        <v>417284</v>
      </c>
      <c r="F170" s="161">
        <f t="shared" ref="F170:F183" si="11">IF(C170=0,0,E170/C170)</f>
        <v>5.5133978855909559E-2</v>
      </c>
    </row>
    <row r="171" spans="1:6" ht="15" customHeight="1" x14ac:dyDescent="0.2">
      <c r="A171" s="147">
        <v>2</v>
      </c>
      <c r="B171" s="169" t="s">
        <v>297</v>
      </c>
      <c r="C171" s="157">
        <v>2886011</v>
      </c>
      <c r="D171" s="157">
        <v>2805887</v>
      </c>
      <c r="E171" s="157">
        <f t="shared" si="10"/>
        <v>-80124</v>
      </c>
      <c r="F171" s="161">
        <f t="shared" si="11"/>
        <v>-2.7762887944640543E-2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2300302</v>
      </c>
      <c r="D173" s="157">
        <v>2222380</v>
      </c>
      <c r="E173" s="157">
        <f t="shared" si="10"/>
        <v>-77922</v>
      </c>
      <c r="F173" s="161">
        <f t="shared" si="11"/>
        <v>-3.3874682541683659E-2</v>
      </c>
    </row>
    <row r="174" spans="1:6" ht="15" customHeight="1" x14ac:dyDescent="0.2">
      <c r="A174" s="147">
        <v>5</v>
      </c>
      <c r="B174" s="169" t="s">
        <v>300</v>
      </c>
      <c r="C174" s="157">
        <v>87805</v>
      </c>
      <c r="D174" s="157">
        <v>39142</v>
      </c>
      <c r="E174" s="157">
        <f t="shared" si="10"/>
        <v>-48663</v>
      </c>
      <c r="F174" s="161">
        <f t="shared" si="11"/>
        <v>-0.55421673025454132</v>
      </c>
    </row>
    <row r="175" spans="1:6" ht="15" customHeight="1" x14ac:dyDescent="0.2">
      <c r="A175" s="147">
        <v>6</v>
      </c>
      <c r="B175" s="169" t="s">
        <v>301</v>
      </c>
      <c r="C175" s="157">
        <v>2759236</v>
      </c>
      <c r="D175" s="157">
        <v>2682811</v>
      </c>
      <c r="E175" s="157">
        <f t="shared" si="10"/>
        <v>-76425</v>
      </c>
      <c r="F175" s="161">
        <f t="shared" si="11"/>
        <v>-2.7697884486865203E-2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782877</v>
      </c>
      <c r="D179" s="157">
        <v>772086</v>
      </c>
      <c r="E179" s="157">
        <f t="shared" si="10"/>
        <v>-10791</v>
      </c>
      <c r="F179" s="161">
        <f t="shared" si="11"/>
        <v>-1.3783774462655054E-2</v>
      </c>
    </row>
    <row r="180" spans="1:6" ht="15" customHeight="1" x14ac:dyDescent="0.2">
      <c r="A180" s="147">
        <v>11</v>
      </c>
      <c r="B180" s="169" t="s">
        <v>306</v>
      </c>
      <c r="C180" s="157">
        <v>3133305</v>
      </c>
      <c r="D180" s="157">
        <v>3262074</v>
      </c>
      <c r="E180" s="157">
        <f t="shared" si="10"/>
        <v>128769</v>
      </c>
      <c r="F180" s="161">
        <f t="shared" si="11"/>
        <v>4.1096860982253562E-2</v>
      </c>
    </row>
    <row r="181" spans="1:6" ht="15" customHeight="1" x14ac:dyDescent="0.2">
      <c r="A181" s="147">
        <v>12</v>
      </c>
      <c r="B181" s="169" t="s">
        <v>307</v>
      </c>
      <c r="C181" s="157">
        <v>2951530</v>
      </c>
      <c r="D181" s="157">
        <v>3556877</v>
      </c>
      <c r="E181" s="157">
        <f t="shared" si="10"/>
        <v>605347</v>
      </c>
      <c r="F181" s="161">
        <f t="shared" si="11"/>
        <v>0.20509600105707887</v>
      </c>
    </row>
    <row r="182" spans="1:6" ht="15" customHeight="1" x14ac:dyDescent="0.2">
      <c r="A182" s="147">
        <v>13</v>
      </c>
      <c r="B182" s="169" t="s">
        <v>308</v>
      </c>
      <c r="C182" s="157">
        <v>216781</v>
      </c>
      <c r="D182" s="157">
        <v>243892</v>
      </c>
      <c r="E182" s="157">
        <f t="shared" si="10"/>
        <v>27111</v>
      </c>
      <c r="F182" s="161">
        <f t="shared" si="11"/>
        <v>0.12506169821155913</v>
      </c>
    </row>
    <row r="183" spans="1:6" ht="15.75" customHeight="1" x14ac:dyDescent="0.25">
      <c r="A183" s="147"/>
      <c r="B183" s="165" t="s">
        <v>309</v>
      </c>
      <c r="C183" s="158">
        <f>SUM(C170:C182)</f>
        <v>22686392</v>
      </c>
      <c r="D183" s="158">
        <f>SUM(D170:D182)</f>
        <v>23570978</v>
      </c>
      <c r="E183" s="158">
        <f t="shared" si="10"/>
        <v>884586</v>
      </c>
      <c r="F183" s="159">
        <f t="shared" si="11"/>
        <v>3.8991920795514771E-2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37049913</v>
      </c>
      <c r="D186" s="157">
        <v>30943394</v>
      </c>
      <c r="E186" s="157">
        <f>D186-C186</f>
        <v>-6106519</v>
      </c>
      <c r="F186" s="161">
        <f>IF(C186=0,0,E186/C186)</f>
        <v>-0.16481871360939498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134486303</v>
      </c>
      <c r="D188" s="158">
        <f>+D186+D183+D167+D130+D121</f>
        <v>129703674</v>
      </c>
      <c r="E188" s="158">
        <f>D188-C188</f>
        <v>-4782629</v>
      </c>
      <c r="F188" s="159">
        <f>IF(C188=0,0,E188/C188)</f>
        <v>-3.556220145333313E-2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125941019</v>
      </c>
      <c r="D11" s="183">
        <v>130360493</v>
      </c>
      <c r="E11" s="76">
        <v>126808091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6100777</v>
      </c>
      <c r="D12" s="185">
        <v>5173982</v>
      </c>
      <c r="E12" s="185">
        <v>4242269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132041796</v>
      </c>
      <c r="D13" s="76">
        <f>+D11+D12</f>
        <v>135534475</v>
      </c>
      <c r="E13" s="76">
        <f>+E11+E12</f>
        <v>131050360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131894527</v>
      </c>
      <c r="D14" s="185">
        <v>134486303</v>
      </c>
      <c r="E14" s="185">
        <v>129703674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147269</v>
      </c>
      <c r="D15" s="76">
        <f>+D13-D14</f>
        <v>1048172</v>
      </c>
      <c r="E15" s="76">
        <f>+E13-E14</f>
        <v>1346686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2043267</v>
      </c>
      <c r="D16" s="185">
        <v>1253154</v>
      </c>
      <c r="E16" s="185">
        <v>844070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2190536</v>
      </c>
      <c r="D17" s="76">
        <f>D15+D16</f>
        <v>2301326</v>
      </c>
      <c r="E17" s="76">
        <f>E15+E16</f>
        <v>2190756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1.0983251728792491E-3</v>
      </c>
      <c r="D20" s="189">
        <f>IF(+D27=0,0,+D24/+D27)</f>
        <v>7.6627689774489771E-3</v>
      </c>
      <c r="E20" s="189">
        <f>IF(+E27=0,0,+E24/+E27)</f>
        <v>1.0210332612226309E-2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1.5238587761263162E-2</v>
      </c>
      <c r="D21" s="189">
        <f>IF(D27=0,0,+D26/D27)</f>
        <v>9.1613109252738061E-3</v>
      </c>
      <c r="E21" s="189">
        <f>IF(E27=0,0,+E26/E27)</f>
        <v>6.3995879128481772E-3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1.6336912934142411E-2</v>
      </c>
      <c r="D22" s="189">
        <f>IF(D27=0,0,+D28/D27)</f>
        <v>1.6824079902722781E-2</v>
      </c>
      <c r="E22" s="189">
        <f>IF(E27=0,0,+E28/E27)</f>
        <v>1.6609920525074484E-2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147269</v>
      </c>
      <c r="D24" s="76">
        <f>+D15</f>
        <v>1048172</v>
      </c>
      <c r="E24" s="76">
        <f>+E15</f>
        <v>1346686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132041796</v>
      </c>
      <c r="D25" s="76">
        <f>+D13</f>
        <v>135534475</v>
      </c>
      <c r="E25" s="76">
        <f>+E13</f>
        <v>131050360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2043267</v>
      </c>
      <c r="D26" s="76">
        <f>+D16</f>
        <v>1253154</v>
      </c>
      <c r="E26" s="76">
        <f>+E16</f>
        <v>844070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134085063</v>
      </c>
      <c r="D27" s="76">
        <f>+D25+D26</f>
        <v>136787629</v>
      </c>
      <c r="E27" s="76">
        <f>+E25+E26</f>
        <v>131894430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2190536</v>
      </c>
      <c r="D28" s="76">
        <f>+D17</f>
        <v>2301326</v>
      </c>
      <c r="E28" s="76">
        <f>+E17</f>
        <v>2190756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427122</v>
      </c>
      <c r="D31" s="76">
        <v>-376115</v>
      </c>
      <c r="E31" s="76">
        <v>15896282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8015688</v>
      </c>
      <c r="D32" s="76">
        <v>10631335</v>
      </c>
      <c r="E32" s="76">
        <v>26472271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-204845</v>
      </c>
      <c r="D33" s="76">
        <f>+D32-C32</f>
        <v>2615647</v>
      </c>
      <c r="E33" s="76">
        <f>+E32-D32</f>
        <v>15840936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0.97499999999999998</v>
      </c>
      <c r="D34" s="193">
        <f>IF(C32=0,0,+D33/C32)</f>
        <v>0.3263159693840379</v>
      </c>
      <c r="E34" s="193">
        <f>IF(D32=0,0,+E33/D32)</f>
        <v>1.4900232190971312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0.37561135919576399</v>
      </c>
      <c r="D38" s="195">
        <f>IF((D40+D41)=0,0,+D39/(D40+D41))</f>
        <v>0.34387820028609645</v>
      </c>
      <c r="E38" s="195">
        <f>IF((E40+E41)=0,0,+E39/(E40+E41))</f>
        <v>0.30027690626887354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131894527</v>
      </c>
      <c r="D39" s="76">
        <v>134486303</v>
      </c>
      <c r="E39" s="196">
        <v>129703674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345045491</v>
      </c>
      <c r="D40" s="76">
        <v>385913045</v>
      </c>
      <c r="E40" s="196">
        <v>427704615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6100777</v>
      </c>
      <c r="D41" s="76">
        <v>5173982</v>
      </c>
      <c r="E41" s="196">
        <v>4242269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1.073676742829031</v>
      </c>
      <c r="D43" s="197">
        <f>IF(D38=0,0,IF((D46-D47)=0,0,((+D44-D45)/(D46-D47)/D38)))</f>
        <v>1.2544535833334873</v>
      </c>
      <c r="E43" s="197">
        <f>IF(E38=0,0,IF((E46-E47)=0,0,((+E44-E45)/(E46-E47)/E38)))</f>
        <v>1.4221294231932367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50073303</v>
      </c>
      <c r="D44" s="76">
        <v>58148995</v>
      </c>
      <c r="E44" s="196">
        <v>60083826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288037</v>
      </c>
      <c r="D45" s="76">
        <v>49804</v>
      </c>
      <c r="E45" s="196">
        <v>85575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129411845</v>
      </c>
      <c r="D46" s="76">
        <v>142039704</v>
      </c>
      <c r="E46" s="196">
        <v>149192190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5962563</v>
      </c>
      <c r="D47" s="76">
        <v>7357305</v>
      </c>
      <c r="E47" s="76">
        <v>8691798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0.84960788712379798</v>
      </c>
      <c r="D49" s="198">
        <f>IF(D38=0,0,IF(D51=0,0,(D50/D51)/D38))</f>
        <v>0.83898112177577444</v>
      </c>
      <c r="E49" s="198">
        <f>IF(E38=0,0,IF(E51=0,0,(E50/E51)/E38))</f>
        <v>0.81477976536568053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47069698</v>
      </c>
      <c r="D50" s="199">
        <v>49410291</v>
      </c>
      <c r="E50" s="199">
        <v>47894414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147497330</v>
      </c>
      <c r="D51" s="199">
        <v>171261829</v>
      </c>
      <c r="E51" s="199">
        <v>195759432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0.72370918543653406</v>
      </c>
      <c r="D53" s="198">
        <f>IF(D38=0,0,IF(D55=0,0,(D54/D55)/D38))</f>
        <v>0.66141997292193244</v>
      </c>
      <c r="E53" s="198">
        <f>IF(E38=0,0,IF(E55=0,0,(E54/E55)/E38))</f>
        <v>0.73223484817959372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18244907</v>
      </c>
      <c r="D54" s="199">
        <v>16331851</v>
      </c>
      <c r="E54" s="199">
        <v>18000260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67117976</v>
      </c>
      <c r="D55" s="199">
        <v>71804797</v>
      </c>
      <c r="E55" s="199">
        <v>81866543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3782697.4859047201</v>
      </c>
      <c r="D57" s="88">
        <f>+D60*D38</f>
        <v>3525524.9350049319</v>
      </c>
      <c r="E57" s="88">
        <f>+E60*E38</f>
        <v>3067593.1414909661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223751</v>
      </c>
      <c r="D58" s="199">
        <v>3781958</v>
      </c>
      <c r="E58" s="199">
        <v>5306456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9847024</v>
      </c>
      <c r="D59" s="199">
        <v>6470291</v>
      </c>
      <c r="E59" s="199">
        <v>4909425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10070775</v>
      </c>
      <c r="D60" s="76">
        <v>10252249</v>
      </c>
      <c r="E60" s="201">
        <v>10215881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2.8679715314530983E-2</v>
      </c>
      <c r="D62" s="202">
        <f>IF(D63=0,0,+D57/D63)</f>
        <v>2.6214750917830879E-2</v>
      </c>
      <c r="E62" s="202">
        <f>IF(E63=0,0,+E57/E63)</f>
        <v>2.3650780636259895E-2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131894527</v>
      </c>
      <c r="D63" s="199">
        <v>134486303</v>
      </c>
      <c r="E63" s="199">
        <v>129703674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1.1885794800870639</v>
      </c>
      <c r="D67" s="203">
        <f>IF(D69=0,0,D68/D69)</f>
        <v>1.456965131812562</v>
      </c>
      <c r="E67" s="203">
        <f>IF(E69=0,0,E68/E69)</f>
        <v>1.447309324547523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32740835</v>
      </c>
      <c r="D68" s="204">
        <v>39003484</v>
      </c>
      <c r="E68" s="204">
        <v>38926532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27546189</v>
      </c>
      <c r="D69" s="204">
        <v>26770362</v>
      </c>
      <c r="E69" s="204">
        <v>26895793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12.638835104343295</v>
      </c>
      <c r="D71" s="203">
        <f>IF((D77/365)=0,0,+D74/(D77/365))</f>
        <v>26.977640168966545</v>
      </c>
      <c r="E71" s="203">
        <f>IF((E77/365)=0,0,+E74/(E77/365))</f>
        <v>38.194862497531311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4272881</v>
      </c>
      <c r="D72" s="183">
        <v>9376449</v>
      </c>
      <c r="E72" s="183">
        <v>12810191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96343</v>
      </c>
      <c r="D73" s="206">
        <v>96452</v>
      </c>
      <c r="E73" s="206">
        <v>96526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4369224</v>
      </c>
      <c r="D74" s="204">
        <f>+D72+D73</f>
        <v>9472901</v>
      </c>
      <c r="E74" s="204">
        <f>+E72+E73</f>
        <v>12906717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131894527</v>
      </c>
      <c r="D75" s="204">
        <f>+D14</f>
        <v>134486303</v>
      </c>
      <c r="E75" s="204">
        <f>+E14</f>
        <v>129703674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5714642</v>
      </c>
      <c r="D76" s="204">
        <v>6320576</v>
      </c>
      <c r="E76" s="204">
        <v>6363743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126179885</v>
      </c>
      <c r="D77" s="204">
        <f>+D75-D76</f>
        <v>128165727</v>
      </c>
      <c r="E77" s="204">
        <f>+E75-E76</f>
        <v>123339931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66.101057908702487</v>
      </c>
      <c r="D79" s="203">
        <f>IF((D84/365)=0,0,+D83/(D84/365))</f>
        <v>51.872077301824866</v>
      </c>
      <c r="E79" s="203">
        <f>IF((E84/365)=0,0,+E83/(E84/365))</f>
        <v>56.546492368535063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20427829</v>
      </c>
      <c r="D80" s="212">
        <v>16562143</v>
      </c>
      <c r="E80" s="212">
        <v>16887452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2379937</v>
      </c>
      <c r="D81" s="212">
        <v>1964075</v>
      </c>
      <c r="E81" s="212">
        <v>2757898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22807766</v>
      </c>
      <c r="D83" s="212">
        <f>+D80+D81-D82</f>
        <v>18526218</v>
      </c>
      <c r="E83" s="212">
        <f>+E80+E81-E82</f>
        <v>19645350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125941019</v>
      </c>
      <c r="D84" s="204">
        <f>+D11</f>
        <v>130360493</v>
      </c>
      <c r="E84" s="204">
        <f>+E11</f>
        <v>126808091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79.682740121375133</v>
      </c>
      <c r="D86" s="203">
        <f>IF((D90/365)=0,0,+D87/(D90/365))</f>
        <v>76.238650992866454</v>
      </c>
      <c r="E86" s="203">
        <f>IF((E90/365)=0,0,+E87/(E90/365))</f>
        <v>79.592751231553706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27546189</v>
      </c>
      <c r="D87" s="76">
        <f>+D69</f>
        <v>26770362</v>
      </c>
      <c r="E87" s="76">
        <f>+E69</f>
        <v>26895793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131894527</v>
      </c>
      <c r="D88" s="76">
        <f t="shared" si="0"/>
        <v>134486303</v>
      </c>
      <c r="E88" s="76">
        <f t="shared" si="0"/>
        <v>129703674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5714642</v>
      </c>
      <c r="D89" s="201">
        <f t="shared" si="0"/>
        <v>6320576</v>
      </c>
      <c r="E89" s="201">
        <f t="shared" si="0"/>
        <v>6363743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126179885</v>
      </c>
      <c r="D90" s="76">
        <f>+D88-D89</f>
        <v>128165727</v>
      </c>
      <c r="E90" s="76">
        <f>+E88-E89</f>
        <v>123339931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7.7727325130201974</v>
      </c>
      <c r="D94" s="214">
        <f>IF(D96=0,0,(D95/D96)*100)</f>
        <v>9.4371539527060726</v>
      </c>
      <c r="E94" s="214">
        <f>IF(E96=0,0,(E95/E96)*100)</f>
        <v>23.234996145182272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8015688</v>
      </c>
      <c r="D95" s="76">
        <f>+D32</f>
        <v>10631335</v>
      </c>
      <c r="E95" s="76">
        <f>+E32</f>
        <v>26472271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103125741</v>
      </c>
      <c r="D96" s="76">
        <v>112654038</v>
      </c>
      <c r="E96" s="76">
        <v>113932754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14.613175404418611</v>
      </c>
      <c r="D98" s="214">
        <f>IF(D104=0,0,(D101/D104)*100)</f>
        <v>16.332314512655774</v>
      </c>
      <c r="E98" s="214">
        <f>IF(E104=0,0,(E101/E104)*100)</f>
        <v>16.081603530723097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2190536</v>
      </c>
      <c r="D99" s="76">
        <f>+D28</f>
        <v>2301326</v>
      </c>
      <c r="E99" s="76">
        <f>+E28</f>
        <v>2190756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5714642</v>
      </c>
      <c r="D100" s="201">
        <f>+D76</f>
        <v>6320576</v>
      </c>
      <c r="E100" s="201">
        <f>+E76</f>
        <v>6363743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7905178</v>
      </c>
      <c r="D101" s="76">
        <f>+D99+D100</f>
        <v>8621902</v>
      </c>
      <c r="E101" s="76">
        <f>+E99+E100</f>
        <v>8554499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27546189</v>
      </c>
      <c r="D102" s="204">
        <f>+D69</f>
        <v>26770362</v>
      </c>
      <c r="E102" s="204">
        <f>+E69</f>
        <v>26895793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26550048</v>
      </c>
      <c r="D103" s="216">
        <v>26020086</v>
      </c>
      <c r="E103" s="216">
        <v>26298523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54096237</v>
      </c>
      <c r="D104" s="204">
        <f>+D102+D103</f>
        <v>52790448</v>
      </c>
      <c r="E104" s="204">
        <f>+E102+E103</f>
        <v>53194316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76.810307178183621</v>
      </c>
      <c r="D106" s="214">
        <f>IF(D109=0,0,(D107/D109)*100)</f>
        <v>70.993389314973626</v>
      </c>
      <c r="E106" s="214">
        <f>IF(E109=0,0,(E107/E109)*100)</f>
        <v>49.835374847685635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26550048</v>
      </c>
      <c r="D107" s="204">
        <f>+D103</f>
        <v>26020086</v>
      </c>
      <c r="E107" s="204">
        <f>+E103</f>
        <v>26298523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8015688</v>
      </c>
      <c r="D108" s="204">
        <f>+D32</f>
        <v>10631335</v>
      </c>
      <c r="E108" s="204">
        <f>+E32</f>
        <v>26472271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34565736</v>
      </c>
      <c r="D109" s="204">
        <f>+D107+D108</f>
        <v>36651421</v>
      </c>
      <c r="E109" s="204">
        <f>+E107+E108</f>
        <v>52770794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3.712481420501093</v>
      </c>
      <c r="D111" s="214">
        <f>IF((+D113+D115)=0,0,((+D112+D113+D114)/(+D113+D115)))</f>
        <v>4.2069971287629908</v>
      </c>
      <c r="E111" s="214">
        <f>IF((+E113+E115)=0,0,((+E112+E113+E114)/(+E113+E115)))</f>
        <v>4.5388026950530787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2190536</v>
      </c>
      <c r="D112" s="76">
        <f>+D17</f>
        <v>2301326</v>
      </c>
      <c r="E112" s="76">
        <f>+E17</f>
        <v>2190756</v>
      </c>
    </row>
    <row r="113" spans="1:8" ht="24" customHeight="1" x14ac:dyDescent="0.2">
      <c r="A113" s="85">
        <v>17</v>
      </c>
      <c r="B113" s="75" t="s">
        <v>88</v>
      </c>
      <c r="C113" s="218">
        <v>1833355</v>
      </c>
      <c r="D113" s="76">
        <v>1641972</v>
      </c>
      <c r="E113" s="76">
        <v>1421576</v>
      </c>
    </row>
    <row r="114" spans="1:8" ht="24" customHeight="1" x14ac:dyDescent="0.2">
      <c r="A114" s="85">
        <v>18</v>
      </c>
      <c r="B114" s="75" t="s">
        <v>374</v>
      </c>
      <c r="C114" s="218">
        <v>5714642</v>
      </c>
      <c r="D114" s="76">
        <v>6320576</v>
      </c>
      <c r="E114" s="76">
        <v>6363743</v>
      </c>
    </row>
    <row r="115" spans="1:8" ht="24" customHeight="1" x14ac:dyDescent="0.2">
      <c r="A115" s="85">
        <v>19</v>
      </c>
      <c r="B115" s="75" t="s">
        <v>104</v>
      </c>
      <c r="C115" s="218">
        <v>789832</v>
      </c>
      <c r="D115" s="76">
        <v>797743</v>
      </c>
      <c r="E115" s="76">
        <v>776377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17.356421627111551</v>
      </c>
      <c r="D119" s="214">
        <f>IF(+D121=0,0,(+D120)/(+D121))</f>
        <v>16.684211850312376</v>
      </c>
      <c r="E119" s="214">
        <f>IF(+E121=0,0,(+E120)/(+E121))</f>
        <v>17.562459389073382</v>
      </c>
    </row>
    <row r="120" spans="1:8" ht="24" customHeight="1" x14ac:dyDescent="0.2">
      <c r="A120" s="85">
        <v>21</v>
      </c>
      <c r="B120" s="75" t="s">
        <v>378</v>
      </c>
      <c r="C120" s="218">
        <v>99185736</v>
      </c>
      <c r="D120" s="218">
        <v>105453829</v>
      </c>
      <c r="E120" s="218">
        <v>111762978</v>
      </c>
    </row>
    <row r="121" spans="1:8" ht="24" customHeight="1" x14ac:dyDescent="0.2">
      <c r="A121" s="85">
        <v>22</v>
      </c>
      <c r="B121" s="75" t="s">
        <v>374</v>
      </c>
      <c r="C121" s="218">
        <v>5714642</v>
      </c>
      <c r="D121" s="218">
        <v>6320576</v>
      </c>
      <c r="E121" s="218">
        <v>6363743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28670</v>
      </c>
      <c r="D124" s="218">
        <v>29383</v>
      </c>
      <c r="E124" s="218">
        <v>29710</v>
      </c>
    </row>
    <row r="125" spans="1:8" ht="24" customHeight="1" x14ac:dyDescent="0.2">
      <c r="A125" s="85">
        <v>2</v>
      </c>
      <c r="B125" s="75" t="s">
        <v>381</v>
      </c>
      <c r="C125" s="218">
        <v>7316</v>
      </c>
      <c r="D125" s="218">
        <v>7565</v>
      </c>
      <c r="E125" s="218">
        <v>7448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3.9188080918534718</v>
      </c>
      <c r="D126" s="219">
        <f>IF(D125=0,0,D124/D125)</f>
        <v>3.8840713813615335</v>
      </c>
      <c r="E126" s="219">
        <f>IF(E125=0,0,E124/E125)</f>
        <v>3.9889903329752956</v>
      </c>
    </row>
    <row r="127" spans="1:8" ht="24" customHeight="1" x14ac:dyDescent="0.2">
      <c r="A127" s="85">
        <v>4</v>
      </c>
      <c r="B127" s="75" t="s">
        <v>383</v>
      </c>
      <c r="C127" s="218">
        <v>132</v>
      </c>
      <c r="D127" s="218">
        <v>132</v>
      </c>
      <c r="E127" s="218">
        <v>115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154</v>
      </c>
      <c r="E128" s="218">
        <v>154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154</v>
      </c>
      <c r="D129" s="218">
        <v>154</v>
      </c>
      <c r="E129" s="218">
        <v>154</v>
      </c>
    </row>
    <row r="130" spans="1:7" ht="24" customHeight="1" x14ac:dyDescent="0.2">
      <c r="A130" s="85">
        <v>7</v>
      </c>
      <c r="B130" s="75" t="s">
        <v>386</v>
      </c>
      <c r="C130" s="193">
        <v>0.59499999999999997</v>
      </c>
      <c r="D130" s="193">
        <v>0.60980000000000001</v>
      </c>
      <c r="E130" s="193">
        <v>0.70779999999999998</v>
      </c>
    </row>
    <row r="131" spans="1:7" ht="24" customHeight="1" x14ac:dyDescent="0.2">
      <c r="A131" s="85">
        <v>8</v>
      </c>
      <c r="B131" s="75" t="s">
        <v>387</v>
      </c>
      <c r="C131" s="193">
        <v>0.51</v>
      </c>
      <c r="D131" s="193">
        <v>0.52270000000000005</v>
      </c>
      <c r="E131" s="193">
        <v>0.52849999999999997</v>
      </c>
    </row>
    <row r="132" spans="1:7" ht="24" customHeight="1" x14ac:dyDescent="0.2">
      <c r="A132" s="85">
        <v>9</v>
      </c>
      <c r="B132" s="75" t="s">
        <v>388</v>
      </c>
      <c r="C132" s="219">
        <v>860.8</v>
      </c>
      <c r="D132" s="219">
        <v>863.7</v>
      </c>
      <c r="E132" s="219">
        <v>855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0.35777683007021238</v>
      </c>
      <c r="D135" s="227">
        <f>IF(D149=0,0,D143/D149)</f>
        <v>0.34899675132775054</v>
      </c>
      <c r="E135" s="227">
        <f>IF(E149=0,0,E143/E149)</f>
        <v>0.32849865788799121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0.42747212714627242</v>
      </c>
      <c r="D136" s="227">
        <f>IF(D149=0,0,D144/D149)</f>
        <v>0.44378346681698722</v>
      </c>
      <c r="E136" s="227">
        <f>IF(E149=0,0,E144/E149)</f>
        <v>0.4576977314121336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0.19451920906278414</v>
      </c>
      <c r="D137" s="227">
        <f>IF(D149=0,0,D145/D149)</f>
        <v>0.18606470532759523</v>
      </c>
      <c r="E137" s="227">
        <f>IF(E149=0,0,E145/E149)</f>
        <v>0.19140907095426127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1.7280512731001025E-2</v>
      </c>
      <c r="D139" s="227">
        <f>IF(D149=0,0,D147/D149)</f>
        <v>1.9064670384490372E-2</v>
      </c>
      <c r="E139" s="227">
        <f>IF(E149=0,0,E147/E149)</f>
        <v>2.0321964494117044E-2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2.9513209897300179E-3</v>
      </c>
      <c r="D140" s="227">
        <f>IF(D149=0,0,D148/D149)</f>
        <v>2.090406143176632E-3</v>
      </c>
      <c r="E140" s="227">
        <f>IF(E149=0,0,E148/E149)</f>
        <v>2.0725752514968773E-3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123449282</v>
      </c>
      <c r="D143" s="229">
        <f>+D46-D147</f>
        <v>134682399</v>
      </c>
      <c r="E143" s="229">
        <f>+E46-E147</f>
        <v>140500392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147497330</v>
      </c>
      <c r="D144" s="229">
        <f>+D51</f>
        <v>171261829</v>
      </c>
      <c r="E144" s="229">
        <f>+E51</f>
        <v>195759432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67117976</v>
      </c>
      <c r="D145" s="229">
        <f>+D55</f>
        <v>71804797</v>
      </c>
      <c r="E145" s="229">
        <f>+E55</f>
        <v>81866543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5962563</v>
      </c>
      <c r="D147" s="229">
        <f>+D47</f>
        <v>7357305</v>
      </c>
      <c r="E147" s="229">
        <f>+E47</f>
        <v>8691798</v>
      </c>
    </row>
    <row r="148" spans="1:7" ht="20.100000000000001" customHeight="1" x14ac:dyDescent="0.2">
      <c r="A148" s="226">
        <v>13</v>
      </c>
      <c r="B148" s="224" t="s">
        <v>402</v>
      </c>
      <c r="C148" s="230">
        <v>1018340</v>
      </c>
      <c r="D148" s="229">
        <v>806715</v>
      </c>
      <c r="E148" s="229">
        <v>886450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345045491</v>
      </c>
      <c r="D149" s="229">
        <f>SUM(D143:D148)</f>
        <v>385913045</v>
      </c>
      <c r="E149" s="229">
        <f>SUM(E143:E148)</f>
        <v>427704615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0.43042318383049877</v>
      </c>
      <c r="D152" s="227">
        <f>IF(D166=0,0,D160/D166)</f>
        <v>0.46812531819972419</v>
      </c>
      <c r="E152" s="227">
        <f>IF(E166=0,0,E160/E166)</f>
        <v>0.47521480572985092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0.40694548614242737</v>
      </c>
      <c r="D153" s="227">
        <f>IF(D166=0,0,D161/D166)</f>
        <v>0.39811583945662804</v>
      </c>
      <c r="E153" s="227">
        <f>IF(E166=0,0,E161/E166)</f>
        <v>0.37934663536367175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0.15773805365690632</v>
      </c>
      <c r="D154" s="227">
        <f>IF(D166=0,0,D162/D166)</f>
        <v>0.13159138388287511</v>
      </c>
      <c r="E154" s="227">
        <f>IF(E166=0,0,E162/E166)</f>
        <v>0.14257065691776261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2.4902508826805379E-3</v>
      </c>
      <c r="D156" s="227">
        <f>IF(D166=0,0,D164/D166)</f>
        <v>4.0128808932329304E-4</v>
      </c>
      <c r="E156" s="227">
        <f>IF(E166=0,0,E164/E166)</f>
        <v>6.7779487439278844E-4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2.4030254874869901E-3</v>
      </c>
      <c r="D157" s="227">
        <f>IF(D166=0,0,D165/D166)</f>
        <v>1.7661703714493982E-3</v>
      </c>
      <c r="E157" s="227">
        <f>IF(E166=0,0,E165/E166)</f>
        <v>2.1901071143219249E-3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49785266</v>
      </c>
      <c r="D160" s="229">
        <f>+D44-D164</f>
        <v>58099191</v>
      </c>
      <c r="E160" s="229">
        <f>+E44-E164</f>
        <v>59998251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47069698</v>
      </c>
      <c r="D161" s="229">
        <f>+D50</f>
        <v>49410291</v>
      </c>
      <c r="E161" s="229">
        <f>+E50</f>
        <v>47894414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18244907</v>
      </c>
      <c r="D162" s="229">
        <f>+D54</f>
        <v>16331851</v>
      </c>
      <c r="E162" s="229">
        <f>+E54</f>
        <v>18000260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288037</v>
      </c>
      <c r="D164" s="229">
        <f>+D45</f>
        <v>49804</v>
      </c>
      <c r="E164" s="229">
        <f>+E45</f>
        <v>85575</v>
      </c>
    </row>
    <row r="165" spans="1:6" ht="20.100000000000001" customHeight="1" x14ac:dyDescent="0.2">
      <c r="A165" s="226">
        <v>13</v>
      </c>
      <c r="B165" s="224" t="s">
        <v>417</v>
      </c>
      <c r="C165" s="230">
        <v>277948</v>
      </c>
      <c r="D165" s="229">
        <v>219200</v>
      </c>
      <c r="E165" s="229">
        <v>276512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115665856</v>
      </c>
      <c r="D166" s="229">
        <f>SUM(D160:D165)</f>
        <v>124110337</v>
      </c>
      <c r="E166" s="229">
        <f>SUM(E160:E165)</f>
        <v>126255012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2320</v>
      </c>
      <c r="D169" s="218">
        <v>2350</v>
      </c>
      <c r="E169" s="218">
        <v>2202</v>
      </c>
    </row>
    <row r="170" spans="1:6" ht="20.100000000000001" customHeight="1" x14ac:dyDescent="0.2">
      <c r="A170" s="226">
        <v>2</v>
      </c>
      <c r="B170" s="224" t="s">
        <v>420</v>
      </c>
      <c r="C170" s="218">
        <v>3378</v>
      </c>
      <c r="D170" s="218">
        <v>3565</v>
      </c>
      <c r="E170" s="218">
        <v>3584</v>
      </c>
    </row>
    <row r="171" spans="1:6" ht="20.100000000000001" customHeight="1" x14ac:dyDescent="0.2">
      <c r="A171" s="226">
        <v>3</v>
      </c>
      <c r="B171" s="224" t="s">
        <v>421</v>
      </c>
      <c r="C171" s="218">
        <v>1593</v>
      </c>
      <c r="D171" s="218">
        <v>1625</v>
      </c>
      <c r="E171" s="218">
        <v>1646</v>
      </c>
    </row>
    <row r="172" spans="1:6" ht="20.100000000000001" customHeight="1" x14ac:dyDescent="0.2">
      <c r="A172" s="226">
        <v>4</v>
      </c>
      <c r="B172" s="224" t="s">
        <v>422</v>
      </c>
      <c r="C172" s="218">
        <v>1593</v>
      </c>
      <c r="D172" s="218">
        <v>1625</v>
      </c>
      <c r="E172" s="218">
        <v>1646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25</v>
      </c>
      <c r="D174" s="218">
        <v>25</v>
      </c>
      <c r="E174" s="218">
        <v>16</v>
      </c>
    </row>
    <row r="175" spans="1:6" ht="20.100000000000001" customHeight="1" x14ac:dyDescent="0.2">
      <c r="A175" s="226">
        <v>7</v>
      </c>
      <c r="B175" s="224" t="s">
        <v>425</v>
      </c>
      <c r="C175" s="218">
        <v>38</v>
      </c>
      <c r="D175" s="218">
        <v>119</v>
      </c>
      <c r="E175" s="218">
        <v>132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7316</v>
      </c>
      <c r="D176" s="218">
        <f>+D169+D170+D171+D174</f>
        <v>7565</v>
      </c>
      <c r="E176" s="218">
        <f>+E169+E170+E171+E174</f>
        <v>7448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0.97450000000000003</v>
      </c>
      <c r="D179" s="231">
        <v>0.96519999999999995</v>
      </c>
      <c r="E179" s="231">
        <v>1.024</v>
      </c>
    </row>
    <row r="180" spans="1:6" ht="20.100000000000001" customHeight="1" x14ac:dyDescent="0.2">
      <c r="A180" s="226">
        <v>2</v>
      </c>
      <c r="B180" s="224" t="s">
        <v>420</v>
      </c>
      <c r="C180" s="231">
        <v>1.2924</v>
      </c>
      <c r="D180" s="231">
        <v>1.2996000000000001</v>
      </c>
      <c r="E180" s="231">
        <v>1.2511000000000001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0.93069999999999997</v>
      </c>
      <c r="D181" s="231">
        <v>0.9425</v>
      </c>
      <c r="E181" s="231">
        <v>0.94910000000000005</v>
      </c>
    </row>
    <row r="182" spans="1:6" ht="20.100000000000001" customHeight="1" x14ac:dyDescent="0.2">
      <c r="A182" s="226">
        <v>4</v>
      </c>
      <c r="B182" s="224" t="s">
        <v>422</v>
      </c>
      <c r="C182" s="231">
        <v>0.93069999999999997</v>
      </c>
      <c r="D182" s="231">
        <v>0.9425</v>
      </c>
      <c r="E182" s="231">
        <v>0.94910000000000005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1.1613</v>
      </c>
      <c r="D184" s="231">
        <v>0.73570000000000002</v>
      </c>
      <c r="E184" s="231">
        <v>0.74550000000000005</v>
      </c>
    </row>
    <row r="185" spans="1:6" ht="20.100000000000001" customHeight="1" x14ac:dyDescent="0.2">
      <c r="A185" s="226">
        <v>7</v>
      </c>
      <c r="B185" s="224" t="s">
        <v>425</v>
      </c>
      <c r="C185" s="231">
        <v>0.8296</v>
      </c>
      <c r="D185" s="231">
        <v>0.94</v>
      </c>
      <c r="E185" s="231">
        <v>1.0887</v>
      </c>
    </row>
    <row r="186" spans="1:6" ht="20.100000000000001" customHeight="1" x14ac:dyDescent="0.2">
      <c r="A186" s="226">
        <v>8</v>
      </c>
      <c r="B186" s="224" t="s">
        <v>429</v>
      </c>
      <c r="C186" s="231">
        <v>1.112384</v>
      </c>
      <c r="D186" s="231">
        <v>1.117151</v>
      </c>
      <c r="E186" s="231">
        <v>1.1161300000000001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5363</v>
      </c>
      <c r="D189" s="218">
        <v>5787</v>
      </c>
      <c r="E189" s="218">
        <v>5771</v>
      </c>
    </row>
    <row r="190" spans="1:6" ht="20.100000000000001" customHeight="1" x14ac:dyDescent="0.2">
      <c r="A190" s="226">
        <v>2</v>
      </c>
      <c r="B190" s="224" t="s">
        <v>433</v>
      </c>
      <c r="C190" s="218">
        <v>34497</v>
      </c>
      <c r="D190" s="218">
        <v>32242</v>
      </c>
      <c r="E190" s="218">
        <v>32582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39860</v>
      </c>
      <c r="D191" s="218">
        <f>+D190+D189</f>
        <v>38029</v>
      </c>
      <c r="E191" s="218">
        <f>+E190+E189</f>
        <v>38353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582821</v>
      </c>
      <c r="D14" s="258">
        <v>852621</v>
      </c>
      <c r="E14" s="258">
        <f t="shared" ref="E14:E24" si="0">D14-C14</f>
        <v>269800</v>
      </c>
      <c r="F14" s="259">
        <f t="shared" ref="F14:F24" si="1">IF(C14=0,0,E14/C14)</f>
        <v>0.46292086249465958</v>
      </c>
    </row>
    <row r="15" spans="1:7" ht="20.25" customHeight="1" x14ac:dyDescent="0.3">
      <c r="A15" s="256">
        <v>2</v>
      </c>
      <c r="B15" s="257" t="s">
        <v>442</v>
      </c>
      <c r="C15" s="258">
        <v>257889</v>
      </c>
      <c r="D15" s="258">
        <v>273691</v>
      </c>
      <c r="E15" s="258">
        <f t="shared" si="0"/>
        <v>15802</v>
      </c>
      <c r="F15" s="259">
        <f t="shared" si="1"/>
        <v>6.127442426780514E-2</v>
      </c>
    </row>
    <row r="16" spans="1:7" ht="20.25" customHeight="1" x14ac:dyDescent="0.3">
      <c r="A16" s="256">
        <v>3</v>
      </c>
      <c r="B16" s="257" t="s">
        <v>443</v>
      </c>
      <c r="C16" s="258">
        <v>995843</v>
      </c>
      <c r="D16" s="258">
        <v>859784</v>
      </c>
      <c r="E16" s="258">
        <f t="shared" si="0"/>
        <v>-136059</v>
      </c>
      <c r="F16" s="259">
        <f t="shared" si="1"/>
        <v>-0.13662695826550972</v>
      </c>
    </row>
    <row r="17" spans="1:6" ht="20.25" customHeight="1" x14ac:dyDescent="0.3">
      <c r="A17" s="256">
        <v>4</v>
      </c>
      <c r="B17" s="257" t="s">
        <v>444</v>
      </c>
      <c r="C17" s="258">
        <v>290002</v>
      </c>
      <c r="D17" s="258">
        <v>215989</v>
      </c>
      <c r="E17" s="258">
        <f t="shared" si="0"/>
        <v>-74013</v>
      </c>
      <c r="F17" s="259">
        <f t="shared" si="1"/>
        <v>-0.25521548127254295</v>
      </c>
    </row>
    <row r="18" spans="1:6" ht="20.25" customHeight="1" x14ac:dyDescent="0.3">
      <c r="A18" s="256">
        <v>5</v>
      </c>
      <c r="B18" s="257" t="s">
        <v>381</v>
      </c>
      <c r="C18" s="260">
        <v>31</v>
      </c>
      <c r="D18" s="260">
        <v>38</v>
      </c>
      <c r="E18" s="260">
        <f t="shared" si="0"/>
        <v>7</v>
      </c>
      <c r="F18" s="259">
        <f t="shared" si="1"/>
        <v>0.22580645161290322</v>
      </c>
    </row>
    <row r="19" spans="1:6" ht="20.25" customHeight="1" x14ac:dyDescent="0.3">
      <c r="A19" s="256">
        <v>6</v>
      </c>
      <c r="B19" s="257" t="s">
        <v>380</v>
      </c>
      <c r="C19" s="260">
        <v>75</v>
      </c>
      <c r="D19" s="260">
        <v>171</v>
      </c>
      <c r="E19" s="260">
        <f t="shared" si="0"/>
        <v>96</v>
      </c>
      <c r="F19" s="259">
        <f t="shared" si="1"/>
        <v>1.28</v>
      </c>
    </row>
    <row r="20" spans="1:6" ht="20.25" customHeight="1" x14ac:dyDescent="0.3">
      <c r="A20" s="256">
        <v>7</v>
      </c>
      <c r="B20" s="257" t="s">
        <v>445</v>
      </c>
      <c r="C20" s="260">
        <v>598</v>
      </c>
      <c r="D20" s="260">
        <v>649</v>
      </c>
      <c r="E20" s="260">
        <f t="shared" si="0"/>
        <v>51</v>
      </c>
      <c r="F20" s="259">
        <f t="shared" si="1"/>
        <v>8.5284280936454848E-2</v>
      </c>
    </row>
    <row r="21" spans="1:6" ht="20.25" customHeight="1" x14ac:dyDescent="0.3">
      <c r="A21" s="256">
        <v>8</v>
      </c>
      <c r="B21" s="257" t="s">
        <v>446</v>
      </c>
      <c r="C21" s="260">
        <v>65</v>
      </c>
      <c r="D21" s="260">
        <v>65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16</v>
      </c>
      <c r="D22" s="260">
        <v>36</v>
      </c>
      <c r="E22" s="260">
        <f t="shared" si="0"/>
        <v>20</v>
      </c>
      <c r="F22" s="259">
        <f t="shared" si="1"/>
        <v>1.25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1578664</v>
      </c>
      <c r="D23" s="263">
        <f>+D14+D16</f>
        <v>1712405</v>
      </c>
      <c r="E23" s="263">
        <f t="shared" si="0"/>
        <v>133741</v>
      </c>
      <c r="F23" s="264">
        <f t="shared" si="1"/>
        <v>8.4717837361211759E-2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547891</v>
      </c>
      <c r="D24" s="263">
        <f>+D15+D17</f>
        <v>489680</v>
      </c>
      <c r="E24" s="263">
        <f t="shared" si="0"/>
        <v>-58211</v>
      </c>
      <c r="F24" s="264">
        <f t="shared" si="1"/>
        <v>-0.10624558534453021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4522539</v>
      </c>
      <c r="D40" s="258">
        <v>5474841</v>
      </c>
      <c r="E40" s="258">
        <f t="shared" ref="E40:E50" si="4">D40-C40</f>
        <v>952302</v>
      </c>
      <c r="F40" s="259">
        <f t="shared" ref="F40:F50" si="5">IF(C40=0,0,E40/C40)</f>
        <v>0.21056800173530843</v>
      </c>
    </row>
    <row r="41" spans="1:6" ht="20.25" customHeight="1" x14ac:dyDescent="0.3">
      <c r="A41" s="256">
        <v>2</v>
      </c>
      <c r="B41" s="257" t="s">
        <v>442</v>
      </c>
      <c r="C41" s="258">
        <v>1448611</v>
      </c>
      <c r="D41" s="258">
        <v>2021995</v>
      </c>
      <c r="E41" s="258">
        <f t="shared" si="4"/>
        <v>573384</v>
      </c>
      <c r="F41" s="259">
        <f t="shared" si="5"/>
        <v>0.39581640619876557</v>
      </c>
    </row>
    <row r="42" spans="1:6" ht="20.25" customHeight="1" x14ac:dyDescent="0.3">
      <c r="A42" s="256">
        <v>3</v>
      </c>
      <c r="B42" s="257" t="s">
        <v>443</v>
      </c>
      <c r="C42" s="258">
        <v>7202175</v>
      </c>
      <c r="D42" s="258">
        <v>9355259</v>
      </c>
      <c r="E42" s="258">
        <f t="shared" si="4"/>
        <v>2153084</v>
      </c>
      <c r="F42" s="259">
        <f t="shared" si="5"/>
        <v>0.29894913689267477</v>
      </c>
    </row>
    <row r="43" spans="1:6" ht="20.25" customHeight="1" x14ac:dyDescent="0.3">
      <c r="A43" s="256">
        <v>4</v>
      </c>
      <c r="B43" s="257" t="s">
        <v>444</v>
      </c>
      <c r="C43" s="258">
        <v>1411615</v>
      </c>
      <c r="D43" s="258">
        <v>1590401</v>
      </c>
      <c r="E43" s="258">
        <f t="shared" si="4"/>
        <v>178786</v>
      </c>
      <c r="F43" s="259">
        <f t="shared" si="5"/>
        <v>0.12665351388303467</v>
      </c>
    </row>
    <row r="44" spans="1:6" ht="20.25" customHeight="1" x14ac:dyDescent="0.3">
      <c r="A44" s="256">
        <v>5</v>
      </c>
      <c r="B44" s="257" t="s">
        <v>381</v>
      </c>
      <c r="C44" s="260">
        <v>197</v>
      </c>
      <c r="D44" s="260">
        <v>221</v>
      </c>
      <c r="E44" s="260">
        <f t="shared" si="4"/>
        <v>24</v>
      </c>
      <c r="F44" s="259">
        <f t="shared" si="5"/>
        <v>0.12182741116751269</v>
      </c>
    </row>
    <row r="45" spans="1:6" ht="20.25" customHeight="1" x14ac:dyDescent="0.3">
      <c r="A45" s="256">
        <v>6</v>
      </c>
      <c r="B45" s="257" t="s">
        <v>380</v>
      </c>
      <c r="C45" s="260">
        <v>561</v>
      </c>
      <c r="D45" s="260">
        <v>953</v>
      </c>
      <c r="E45" s="260">
        <f t="shared" si="4"/>
        <v>392</v>
      </c>
      <c r="F45" s="259">
        <f t="shared" si="5"/>
        <v>0.69875222816399285</v>
      </c>
    </row>
    <row r="46" spans="1:6" ht="20.25" customHeight="1" x14ac:dyDescent="0.3">
      <c r="A46" s="256">
        <v>7</v>
      </c>
      <c r="B46" s="257" t="s">
        <v>445</v>
      </c>
      <c r="C46" s="260">
        <v>3917</v>
      </c>
      <c r="D46" s="260">
        <v>4254</v>
      </c>
      <c r="E46" s="260">
        <f t="shared" si="4"/>
        <v>337</v>
      </c>
      <c r="F46" s="259">
        <f t="shared" si="5"/>
        <v>8.6035231044166452E-2</v>
      </c>
    </row>
    <row r="47" spans="1:6" ht="20.25" customHeight="1" x14ac:dyDescent="0.3">
      <c r="A47" s="256">
        <v>8</v>
      </c>
      <c r="B47" s="257" t="s">
        <v>446</v>
      </c>
      <c r="C47" s="260">
        <v>284</v>
      </c>
      <c r="D47" s="260">
        <v>395</v>
      </c>
      <c r="E47" s="260">
        <f t="shared" si="4"/>
        <v>111</v>
      </c>
      <c r="F47" s="259">
        <f t="shared" si="5"/>
        <v>0.39084507042253519</v>
      </c>
    </row>
    <row r="48" spans="1:6" ht="20.25" customHeight="1" x14ac:dyDescent="0.3">
      <c r="A48" s="256">
        <v>9</v>
      </c>
      <c r="B48" s="257" t="s">
        <v>447</v>
      </c>
      <c r="C48" s="260">
        <v>124</v>
      </c>
      <c r="D48" s="260">
        <v>193</v>
      </c>
      <c r="E48" s="260">
        <f t="shared" si="4"/>
        <v>69</v>
      </c>
      <c r="F48" s="259">
        <f t="shared" si="5"/>
        <v>0.55645161290322576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11724714</v>
      </c>
      <c r="D49" s="263">
        <f>+D40+D42</f>
        <v>14830100</v>
      </c>
      <c r="E49" s="263">
        <f t="shared" si="4"/>
        <v>3105386</v>
      </c>
      <c r="F49" s="264">
        <f t="shared" si="5"/>
        <v>0.26485814494067828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2860226</v>
      </c>
      <c r="D50" s="263">
        <f>+D41+D43</f>
        <v>3612396</v>
      </c>
      <c r="E50" s="263">
        <f t="shared" si="4"/>
        <v>752170</v>
      </c>
      <c r="F50" s="264">
        <f t="shared" si="5"/>
        <v>0.26297572289742138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63954</v>
      </c>
      <c r="D66" s="258">
        <v>97778</v>
      </c>
      <c r="E66" s="258">
        <f t="shared" ref="E66:E76" si="8">D66-C66</f>
        <v>33824</v>
      </c>
      <c r="F66" s="259">
        <f t="shared" ref="F66:F76" si="9">IF(C66=0,0,E66/C66)</f>
        <v>0.52888013259530287</v>
      </c>
    </row>
    <row r="67" spans="1:6" ht="20.25" customHeight="1" x14ac:dyDescent="0.3">
      <c r="A67" s="256">
        <v>2</v>
      </c>
      <c r="B67" s="257" t="s">
        <v>442</v>
      </c>
      <c r="C67" s="258">
        <v>24682</v>
      </c>
      <c r="D67" s="258">
        <v>29538</v>
      </c>
      <c r="E67" s="258">
        <f t="shared" si="8"/>
        <v>4856</v>
      </c>
      <c r="F67" s="259">
        <f t="shared" si="9"/>
        <v>0.19674256543229884</v>
      </c>
    </row>
    <row r="68" spans="1:6" ht="20.25" customHeight="1" x14ac:dyDescent="0.3">
      <c r="A68" s="256">
        <v>3</v>
      </c>
      <c r="B68" s="257" t="s">
        <v>443</v>
      </c>
      <c r="C68" s="258">
        <v>60932</v>
      </c>
      <c r="D68" s="258">
        <v>157258</v>
      </c>
      <c r="E68" s="258">
        <f t="shared" si="8"/>
        <v>96326</v>
      </c>
      <c r="F68" s="259">
        <f t="shared" si="9"/>
        <v>1.5808770432613406</v>
      </c>
    </row>
    <row r="69" spans="1:6" ht="20.25" customHeight="1" x14ac:dyDescent="0.3">
      <c r="A69" s="256">
        <v>4</v>
      </c>
      <c r="B69" s="257" t="s">
        <v>444</v>
      </c>
      <c r="C69" s="258">
        <v>10505</v>
      </c>
      <c r="D69" s="258">
        <v>16591</v>
      </c>
      <c r="E69" s="258">
        <f t="shared" si="8"/>
        <v>6086</v>
      </c>
      <c r="F69" s="259">
        <f t="shared" si="9"/>
        <v>0.57934316991908619</v>
      </c>
    </row>
    <row r="70" spans="1:6" ht="20.25" customHeight="1" x14ac:dyDescent="0.3">
      <c r="A70" s="256">
        <v>5</v>
      </c>
      <c r="B70" s="257" t="s">
        <v>381</v>
      </c>
      <c r="C70" s="260">
        <v>1</v>
      </c>
      <c r="D70" s="260">
        <v>5</v>
      </c>
      <c r="E70" s="260">
        <f t="shared" si="8"/>
        <v>4</v>
      </c>
      <c r="F70" s="259">
        <f t="shared" si="9"/>
        <v>4</v>
      </c>
    </row>
    <row r="71" spans="1:6" ht="20.25" customHeight="1" x14ac:dyDescent="0.3">
      <c r="A71" s="256">
        <v>6</v>
      </c>
      <c r="B71" s="257" t="s">
        <v>380</v>
      </c>
      <c r="C71" s="260">
        <v>19</v>
      </c>
      <c r="D71" s="260">
        <v>14</v>
      </c>
      <c r="E71" s="260">
        <f t="shared" si="8"/>
        <v>-5</v>
      </c>
      <c r="F71" s="259">
        <f t="shared" si="9"/>
        <v>-0.26315789473684209</v>
      </c>
    </row>
    <row r="72" spans="1:6" ht="20.25" customHeight="1" x14ac:dyDescent="0.3">
      <c r="A72" s="256">
        <v>7</v>
      </c>
      <c r="B72" s="257" t="s">
        <v>445</v>
      </c>
      <c r="C72" s="260">
        <v>14</v>
      </c>
      <c r="D72" s="260">
        <v>25</v>
      </c>
      <c r="E72" s="260">
        <f t="shared" si="8"/>
        <v>11</v>
      </c>
      <c r="F72" s="259">
        <f t="shared" si="9"/>
        <v>0.7857142857142857</v>
      </c>
    </row>
    <row r="73" spans="1:6" ht="20.25" customHeight="1" x14ac:dyDescent="0.3">
      <c r="A73" s="256">
        <v>8</v>
      </c>
      <c r="B73" s="257" t="s">
        <v>446</v>
      </c>
      <c r="C73" s="260">
        <v>14</v>
      </c>
      <c r="D73" s="260">
        <v>19</v>
      </c>
      <c r="E73" s="260">
        <f t="shared" si="8"/>
        <v>5</v>
      </c>
      <c r="F73" s="259">
        <f t="shared" si="9"/>
        <v>0.35714285714285715</v>
      </c>
    </row>
    <row r="74" spans="1:6" ht="20.25" customHeight="1" x14ac:dyDescent="0.3">
      <c r="A74" s="256">
        <v>9</v>
      </c>
      <c r="B74" s="257" t="s">
        <v>447</v>
      </c>
      <c r="C74" s="260">
        <v>4</v>
      </c>
      <c r="D74" s="260">
        <v>5</v>
      </c>
      <c r="E74" s="260">
        <f t="shared" si="8"/>
        <v>1</v>
      </c>
      <c r="F74" s="259">
        <f t="shared" si="9"/>
        <v>0.25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124886</v>
      </c>
      <c r="D75" s="263">
        <f>+D66+D68</f>
        <v>255036</v>
      </c>
      <c r="E75" s="263">
        <f t="shared" si="8"/>
        <v>130150</v>
      </c>
      <c r="F75" s="264">
        <f t="shared" si="9"/>
        <v>1.0421504412023765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35187</v>
      </c>
      <c r="D76" s="263">
        <f>+D67+D69</f>
        <v>46129</v>
      </c>
      <c r="E76" s="263">
        <f t="shared" si="8"/>
        <v>10942</v>
      </c>
      <c r="F76" s="264">
        <f t="shared" si="9"/>
        <v>0.31096711853809644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9220720</v>
      </c>
      <c r="D92" s="258">
        <v>10100189</v>
      </c>
      <c r="E92" s="258">
        <f t="shared" ref="E92:E102" si="12">D92-C92</f>
        <v>879469</v>
      </c>
      <c r="F92" s="259">
        <f t="shared" ref="F92:F102" si="13">IF(C92=0,0,E92/C92)</f>
        <v>9.5379644973494479E-2</v>
      </c>
    </row>
    <row r="93" spans="1:6" ht="20.25" customHeight="1" x14ac:dyDescent="0.3">
      <c r="A93" s="256">
        <v>2</v>
      </c>
      <c r="B93" s="257" t="s">
        <v>442</v>
      </c>
      <c r="C93" s="258">
        <v>3490116</v>
      </c>
      <c r="D93" s="258">
        <v>3471836</v>
      </c>
      <c r="E93" s="258">
        <f t="shared" si="12"/>
        <v>-18280</v>
      </c>
      <c r="F93" s="259">
        <f t="shared" si="13"/>
        <v>-5.2376482615477541E-3</v>
      </c>
    </row>
    <row r="94" spans="1:6" ht="20.25" customHeight="1" x14ac:dyDescent="0.3">
      <c r="A94" s="256">
        <v>3</v>
      </c>
      <c r="B94" s="257" t="s">
        <v>443</v>
      </c>
      <c r="C94" s="258">
        <v>11329596</v>
      </c>
      <c r="D94" s="258">
        <v>12848491</v>
      </c>
      <c r="E94" s="258">
        <f t="shared" si="12"/>
        <v>1518895</v>
      </c>
      <c r="F94" s="259">
        <f t="shared" si="13"/>
        <v>0.13406435675199715</v>
      </c>
    </row>
    <row r="95" spans="1:6" ht="20.25" customHeight="1" x14ac:dyDescent="0.3">
      <c r="A95" s="256">
        <v>4</v>
      </c>
      <c r="B95" s="257" t="s">
        <v>444</v>
      </c>
      <c r="C95" s="258">
        <v>2376262</v>
      </c>
      <c r="D95" s="258">
        <v>2361637</v>
      </c>
      <c r="E95" s="258">
        <f t="shared" si="12"/>
        <v>-14625</v>
      </c>
      <c r="F95" s="259">
        <f t="shared" si="13"/>
        <v>-6.1546243638117342E-3</v>
      </c>
    </row>
    <row r="96" spans="1:6" ht="20.25" customHeight="1" x14ac:dyDescent="0.3">
      <c r="A96" s="256">
        <v>5</v>
      </c>
      <c r="B96" s="257" t="s">
        <v>381</v>
      </c>
      <c r="C96" s="260">
        <v>367</v>
      </c>
      <c r="D96" s="260">
        <v>410</v>
      </c>
      <c r="E96" s="260">
        <f t="shared" si="12"/>
        <v>43</v>
      </c>
      <c r="F96" s="259">
        <f t="shared" si="13"/>
        <v>0.11716621253405994</v>
      </c>
    </row>
    <row r="97" spans="1:6" ht="20.25" customHeight="1" x14ac:dyDescent="0.3">
      <c r="A97" s="256">
        <v>6</v>
      </c>
      <c r="B97" s="257" t="s">
        <v>380</v>
      </c>
      <c r="C97" s="260">
        <v>1950</v>
      </c>
      <c r="D97" s="260">
        <v>1857</v>
      </c>
      <c r="E97" s="260">
        <f t="shared" si="12"/>
        <v>-93</v>
      </c>
      <c r="F97" s="259">
        <f t="shared" si="13"/>
        <v>-4.7692307692307694E-2</v>
      </c>
    </row>
    <row r="98" spans="1:6" ht="20.25" customHeight="1" x14ac:dyDescent="0.3">
      <c r="A98" s="256">
        <v>7</v>
      </c>
      <c r="B98" s="257" t="s">
        <v>445</v>
      </c>
      <c r="C98" s="260">
        <v>7013</v>
      </c>
      <c r="D98" s="260">
        <v>7731</v>
      </c>
      <c r="E98" s="260">
        <f t="shared" si="12"/>
        <v>718</v>
      </c>
      <c r="F98" s="259">
        <f t="shared" si="13"/>
        <v>0.1023812918864965</v>
      </c>
    </row>
    <row r="99" spans="1:6" ht="20.25" customHeight="1" x14ac:dyDescent="0.3">
      <c r="A99" s="256">
        <v>8</v>
      </c>
      <c r="B99" s="257" t="s">
        <v>446</v>
      </c>
      <c r="C99" s="260">
        <v>668</v>
      </c>
      <c r="D99" s="260">
        <v>693</v>
      </c>
      <c r="E99" s="260">
        <f t="shared" si="12"/>
        <v>25</v>
      </c>
      <c r="F99" s="259">
        <f t="shared" si="13"/>
        <v>3.7425149700598799E-2</v>
      </c>
    </row>
    <row r="100" spans="1:6" ht="20.25" customHeight="1" x14ac:dyDescent="0.3">
      <c r="A100" s="256">
        <v>9</v>
      </c>
      <c r="B100" s="257" t="s">
        <v>447</v>
      </c>
      <c r="C100" s="260">
        <v>379</v>
      </c>
      <c r="D100" s="260">
        <v>380</v>
      </c>
      <c r="E100" s="260">
        <f t="shared" si="12"/>
        <v>1</v>
      </c>
      <c r="F100" s="259">
        <f t="shared" si="13"/>
        <v>2.6385224274406332E-3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20550316</v>
      </c>
      <c r="D101" s="263">
        <f>+D92+D94</f>
        <v>22948680</v>
      </c>
      <c r="E101" s="263">
        <f t="shared" si="12"/>
        <v>2398364</v>
      </c>
      <c r="F101" s="264">
        <f t="shared" si="13"/>
        <v>0.11670691584499236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5866378</v>
      </c>
      <c r="D102" s="263">
        <f>+D93+D95</f>
        <v>5833473</v>
      </c>
      <c r="E102" s="263">
        <f t="shared" si="12"/>
        <v>-32905</v>
      </c>
      <c r="F102" s="264">
        <f t="shared" si="13"/>
        <v>-5.6090828105519281E-3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767385</v>
      </c>
      <c r="D105" s="258">
        <v>906040</v>
      </c>
      <c r="E105" s="258">
        <f t="shared" ref="E105:E115" si="14">D105-C105</f>
        <v>138655</v>
      </c>
      <c r="F105" s="259">
        <f t="shared" ref="F105:F115" si="15">IF(C105=0,0,E105/C105)</f>
        <v>0.18068505378656086</v>
      </c>
    </row>
    <row r="106" spans="1:6" ht="20.25" customHeight="1" x14ac:dyDescent="0.3">
      <c r="A106" s="256">
        <v>2</v>
      </c>
      <c r="B106" s="257" t="s">
        <v>442</v>
      </c>
      <c r="C106" s="258">
        <v>283876</v>
      </c>
      <c r="D106" s="258">
        <v>323612</v>
      </c>
      <c r="E106" s="258">
        <f t="shared" si="14"/>
        <v>39736</v>
      </c>
      <c r="F106" s="259">
        <f t="shared" si="15"/>
        <v>0.13997660950555876</v>
      </c>
    </row>
    <row r="107" spans="1:6" ht="20.25" customHeight="1" x14ac:dyDescent="0.3">
      <c r="A107" s="256">
        <v>3</v>
      </c>
      <c r="B107" s="257" t="s">
        <v>443</v>
      </c>
      <c r="C107" s="258">
        <v>838936</v>
      </c>
      <c r="D107" s="258">
        <v>990015</v>
      </c>
      <c r="E107" s="258">
        <f t="shared" si="14"/>
        <v>151079</v>
      </c>
      <c r="F107" s="259">
        <f t="shared" si="15"/>
        <v>0.18008405885550269</v>
      </c>
    </row>
    <row r="108" spans="1:6" ht="20.25" customHeight="1" x14ac:dyDescent="0.3">
      <c r="A108" s="256">
        <v>4</v>
      </c>
      <c r="B108" s="257" t="s">
        <v>444</v>
      </c>
      <c r="C108" s="258">
        <v>135326</v>
      </c>
      <c r="D108" s="258">
        <v>182993</v>
      </c>
      <c r="E108" s="258">
        <f t="shared" si="14"/>
        <v>47667</v>
      </c>
      <c r="F108" s="259">
        <f t="shared" si="15"/>
        <v>0.35223829862701922</v>
      </c>
    </row>
    <row r="109" spans="1:6" ht="20.25" customHeight="1" x14ac:dyDescent="0.3">
      <c r="A109" s="256">
        <v>5</v>
      </c>
      <c r="B109" s="257" t="s">
        <v>381</v>
      </c>
      <c r="C109" s="260">
        <v>26</v>
      </c>
      <c r="D109" s="260">
        <v>38</v>
      </c>
      <c r="E109" s="260">
        <f t="shared" si="14"/>
        <v>12</v>
      </c>
      <c r="F109" s="259">
        <f t="shared" si="15"/>
        <v>0.46153846153846156</v>
      </c>
    </row>
    <row r="110" spans="1:6" ht="20.25" customHeight="1" x14ac:dyDescent="0.3">
      <c r="A110" s="256">
        <v>6</v>
      </c>
      <c r="B110" s="257" t="s">
        <v>380</v>
      </c>
      <c r="C110" s="260">
        <v>243</v>
      </c>
      <c r="D110" s="260">
        <v>198</v>
      </c>
      <c r="E110" s="260">
        <f t="shared" si="14"/>
        <v>-45</v>
      </c>
      <c r="F110" s="259">
        <f t="shared" si="15"/>
        <v>-0.18518518518518517</v>
      </c>
    </row>
    <row r="111" spans="1:6" ht="20.25" customHeight="1" x14ac:dyDescent="0.3">
      <c r="A111" s="256">
        <v>7</v>
      </c>
      <c r="B111" s="257" t="s">
        <v>445</v>
      </c>
      <c r="C111" s="260">
        <v>425</v>
      </c>
      <c r="D111" s="260">
        <v>692</v>
      </c>
      <c r="E111" s="260">
        <f t="shared" si="14"/>
        <v>267</v>
      </c>
      <c r="F111" s="259">
        <f t="shared" si="15"/>
        <v>0.62823529411764711</v>
      </c>
    </row>
    <row r="112" spans="1:6" ht="20.25" customHeight="1" x14ac:dyDescent="0.3">
      <c r="A112" s="256">
        <v>8</v>
      </c>
      <c r="B112" s="257" t="s">
        <v>446</v>
      </c>
      <c r="C112" s="260">
        <v>91</v>
      </c>
      <c r="D112" s="260">
        <v>138</v>
      </c>
      <c r="E112" s="260">
        <f t="shared" si="14"/>
        <v>47</v>
      </c>
      <c r="F112" s="259">
        <f t="shared" si="15"/>
        <v>0.51648351648351654</v>
      </c>
    </row>
    <row r="113" spans="1:6" ht="20.25" customHeight="1" x14ac:dyDescent="0.3">
      <c r="A113" s="256">
        <v>9</v>
      </c>
      <c r="B113" s="257" t="s">
        <v>447</v>
      </c>
      <c r="C113" s="260">
        <v>45</v>
      </c>
      <c r="D113" s="260">
        <v>37</v>
      </c>
      <c r="E113" s="260">
        <f t="shared" si="14"/>
        <v>-8</v>
      </c>
      <c r="F113" s="259">
        <f t="shared" si="15"/>
        <v>-0.17777777777777778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1606321</v>
      </c>
      <c r="D114" s="263">
        <f>+D105+D107</f>
        <v>1896055</v>
      </c>
      <c r="E114" s="263">
        <f t="shared" si="14"/>
        <v>289734</v>
      </c>
      <c r="F114" s="264">
        <f t="shared" si="15"/>
        <v>0.1803711711420071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419202</v>
      </c>
      <c r="D115" s="263">
        <f>+D106+D108</f>
        <v>506605</v>
      </c>
      <c r="E115" s="263">
        <f t="shared" si="14"/>
        <v>87403</v>
      </c>
      <c r="F115" s="264">
        <f t="shared" si="15"/>
        <v>0.20849852815587711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1122170</v>
      </c>
      <c r="D118" s="258">
        <v>3205900</v>
      </c>
      <c r="E118" s="258">
        <f t="shared" ref="E118:E128" si="16">D118-C118</f>
        <v>2083730</v>
      </c>
      <c r="F118" s="259">
        <f t="shared" ref="F118:F128" si="17">IF(C118=0,0,E118/C118)</f>
        <v>1.8568755179696481</v>
      </c>
    </row>
    <row r="119" spans="1:6" ht="20.25" customHeight="1" x14ac:dyDescent="0.3">
      <c r="A119" s="256">
        <v>2</v>
      </c>
      <c r="B119" s="257" t="s">
        <v>442</v>
      </c>
      <c r="C119" s="258">
        <v>437779</v>
      </c>
      <c r="D119" s="258">
        <v>1038135</v>
      </c>
      <c r="E119" s="258">
        <f t="shared" si="16"/>
        <v>600356</v>
      </c>
      <c r="F119" s="259">
        <f t="shared" si="17"/>
        <v>1.3713677449123873</v>
      </c>
    </row>
    <row r="120" spans="1:6" ht="20.25" customHeight="1" x14ac:dyDescent="0.3">
      <c r="A120" s="256">
        <v>3</v>
      </c>
      <c r="B120" s="257" t="s">
        <v>443</v>
      </c>
      <c r="C120" s="258">
        <v>1490990</v>
      </c>
      <c r="D120" s="258">
        <v>3932596</v>
      </c>
      <c r="E120" s="258">
        <f t="shared" si="16"/>
        <v>2441606</v>
      </c>
      <c r="F120" s="259">
        <f t="shared" si="17"/>
        <v>1.6375736926471673</v>
      </c>
    </row>
    <row r="121" spans="1:6" ht="20.25" customHeight="1" x14ac:dyDescent="0.3">
      <c r="A121" s="256">
        <v>4</v>
      </c>
      <c r="B121" s="257" t="s">
        <v>444</v>
      </c>
      <c r="C121" s="258">
        <v>336398</v>
      </c>
      <c r="D121" s="258">
        <v>731684</v>
      </c>
      <c r="E121" s="258">
        <f t="shared" si="16"/>
        <v>395286</v>
      </c>
      <c r="F121" s="259">
        <f t="shared" si="17"/>
        <v>1.1750545484812633</v>
      </c>
    </row>
    <row r="122" spans="1:6" ht="20.25" customHeight="1" x14ac:dyDescent="0.3">
      <c r="A122" s="256">
        <v>5</v>
      </c>
      <c r="B122" s="257" t="s">
        <v>381</v>
      </c>
      <c r="C122" s="260">
        <v>48</v>
      </c>
      <c r="D122" s="260">
        <v>114</v>
      </c>
      <c r="E122" s="260">
        <f t="shared" si="16"/>
        <v>66</v>
      </c>
      <c r="F122" s="259">
        <f t="shared" si="17"/>
        <v>1.375</v>
      </c>
    </row>
    <row r="123" spans="1:6" ht="20.25" customHeight="1" x14ac:dyDescent="0.3">
      <c r="A123" s="256">
        <v>6</v>
      </c>
      <c r="B123" s="257" t="s">
        <v>380</v>
      </c>
      <c r="C123" s="260">
        <v>206</v>
      </c>
      <c r="D123" s="260">
        <v>485</v>
      </c>
      <c r="E123" s="260">
        <f t="shared" si="16"/>
        <v>279</v>
      </c>
      <c r="F123" s="259">
        <f t="shared" si="17"/>
        <v>1.354368932038835</v>
      </c>
    </row>
    <row r="124" spans="1:6" ht="20.25" customHeight="1" x14ac:dyDescent="0.3">
      <c r="A124" s="256">
        <v>7</v>
      </c>
      <c r="B124" s="257" t="s">
        <v>445</v>
      </c>
      <c r="C124" s="260">
        <v>902</v>
      </c>
      <c r="D124" s="260">
        <v>1744</v>
      </c>
      <c r="E124" s="260">
        <f t="shared" si="16"/>
        <v>842</v>
      </c>
      <c r="F124" s="259">
        <f t="shared" si="17"/>
        <v>0.93348115299334811</v>
      </c>
    </row>
    <row r="125" spans="1:6" ht="20.25" customHeight="1" x14ac:dyDescent="0.3">
      <c r="A125" s="256">
        <v>8</v>
      </c>
      <c r="B125" s="257" t="s">
        <v>446</v>
      </c>
      <c r="C125" s="260">
        <v>111</v>
      </c>
      <c r="D125" s="260">
        <v>216</v>
      </c>
      <c r="E125" s="260">
        <f t="shared" si="16"/>
        <v>105</v>
      </c>
      <c r="F125" s="259">
        <f t="shared" si="17"/>
        <v>0.94594594594594594</v>
      </c>
    </row>
    <row r="126" spans="1:6" ht="20.25" customHeight="1" x14ac:dyDescent="0.3">
      <c r="A126" s="256">
        <v>9</v>
      </c>
      <c r="B126" s="257" t="s">
        <v>447</v>
      </c>
      <c r="C126" s="260">
        <v>38</v>
      </c>
      <c r="D126" s="260">
        <v>101</v>
      </c>
      <c r="E126" s="260">
        <f t="shared" si="16"/>
        <v>63</v>
      </c>
      <c r="F126" s="259">
        <f t="shared" si="17"/>
        <v>1.6578947368421053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2613160</v>
      </c>
      <c r="D127" s="263">
        <f>+D118+D120</f>
        <v>7138496</v>
      </c>
      <c r="E127" s="263">
        <f t="shared" si="16"/>
        <v>4525336</v>
      </c>
      <c r="F127" s="264">
        <f t="shared" si="17"/>
        <v>1.7317485343415635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774177</v>
      </c>
      <c r="D128" s="263">
        <f>+D119+D121</f>
        <v>1769819</v>
      </c>
      <c r="E128" s="263">
        <f t="shared" si="16"/>
        <v>995642</v>
      </c>
      <c r="F128" s="264">
        <f t="shared" si="17"/>
        <v>1.2860650729742682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26214</v>
      </c>
      <c r="D131" s="258">
        <v>60386</v>
      </c>
      <c r="E131" s="258">
        <f t="shared" ref="E131:E141" si="18">D131-C131</f>
        <v>34172</v>
      </c>
      <c r="F131" s="259">
        <f t="shared" ref="F131:F141" si="19">IF(C131=0,0,E131/C131)</f>
        <v>1.3035782406347753</v>
      </c>
    </row>
    <row r="132" spans="1:6" ht="20.25" customHeight="1" x14ac:dyDescent="0.3">
      <c r="A132" s="256">
        <v>2</v>
      </c>
      <c r="B132" s="257" t="s">
        <v>442</v>
      </c>
      <c r="C132" s="258">
        <v>15444</v>
      </c>
      <c r="D132" s="258">
        <v>21269</v>
      </c>
      <c r="E132" s="258">
        <f t="shared" si="18"/>
        <v>5825</v>
      </c>
      <c r="F132" s="259">
        <f t="shared" si="19"/>
        <v>0.37716912716912715</v>
      </c>
    </row>
    <row r="133" spans="1:6" ht="20.25" customHeight="1" x14ac:dyDescent="0.3">
      <c r="A133" s="256">
        <v>3</v>
      </c>
      <c r="B133" s="257" t="s">
        <v>443</v>
      </c>
      <c r="C133" s="258">
        <v>15375</v>
      </c>
      <c r="D133" s="258">
        <v>71451</v>
      </c>
      <c r="E133" s="258">
        <f t="shared" si="18"/>
        <v>56076</v>
      </c>
      <c r="F133" s="259">
        <f t="shared" si="19"/>
        <v>3.6472195121951221</v>
      </c>
    </row>
    <row r="134" spans="1:6" ht="20.25" customHeight="1" x14ac:dyDescent="0.3">
      <c r="A134" s="256">
        <v>4</v>
      </c>
      <c r="B134" s="257" t="s">
        <v>444</v>
      </c>
      <c r="C134" s="258">
        <v>4048</v>
      </c>
      <c r="D134" s="258">
        <v>11284</v>
      </c>
      <c r="E134" s="258">
        <f t="shared" si="18"/>
        <v>7236</v>
      </c>
      <c r="F134" s="259">
        <f t="shared" si="19"/>
        <v>1.7875494071146245</v>
      </c>
    </row>
    <row r="135" spans="1:6" ht="20.25" customHeight="1" x14ac:dyDescent="0.3">
      <c r="A135" s="256">
        <v>5</v>
      </c>
      <c r="B135" s="257" t="s">
        <v>381</v>
      </c>
      <c r="C135" s="260">
        <v>1</v>
      </c>
      <c r="D135" s="260">
        <v>3</v>
      </c>
      <c r="E135" s="260">
        <f t="shared" si="18"/>
        <v>2</v>
      </c>
      <c r="F135" s="259">
        <f t="shared" si="19"/>
        <v>2</v>
      </c>
    </row>
    <row r="136" spans="1:6" ht="20.25" customHeight="1" x14ac:dyDescent="0.3">
      <c r="A136" s="256">
        <v>6</v>
      </c>
      <c r="B136" s="257" t="s">
        <v>380</v>
      </c>
      <c r="C136" s="260">
        <v>11</v>
      </c>
      <c r="D136" s="260">
        <v>13</v>
      </c>
      <c r="E136" s="260">
        <f t="shared" si="18"/>
        <v>2</v>
      </c>
      <c r="F136" s="259">
        <f t="shared" si="19"/>
        <v>0.18181818181818182</v>
      </c>
    </row>
    <row r="137" spans="1:6" ht="20.25" customHeight="1" x14ac:dyDescent="0.3">
      <c r="A137" s="256">
        <v>7</v>
      </c>
      <c r="B137" s="257" t="s">
        <v>445</v>
      </c>
      <c r="C137" s="260">
        <v>25</v>
      </c>
      <c r="D137" s="260">
        <v>46</v>
      </c>
      <c r="E137" s="260">
        <f t="shared" si="18"/>
        <v>21</v>
      </c>
      <c r="F137" s="259">
        <f t="shared" si="19"/>
        <v>0.84</v>
      </c>
    </row>
    <row r="138" spans="1:6" ht="20.25" customHeight="1" x14ac:dyDescent="0.3">
      <c r="A138" s="256">
        <v>8</v>
      </c>
      <c r="B138" s="257" t="s">
        <v>446</v>
      </c>
      <c r="C138" s="260">
        <v>1</v>
      </c>
      <c r="D138" s="260">
        <v>16</v>
      </c>
      <c r="E138" s="260">
        <f t="shared" si="18"/>
        <v>15</v>
      </c>
      <c r="F138" s="259">
        <f t="shared" si="19"/>
        <v>15</v>
      </c>
    </row>
    <row r="139" spans="1:6" ht="20.25" customHeight="1" x14ac:dyDescent="0.3">
      <c r="A139" s="256">
        <v>9</v>
      </c>
      <c r="B139" s="257" t="s">
        <v>447</v>
      </c>
      <c r="C139" s="260">
        <v>3</v>
      </c>
      <c r="D139" s="260">
        <v>3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41589</v>
      </c>
      <c r="D140" s="263">
        <f>+D131+D133</f>
        <v>131837</v>
      </c>
      <c r="E140" s="263">
        <f t="shared" si="18"/>
        <v>90248</v>
      </c>
      <c r="F140" s="264">
        <f t="shared" si="19"/>
        <v>2.1699968741734592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19492</v>
      </c>
      <c r="D141" s="263">
        <f>+D132+D134</f>
        <v>32553</v>
      </c>
      <c r="E141" s="263">
        <f t="shared" si="18"/>
        <v>13061</v>
      </c>
      <c r="F141" s="264">
        <f t="shared" si="19"/>
        <v>0.67006977221424169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219637</v>
      </c>
      <c r="D183" s="258">
        <v>396180</v>
      </c>
      <c r="E183" s="258">
        <f t="shared" ref="E183:E193" si="26">D183-C183</f>
        <v>176543</v>
      </c>
      <c r="F183" s="259">
        <f t="shared" ref="F183:F193" si="27">IF(C183=0,0,E183/C183)</f>
        <v>0.80379444264855193</v>
      </c>
    </row>
    <row r="184" spans="1:6" ht="20.25" customHeight="1" x14ac:dyDescent="0.3">
      <c r="A184" s="256">
        <v>2</v>
      </c>
      <c r="B184" s="257" t="s">
        <v>442</v>
      </c>
      <c r="C184" s="258">
        <v>88392</v>
      </c>
      <c r="D184" s="258">
        <v>130953</v>
      </c>
      <c r="E184" s="258">
        <f t="shared" si="26"/>
        <v>42561</v>
      </c>
      <c r="F184" s="259">
        <f t="shared" si="27"/>
        <v>0.48150285093673634</v>
      </c>
    </row>
    <row r="185" spans="1:6" ht="20.25" customHeight="1" x14ac:dyDescent="0.3">
      <c r="A185" s="256">
        <v>3</v>
      </c>
      <c r="B185" s="257" t="s">
        <v>443</v>
      </c>
      <c r="C185" s="258">
        <v>296994</v>
      </c>
      <c r="D185" s="258">
        <v>133222</v>
      </c>
      <c r="E185" s="258">
        <f t="shared" si="26"/>
        <v>-163772</v>
      </c>
      <c r="F185" s="259">
        <f t="shared" si="27"/>
        <v>-0.55143201546159182</v>
      </c>
    </row>
    <row r="186" spans="1:6" ht="20.25" customHeight="1" x14ac:dyDescent="0.3">
      <c r="A186" s="256">
        <v>4</v>
      </c>
      <c r="B186" s="257" t="s">
        <v>444</v>
      </c>
      <c r="C186" s="258">
        <v>70880</v>
      </c>
      <c r="D186" s="258">
        <v>24158</v>
      </c>
      <c r="E186" s="258">
        <f t="shared" si="26"/>
        <v>-46722</v>
      </c>
      <c r="F186" s="259">
        <f t="shared" si="27"/>
        <v>-0.6591704288939052</v>
      </c>
    </row>
    <row r="187" spans="1:6" ht="20.25" customHeight="1" x14ac:dyDescent="0.3">
      <c r="A187" s="256">
        <v>5</v>
      </c>
      <c r="B187" s="257" t="s">
        <v>381</v>
      </c>
      <c r="C187" s="260">
        <v>19</v>
      </c>
      <c r="D187" s="260">
        <v>15</v>
      </c>
      <c r="E187" s="260">
        <f t="shared" si="26"/>
        <v>-4</v>
      </c>
      <c r="F187" s="259">
        <f t="shared" si="27"/>
        <v>-0.21052631578947367</v>
      </c>
    </row>
    <row r="188" spans="1:6" ht="20.25" customHeight="1" x14ac:dyDescent="0.3">
      <c r="A188" s="256">
        <v>6</v>
      </c>
      <c r="B188" s="257" t="s">
        <v>380</v>
      </c>
      <c r="C188" s="260">
        <v>51</v>
      </c>
      <c r="D188" s="260">
        <v>85</v>
      </c>
      <c r="E188" s="260">
        <f t="shared" si="26"/>
        <v>34</v>
      </c>
      <c r="F188" s="259">
        <f t="shared" si="27"/>
        <v>0.66666666666666663</v>
      </c>
    </row>
    <row r="189" spans="1:6" ht="20.25" customHeight="1" x14ac:dyDescent="0.3">
      <c r="A189" s="256">
        <v>7</v>
      </c>
      <c r="B189" s="257" t="s">
        <v>445</v>
      </c>
      <c r="C189" s="260">
        <v>379</v>
      </c>
      <c r="D189" s="260">
        <v>280</v>
      </c>
      <c r="E189" s="260">
        <f t="shared" si="26"/>
        <v>-99</v>
      </c>
      <c r="F189" s="259">
        <f t="shared" si="27"/>
        <v>-0.26121372031662271</v>
      </c>
    </row>
    <row r="190" spans="1:6" ht="20.25" customHeight="1" x14ac:dyDescent="0.3">
      <c r="A190" s="256">
        <v>8</v>
      </c>
      <c r="B190" s="257" t="s">
        <v>446</v>
      </c>
      <c r="C190" s="260">
        <v>36</v>
      </c>
      <c r="D190" s="260">
        <v>12</v>
      </c>
      <c r="E190" s="260">
        <f t="shared" si="26"/>
        <v>-24</v>
      </c>
      <c r="F190" s="259">
        <f t="shared" si="27"/>
        <v>-0.66666666666666663</v>
      </c>
    </row>
    <row r="191" spans="1:6" ht="20.25" customHeight="1" x14ac:dyDescent="0.3">
      <c r="A191" s="256">
        <v>9</v>
      </c>
      <c r="B191" s="257" t="s">
        <v>447</v>
      </c>
      <c r="C191" s="260">
        <v>14</v>
      </c>
      <c r="D191" s="260">
        <v>15</v>
      </c>
      <c r="E191" s="260">
        <f t="shared" si="26"/>
        <v>1</v>
      </c>
      <c r="F191" s="259">
        <f t="shared" si="27"/>
        <v>7.1428571428571425E-2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516631</v>
      </c>
      <c r="D192" s="263">
        <f>+D183+D185</f>
        <v>529402</v>
      </c>
      <c r="E192" s="263">
        <f t="shared" si="26"/>
        <v>12771</v>
      </c>
      <c r="F192" s="264">
        <f t="shared" si="27"/>
        <v>2.4719770977738462E-2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159272</v>
      </c>
      <c r="D193" s="263">
        <f>+D184+D186</f>
        <v>155111</v>
      </c>
      <c r="E193" s="263">
        <f t="shared" si="26"/>
        <v>-4161</v>
      </c>
      <c r="F193" s="264">
        <f t="shared" si="27"/>
        <v>-2.6125119292782158E-2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16525440</v>
      </c>
      <c r="D198" s="263">
        <f t="shared" si="28"/>
        <v>21093935</v>
      </c>
      <c r="E198" s="263">
        <f t="shared" ref="E198:E208" si="29">D198-C198</f>
        <v>4568495</v>
      </c>
      <c r="F198" s="273">
        <f t="shared" ref="F198:F208" si="30">IF(C198=0,0,E198/C198)</f>
        <v>0.27645224574958366</v>
      </c>
    </row>
    <row r="199" spans="1:9" ht="20.25" customHeight="1" x14ac:dyDescent="0.3">
      <c r="A199" s="271"/>
      <c r="B199" s="272" t="s">
        <v>466</v>
      </c>
      <c r="C199" s="263">
        <f t="shared" si="28"/>
        <v>6046789</v>
      </c>
      <c r="D199" s="263">
        <f t="shared" si="28"/>
        <v>7311029</v>
      </c>
      <c r="E199" s="263">
        <f t="shared" si="29"/>
        <v>1264240</v>
      </c>
      <c r="F199" s="273">
        <f t="shared" si="30"/>
        <v>0.20907625518270936</v>
      </c>
    </row>
    <row r="200" spans="1:9" ht="20.25" customHeight="1" x14ac:dyDescent="0.3">
      <c r="A200" s="271"/>
      <c r="B200" s="272" t="s">
        <v>467</v>
      </c>
      <c r="C200" s="263">
        <f t="shared" si="28"/>
        <v>22230841</v>
      </c>
      <c r="D200" s="263">
        <f t="shared" si="28"/>
        <v>28348076</v>
      </c>
      <c r="E200" s="263">
        <f t="shared" si="29"/>
        <v>6117235</v>
      </c>
      <c r="F200" s="273">
        <f t="shared" si="30"/>
        <v>0.27516885213654313</v>
      </c>
    </row>
    <row r="201" spans="1:9" ht="20.25" customHeight="1" x14ac:dyDescent="0.3">
      <c r="A201" s="271"/>
      <c r="B201" s="272" t="s">
        <v>468</v>
      </c>
      <c r="C201" s="263">
        <f t="shared" si="28"/>
        <v>4635036</v>
      </c>
      <c r="D201" s="263">
        <f t="shared" si="28"/>
        <v>5134737</v>
      </c>
      <c r="E201" s="263">
        <f t="shared" si="29"/>
        <v>499701</v>
      </c>
      <c r="F201" s="273">
        <f t="shared" si="30"/>
        <v>0.1078095186315705</v>
      </c>
    </row>
    <row r="202" spans="1:9" ht="20.25" customHeight="1" x14ac:dyDescent="0.3">
      <c r="A202" s="271"/>
      <c r="B202" s="272" t="s">
        <v>138</v>
      </c>
      <c r="C202" s="274">
        <f t="shared" si="28"/>
        <v>690</v>
      </c>
      <c r="D202" s="274">
        <f t="shared" si="28"/>
        <v>844</v>
      </c>
      <c r="E202" s="274">
        <f t="shared" si="29"/>
        <v>154</v>
      </c>
      <c r="F202" s="273">
        <f t="shared" si="30"/>
        <v>0.22318840579710145</v>
      </c>
    </row>
    <row r="203" spans="1:9" ht="20.25" customHeight="1" x14ac:dyDescent="0.3">
      <c r="A203" s="271"/>
      <c r="B203" s="272" t="s">
        <v>140</v>
      </c>
      <c r="C203" s="274">
        <f t="shared" si="28"/>
        <v>3116</v>
      </c>
      <c r="D203" s="274">
        <f t="shared" si="28"/>
        <v>3776</v>
      </c>
      <c r="E203" s="274">
        <f t="shared" si="29"/>
        <v>660</v>
      </c>
      <c r="F203" s="273">
        <f t="shared" si="30"/>
        <v>0.21181001283697048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13273</v>
      </c>
      <c r="D204" s="274">
        <f t="shared" si="28"/>
        <v>15421</v>
      </c>
      <c r="E204" s="274">
        <f t="shared" si="29"/>
        <v>2148</v>
      </c>
      <c r="F204" s="273">
        <f t="shared" si="30"/>
        <v>0.16183229111730582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1270</v>
      </c>
      <c r="D205" s="274">
        <f t="shared" si="28"/>
        <v>1554</v>
      </c>
      <c r="E205" s="274">
        <f t="shared" si="29"/>
        <v>284</v>
      </c>
      <c r="F205" s="273">
        <f t="shared" si="30"/>
        <v>0.22362204724409449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623</v>
      </c>
      <c r="D206" s="274">
        <f t="shared" si="28"/>
        <v>770</v>
      </c>
      <c r="E206" s="274">
        <f t="shared" si="29"/>
        <v>147</v>
      </c>
      <c r="F206" s="273">
        <f t="shared" si="30"/>
        <v>0.23595505617977527</v>
      </c>
    </row>
    <row r="207" spans="1:9" ht="20.25" customHeight="1" x14ac:dyDescent="0.3">
      <c r="A207" s="271"/>
      <c r="B207" s="262" t="s">
        <v>471</v>
      </c>
      <c r="C207" s="263">
        <f>+C198+C200</f>
        <v>38756281</v>
      </c>
      <c r="D207" s="263">
        <f>+D198+D200</f>
        <v>49442011</v>
      </c>
      <c r="E207" s="263">
        <f t="shared" si="29"/>
        <v>10685730</v>
      </c>
      <c r="F207" s="273">
        <f t="shared" si="30"/>
        <v>0.27571608328466812</v>
      </c>
    </row>
    <row r="208" spans="1:9" ht="20.25" customHeight="1" x14ac:dyDescent="0.3">
      <c r="A208" s="271"/>
      <c r="B208" s="262" t="s">
        <v>472</v>
      </c>
      <c r="C208" s="263">
        <f>+C199+C201</f>
        <v>10681825</v>
      </c>
      <c r="D208" s="263">
        <f>+D199+D201</f>
        <v>12445766</v>
      </c>
      <c r="E208" s="263">
        <f t="shared" si="29"/>
        <v>1763941</v>
      </c>
      <c r="F208" s="273">
        <f t="shared" si="30"/>
        <v>0.16513479672247017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1185502</v>
      </c>
      <c r="D26" s="258">
        <v>0</v>
      </c>
      <c r="E26" s="258">
        <f t="shared" ref="E26:E36" si="2">D26-C26</f>
        <v>-1185502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158380</v>
      </c>
      <c r="D27" s="258">
        <v>0</v>
      </c>
      <c r="E27" s="258">
        <f t="shared" si="2"/>
        <v>-158380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4114983</v>
      </c>
      <c r="D28" s="258">
        <v>0</v>
      </c>
      <c r="E28" s="258">
        <f t="shared" si="2"/>
        <v>-4114983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524385</v>
      </c>
      <c r="D29" s="258">
        <v>0</v>
      </c>
      <c r="E29" s="258">
        <f t="shared" si="2"/>
        <v>-524385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81</v>
      </c>
      <c r="D30" s="260">
        <v>0</v>
      </c>
      <c r="E30" s="260">
        <f t="shared" si="2"/>
        <v>-81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281</v>
      </c>
      <c r="D31" s="260">
        <v>0</v>
      </c>
      <c r="E31" s="260">
        <f t="shared" si="2"/>
        <v>-281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1982</v>
      </c>
      <c r="D32" s="260">
        <v>0</v>
      </c>
      <c r="E32" s="260">
        <f t="shared" si="2"/>
        <v>-1982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1377</v>
      </c>
      <c r="D33" s="260">
        <v>0</v>
      </c>
      <c r="E33" s="260">
        <f t="shared" si="2"/>
        <v>-1377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25</v>
      </c>
      <c r="D34" s="260">
        <v>0</v>
      </c>
      <c r="E34" s="260">
        <f t="shared" si="2"/>
        <v>-25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5300485</v>
      </c>
      <c r="D35" s="263">
        <f>+D26+D28</f>
        <v>0</v>
      </c>
      <c r="E35" s="263">
        <f t="shared" si="2"/>
        <v>-5300485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682765</v>
      </c>
      <c r="D36" s="263">
        <f>+D27+D29</f>
        <v>0</v>
      </c>
      <c r="E36" s="263">
        <f t="shared" si="2"/>
        <v>-682765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216381</v>
      </c>
      <c r="D50" s="258">
        <v>0</v>
      </c>
      <c r="E50" s="258">
        <f t="shared" ref="E50:E60" si="6">D50-C50</f>
        <v>-216381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29132</v>
      </c>
      <c r="D51" s="258">
        <v>0</v>
      </c>
      <c r="E51" s="258">
        <f t="shared" si="6"/>
        <v>-29132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208233</v>
      </c>
      <c r="D52" s="258">
        <v>0</v>
      </c>
      <c r="E52" s="258">
        <f t="shared" si="6"/>
        <v>-208233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37055</v>
      </c>
      <c r="D53" s="258">
        <v>0</v>
      </c>
      <c r="E53" s="258">
        <f t="shared" si="6"/>
        <v>-37055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21</v>
      </c>
      <c r="D54" s="260">
        <v>0</v>
      </c>
      <c r="E54" s="260">
        <f t="shared" si="6"/>
        <v>-21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73</v>
      </c>
      <c r="D55" s="260">
        <v>0</v>
      </c>
      <c r="E55" s="260">
        <f t="shared" si="6"/>
        <v>-73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324</v>
      </c>
      <c r="D56" s="260">
        <v>0</v>
      </c>
      <c r="E56" s="260">
        <f t="shared" si="6"/>
        <v>-324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3</v>
      </c>
      <c r="D57" s="260">
        <v>0</v>
      </c>
      <c r="E57" s="260">
        <f t="shared" si="6"/>
        <v>-3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19</v>
      </c>
      <c r="D58" s="260">
        <v>0</v>
      </c>
      <c r="E58" s="260">
        <f t="shared" si="6"/>
        <v>-19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424614</v>
      </c>
      <c r="D59" s="263">
        <f>+D50+D52</f>
        <v>0</v>
      </c>
      <c r="E59" s="263">
        <f t="shared" si="6"/>
        <v>-424614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66187</v>
      </c>
      <c r="D60" s="263">
        <f>+D51+D53</f>
        <v>0</v>
      </c>
      <c r="E60" s="263">
        <f t="shared" si="6"/>
        <v>-66187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110599</v>
      </c>
      <c r="D86" s="258">
        <v>0</v>
      </c>
      <c r="E86" s="258">
        <f t="shared" ref="E86:E96" si="12">D86-C86</f>
        <v>-110599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17789</v>
      </c>
      <c r="D87" s="258">
        <v>0</v>
      </c>
      <c r="E87" s="258">
        <f t="shared" si="12"/>
        <v>-17789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344400</v>
      </c>
      <c r="D88" s="258">
        <v>0</v>
      </c>
      <c r="E88" s="258">
        <f t="shared" si="12"/>
        <v>-344400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40112</v>
      </c>
      <c r="D89" s="258">
        <v>0</v>
      </c>
      <c r="E89" s="258">
        <f t="shared" si="12"/>
        <v>-40112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13</v>
      </c>
      <c r="D90" s="260">
        <v>0</v>
      </c>
      <c r="E90" s="260">
        <f t="shared" si="12"/>
        <v>-13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31</v>
      </c>
      <c r="D91" s="260">
        <v>0</v>
      </c>
      <c r="E91" s="260">
        <f t="shared" si="12"/>
        <v>-31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180</v>
      </c>
      <c r="D92" s="260">
        <v>0</v>
      </c>
      <c r="E92" s="260">
        <f t="shared" si="12"/>
        <v>-180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135</v>
      </c>
      <c r="D93" s="260">
        <v>0</v>
      </c>
      <c r="E93" s="260">
        <f t="shared" si="12"/>
        <v>-135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5</v>
      </c>
      <c r="D94" s="260">
        <v>0</v>
      </c>
      <c r="E94" s="260">
        <f t="shared" si="12"/>
        <v>-5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454999</v>
      </c>
      <c r="D95" s="263">
        <f>+D86+D88</f>
        <v>0</v>
      </c>
      <c r="E95" s="263">
        <f t="shared" si="12"/>
        <v>-454999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57901</v>
      </c>
      <c r="D96" s="263">
        <f>+D87+D89</f>
        <v>0</v>
      </c>
      <c r="E96" s="263">
        <f t="shared" si="12"/>
        <v>-57901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132908</v>
      </c>
      <c r="D98" s="258">
        <v>0</v>
      </c>
      <c r="E98" s="258">
        <f t="shared" ref="E98:E108" si="14">D98-C98</f>
        <v>-132908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18471</v>
      </c>
      <c r="D99" s="258">
        <v>0</v>
      </c>
      <c r="E99" s="258">
        <f t="shared" si="14"/>
        <v>-18471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308729</v>
      </c>
      <c r="D100" s="258">
        <v>0</v>
      </c>
      <c r="E100" s="258">
        <f t="shared" si="14"/>
        <v>-308729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33786</v>
      </c>
      <c r="D101" s="258">
        <v>0</v>
      </c>
      <c r="E101" s="258">
        <f t="shared" si="14"/>
        <v>-33786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11</v>
      </c>
      <c r="D102" s="260">
        <v>0</v>
      </c>
      <c r="E102" s="260">
        <f t="shared" si="14"/>
        <v>-11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35</v>
      </c>
      <c r="D103" s="260">
        <v>0</v>
      </c>
      <c r="E103" s="260">
        <f t="shared" si="14"/>
        <v>-35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58</v>
      </c>
      <c r="D104" s="260">
        <v>0</v>
      </c>
      <c r="E104" s="260">
        <f t="shared" si="14"/>
        <v>-58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181</v>
      </c>
      <c r="D105" s="260">
        <v>0</v>
      </c>
      <c r="E105" s="260">
        <f t="shared" si="14"/>
        <v>-181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8</v>
      </c>
      <c r="D106" s="260">
        <v>0</v>
      </c>
      <c r="E106" s="260">
        <f t="shared" si="14"/>
        <v>-8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441637</v>
      </c>
      <c r="D107" s="263">
        <f>+D98+D100</f>
        <v>0</v>
      </c>
      <c r="E107" s="263">
        <f t="shared" si="14"/>
        <v>-441637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52257</v>
      </c>
      <c r="D108" s="263">
        <f>+D99+D101</f>
        <v>0</v>
      </c>
      <c r="E108" s="263">
        <f t="shared" si="14"/>
        <v>-52257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1645390</v>
      </c>
      <c r="D112" s="263">
        <f t="shared" si="16"/>
        <v>0</v>
      </c>
      <c r="E112" s="263">
        <f t="shared" ref="E112:E122" si="17">D112-C112</f>
        <v>-1645390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223772</v>
      </c>
      <c r="D113" s="263">
        <f t="shared" si="16"/>
        <v>0</v>
      </c>
      <c r="E113" s="263">
        <f t="shared" si="17"/>
        <v>-223772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4976345</v>
      </c>
      <c r="D114" s="263">
        <f t="shared" si="16"/>
        <v>0</v>
      </c>
      <c r="E114" s="263">
        <f t="shared" si="17"/>
        <v>-4976345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635338</v>
      </c>
      <c r="D115" s="263">
        <f t="shared" si="16"/>
        <v>0</v>
      </c>
      <c r="E115" s="263">
        <f t="shared" si="17"/>
        <v>-635338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126</v>
      </c>
      <c r="D116" s="287">
        <f t="shared" si="16"/>
        <v>0</v>
      </c>
      <c r="E116" s="287">
        <f t="shared" si="17"/>
        <v>-126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420</v>
      </c>
      <c r="D117" s="287">
        <f t="shared" si="16"/>
        <v>0</v>
      </c>
      <c r="E117" s="287">
        <f t="shared" si="17"/>
        <v>-420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2544</v>
      </c>
      <c r="D118" s="287">
        <f t="shared" si="16"/>
        <v>0</v>
      </c>
      <c r="E118" s="287">
        <f t="shared" si="17"/>
        <v>-2544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1696</v>
      </c>
      <c r="D119" s="287">
        <f t="shared" si="16"/>
        <v>0</v>
      </c>
      <c r="E119" s="287">
        <f t="shared" si="17"/>
        <v>-1696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57</v>
      </c>
      <c r="D120" s="287">
        <f t="shared" si="16"/>
        <v>0</v>
      </c>
      <c r="E120" s="287">
        <f t="shared" si="17"/>
        <v>-57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6621735</v>
      </c>
      <c r="D121" s="263">
        <f>+D112+D114</f>
        <v>0</v>
      </c>
      <c r="E121" s="263">
        <f t="shared" si="17"/>
        <v>-6621735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859110</v>
      </c>
      <c r="D122" s="263">
        <f>+D113+D115</f>
        <v>0</v>
      </c>
      <c r="E122" s="263">
        <f t="shared" si="17"/>
        <v>-859110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12928177</v>
      </c>
      <c r="D13" s="22">
        <v>16318029</v>
      </c>
      <c r="E13" s="22">
        <f t="shared" ref="E13:E22" si="0">D13-C13</f>
        <v>3389852</v>
      </c>
      <c r="F13" s="306">
        <f t="shared" ref="F13:F22" si="1">IF(C13=0,0,E13/C13)</f>
        <v>0.26220649670870072</v>
      </c>
    </row>
    <row r="14" spans="1:8" ht="24" customHeight="1" x14ac:dyDescent="0.2">
      <c r="A14" s="304">
        <v>2</v>
      </c>
      <c r="B14" s="305" t="s">
        <v>17</v>
      </c>
      <c r="C14" s="22">
        <v>96452</v>
      </c>
      <c r="D14" s="22">
        <v>96526</v>
      </c>
      <c r="E14" s="22">
        <f t="shared" si="0"/>
        <v>74</v>
      </c>
      <c r="F14" s="306">
        <f t="shared" si="1"/>
        <v>7.6722100111972791E-4</v>
      </c>
    </row>
    <row r="15" spans="1:8" ht="35.1" customHeight="1" x14ac:dyDescent="0.2">
      <c r="A15" s="304">
        <v>3</v>
      </c>
      <c r="B15" s="305" t="s">
        <v>18</v>
      </c>
      <c r="C15" s="22">
        <v>20476194</v>
      </c>
      <c r="D15" s="22">
        <v>20536329</v>
      </c>
      <c r="E15" s="22">
        <f t="shared" si="0"/>
        <v>60135</v>
      </c>
      <c r="F15" s="306">
        <f t="shared" si="1"/>
        <v>2.9368250759882427E-3</v>
      </c>
    </row>
    <row r="16" spans="1:8" ht="35.1" customHeight="1" x14ac:dyDescent="0.2">
      <c r="A16" s="304">
        <v>4</v>
      </c>
      <c r="B16" s="305" t="s">
        <v>19</v>
      </c>
      <c r="C16" s="22">
        <v>650968</v>
      </c>
      <c r="D16" s="22">
        <v>636385</v>
      </c>
      <c r="E16" s="22">
        <f t="shared" si="0"/>
        <v>-14583</v>
      </c>
      <c r="F16" s="306">
        <f t="shared" si="1"/>
        <v>-2.2402022833687679E-2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1964075</v>
      </c>
      <c r="D18" s="22">
        <v>2757898</v>
      </c>
      <c r="E18" s="22">
        <f t="shared" si="0"/>
        <v>793823</v>
      </c>
      <c r="F18" s="306">
        <f t="shared" si="1"/>
        <v>0.40417142929877931</v>
      </c>
    </row>
    <row r="19" spans="1:11" ht="24" customHeight="1" x14ac:dyDescent="0.2">
      <c r="A19" s="304">
        <v>7</v>
      </c>
      <c r="B19" s="305" t="s">
        <v>22</v>
      </c>
      <c r="C19" s="22">
        <v>1627771</v>
      </c>
      <c r="D19" s="22">
        <v>1476432</v>
      </c>
      <c r="E19" s="22">
        <f t="shared" si="0"/>
        <v>-151339</v>
      </c>
      <c r="F19" s="306">
        <f t="shared" si="1"/>
        <v>-9.2973151628822484E-2</v>
      </c>
    </row>
    <row r="20" spans="1:11" ht="24" customHeight="1" x14ac:dyDescent="0.2">
      <c r="A20" s="304">
        <v>8</v>
      </c>
      <c r="B20" s="305" t="s">
        <v>23</v>
      </c>
      <c r="C20" s="22">
        <v>860601</v>
      </c>
      <c r="D20" s="22">
        <v>876588</v>
      </c>
      <c r="E20" s="22">
        <f t="shared" si="0"/>
        <v>15987</v>
      </c>
      <c r="F20" s="306">
        <f t="shared" si="1"/>
        <v>1.8576552897335698E-2</v>
      </c>
    </row>
    <row r="21" spans="1:11" ht="24" customHeight="1" x14ac:dyDescent="0.2">
      <c r="A21" s="304">
        <v>9</v>
      </c>
      <c r="B21" s="305" t="s">
        <v>24</v>
      </c>
      <c r="C21" s="22">
        <v>5925593</v>
      </c>
      <c r="D21" s="22">
        <v>2790614</v>
      </c>
      <c r="E21" s="22">
        <f t="shared" si="0"/>
        <v>-3134979</v>
      </c>
      <c r="F21" s="306">
        <f t="shared" si="1"/>
        <v>-0.52905742935770306</v>
      </c>
    </row>
    <row r="22" spans="1:11" ht="24" customHeight="1" x14ac:dyDescent="0.25">
      <c r="A22" s="307"/>
      <c r="B22" s="308" t="s">
        <v>25</v>
      </c>
      <c r="C22" s="309">
        <f>SUM(C13:C21)</f>
        <v>44529831</v>
      </c>
      <c r="D22" s="309">
        <f>SUM(D13:D21)</f>
        <v>45488801</v>
      </c>
      <c r="E22" s="309">
        <f t="shared" si="0"/>
        <v>958970</v>
      </c>
      <c r="F22" s="310">
        <f t="shared" si="1"/>
        <v>2.1535451145098663E-2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7458112</v>
      </c>
      <c r="D26" s="22">
        <v>7906841</v>
      </c>
      <c r="E26" s="22">
        <f>D26-C26</f>
        <v>448729</v>
      </c>
      <c r="F26" s="306">
        <f>IF(C26=0,0,E26/C26)</f>
        <v>6.0166567624621352E-2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16194282</v>
      </c>
      <c r="D28" s="22">
        <v>17520048</v>
      </c>
      <c r="E28" s="22">
        <f>D28-C28</f>
        <v>1325766</v>
      </c>
      <c r="F28" s="306">
        <f>IF(C28=0,0,E28/C28)</f>
        <v>8.1866303180344768E-2</v>
      </c>
    </row>
    <row r="29" spans="1:11" ht="35.1" customHeight="1" x14ac:dyDescent="0.25">
      <c r="A29" s="307"/>
      <c r="B29" s="308" t="s">
        <v>32</v>
      </c>
      <c r="C29" s="309">
        <f>SUM(C25:C28)</f>
        <v>23652394</v>
      </c>
      <c r="D29" s="309">
        <f>SUM(D25:D28)</f>
        <v>25426889</v>
      </c>
      <c r="E29" s="309">
        <f>D29-C29</f>
        <v>1774495</v>
      </c>
      <c r="F29" s="310">
        <f>IF(C29=0,0,E29/C29)</f>
        <v>7.502390667092726E-2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2506470</v>
      </c>
      <c r="D31" s="22">
        <v>2412864</v>
      </c>
      <c r="E31" s="22">
        <f>D31-C31</f>
        <v>-93606</v>
      </c>
      <c r="F31" s="306">
        <f>IF(C31=0,0,E31/C31)</f>
        <v>-3.7345749201067639E-2</v>
      </c>
    </row>
    <row r="32" spans="1:11" ht="24" customHeight="1" x14ac:dyDescent="0.2">
      <c r="A32" s="304">
        <v>6</v>
      </c>
      <c r="B32" s="305" t="s">
        <v>34</v>
      </c>
      <c r="C32" s="22">
        <v>7231860</v>
      </c>
      <c r="D32" s="22">
        <v>6800181</v>
      </c>
      <c r="E32" s="22">
        <f>D32-C32</f>
        <v>-431679</v>
      </c>
      <c r="F32" s="306">
        <f>IF(C32=0,0,E32/C32)</f>
        <v>-5.9691282740539781E-2</v>
      </c>
    </row>
    <row r="33" spans="1:8" ht="24" customHeight="1" x14ac:dyDescent="0.2">
      <c r="A33" s="304">
        <v>7</v>
      </c>
      <c r="B33" s="305" t="s">
        <v>35</v>
      </c>
      <c r="C33" s="22">
        <v>2537453</v>
      </c>
      <c r="D33" s="22">
        <v>2633889</v>
      </c>
      <c r="E33" s="22">
        <f>D33-C33</f>
        <v>96436</v>
      </c>
      <c r="F33" s="306">
        <f>IF(C33=0,0,E33/C33)</f>
        <v>3.8005038911065547E-2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156431776</v>
      </c>
      <c r="D36" s="22">
        <v>162494718</v>
      </c>
      <c r="E36" s="22">
        <f>D36-C36</f>
        <v>6062942</v>
      </c>
      <c r="F36" s="306">
        <f>IF(C36=0,0,E36/C36)</f>
        <v>3.8757739348302227E-2</v>
      </c>
    </row>
    <row r="37" spans="1:8" ht="24" customHeight="1" x14ac:dyDescent="0.2">
      <c r="A37" s="304">
        <v>2</v>
      </c>
      <c r="B37" s="305" t="s">
        <v>39</v>
      </c>
      <c r="C37" s="22">
        <v>116102360</v>
      </c>
      <c r="D37" s="22">
        <v>122919544</v>
      </c>
      <c r="E37" s="22">
        <f>D37-C37</f>
        <v>6817184</v>
      </c>
      <c r="F37" s="22">
        <f>IF(C37=0,0,E37/C37)</f>
        <v>5.8717014882384823E-2</v>
      </c>
    </row>
    <row r="38" spans="1:8" ht="24" customHeight="1" x14ac:dyDescent="0.25">
      <c r="A38" s="307"/>
      <c r="B38" s="308" t="s">
        <v>40</v>
      </c>
      <c r="C38" s="309">
        <f>C36-C37</f>
        <v>40329416</v>
      </c>
      <c r="D38" s="309">
        <f>D36-D37</f>
        <v>39575174</v>
      </c>
      <c r="E38" s="309">
        <f>D38-C38</f>
        <v>-754242</v>
      </c>
      <c r="F38" s="310">
        <f>IF(C38=0,0,E38/C38)</f>
        <v>-1.8702031291501966E-2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1841857</v>
      </c>
      <c r="D40" s="22">
        <v>3296604</v>
      </c>
      <c r="E40" s="22">
        <f>D40-C40</f>
        <v>1454747</v>
      </c>
      <c r="F40" s="306">
        <f>IF(C40=0,0,E40/C40)</f>
        <v>0.7898262460114982</v>
      </c>
    </row>
    <row r="41" spans="1:8" ht="24" customHeight="1" x14ac:dyDescent="0.25">
      <c r="A41" s="307"/>
      <c r="B41" s="308" t="s">
        <v>42</v>
      </c>
      <c r="C41" s="309">
        <f>+C38+C40</f>
        <v>42171273</v>
      </c>
      <c r="D41" s="309">
        <f>+D38+D40</f>
        <v>42871778</v>
      </c>
      <c r="E41" s="309">
        <f>D41-C41</f>
        <v>700505</v>
      </c>
      <c r="F41" s="310">
        <f>IF(C41=0,0,E41/C41)</f>
        <v>1.6610952199617023E-2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122629281</v>
      </c>
      <c r="D43" s="309">
        <f>D22+D29+D31+D32+D33+D41</f>
        <v>125634402</v>
      </c>
      <c r="E43" s="309">
        <f>D43-C43</f>
        <v>3005121</v>
      </c>
      <c r="F43" s="310">
        <f>IF(C43=0,0,E43/C43)</f>
        <v>2.4505737744641917E-2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10947996</v>
      </c>
      <c r="D49" s="22">
        <v>13868802</v>
      </c>
      <c r="E49" s="22">
        <f t="shared" ref="E49:E56" si="2">D49-C49</f>
        <v>2920806</v>
      </c>
      <c r="F49" s="306">
        <f t="shared" ref="F49:F56" si="3">IF(C49=0,0,E49/C49)</f>
        <v>0.26678910003255391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14340489</v>
      </c>
      <c r="D50" s="22">
        <v>12169328</v>
      </c>
      <c r="E50" s="22">
        <f t="shared" si="2"/>
        <v>-2171161</v>
      </c>
      <c r="F50" s="306">
        <f t="shared" si="3"/>
        <v>-0.15140076464617072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990292</v>
      </c>
      <c r="D53" s="22">
        <v>1180671</v>
      </c>
      <c r="E53" s="22">
        <f t="shared" si="2"/>
        <v>190379</v>
      </c>
      <c r="F53" s="306">
        <f t="shared" si="3"/>
        <v>0.19224531754270457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7826</v>
      </c>
      <c r="D54" s="22">
        <v>8226</v>
      </c>
      <c r="E54" s="22">
        <f t="shared" si="2"/>
        <v>400</v>
      </c>
      <c r="F54" s="306">
        <f t="shared" si="3"/>
        <v>5.1111679018655765E-2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3774737</v>
      </c>
      <c r="D55" s="22">
        <v>3512933</v>
      </c>
      <c r="E55" s="22">
        <f t="shared" si="2"/>
        <v>-261804</v>
      </c>
      <c r="F55" s="306">
        <f t="shared" si="3"/>
        <v>-6.9356884996226234E-2</v>
      </c>
    </row>
    <row r="56" spans="1:6" ht="24" customHeight="1" x14ac:dyDescent="0.25">
      <c r="A56" s="307"/>
      <c r="B56" s="308" t="s">
        <v>54</v>
      </c>
      <c r="C56" s="309">
        <f>SUM(C49:C55)</f>
        <v>30061340</v>
      </c>
      <c r="D56" s="309">
        <f>SUM(D49:D55)</f>
        <v>30739960</v>
      </c>
      <c r="E56" s="309">
        <f t="shared" si="2"/>
        <v>678620</v>
      </c>
      <c r="F56" s="310">
        <f t="shared" si="3"/>
        <v>2.2574509319943821E-2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30052808</v>
      </c>
      <c r="D59" s="22">
        <v>29816492</v>
      </c>
      <c r="E59" s="22">
        <f>D59-C59</f>
        <v>-236316</v>
      </c>
      <c r="F59" s="306">
        <f>IF(C59=0,0,E59/C59)</f>
        <v>-7.8633583923339214E-3</v>
      </c>
    </row>
    <row r="60" spans="1:6" ht="24" customHeight="1" x14ac:dyDescent="0.2">
      <c r="A60" s="304">
        <v>2</v>
      </c>
      <c r="B60" s="305" t="s">
        <v>57</v>
      </c>
      <c r="C60" s="22">
        <v>290135</v>
      </c>
      <c r="D60" s="22">
        <v>281910</v>
      </c>
      <c r="E60" s="22">
        <f>D60-C60</f>
        <v>-8225</v>
      </c>
      <c r="F60" s="306">
        <f>IF(C60=0,0,E60/C60)</f>
        <v>-2.8348872076791837E-2</v>
      </c>
    </row>
    <row r="61" spans="1:6" ht="24" customHeight="1" x14ac:dyDescent="0.25">
      <c r="A61" s="307"/>
      <c r="B61" s="308" t="s">
        <v>58</v>
      </c>
      <c r="C61" s="309">
        <f>SUM(C59:C60)</f>
        <v>30342943</v>
      </c>
      <c r="D61" s="309">
        <f>SUM(D59:D60)</f>
        <v>30098402</v>
      </c>
      <c r="E61" s="309">
        <f>D61-C61</f>
        <v>-244541</v>
      </c>
      <c r="F61" s="310">
        <f>IF(C61=0,0,E61/C61)</f>
        <v>-8.0592380244724447E-3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30446134</v>
      </c>
      <c r="D63" s="22">
        <v>18682813</v>
      </c>
      <c r="E63" s="22">
        <f>D63-C63</f>
        <v>-11763321</v>
      </c>
      <c r="F63" s="306">
        <f>IF(C63=0,0,E63/C63)</f>
        <v>-0.3863650143561741</v>
      </c>
    </row>
    <row r="64" spans="1:6" ht="24" customHeight="1" x14ac:dyDescent="0.2">
      <c r="A64" s="304">
        <v>4</v>
      </c>
      <c r="B64" s="305" t="s">
        <v>60</v>
      </c>
      <c r="C64" s="22">
        <v>20373037</v>
      </c>
      <c r="D64" s="22">
        <v>17505502</v>
      </c>
      <c r="E64" s="22">
        <f>D64-C64</f>
        <v>-2867535</v>
      </c>
      <c r="F64" s="306">
        <f>IF(C64=0,0,E64/C64)</f>
        <v>-0.14075147460832668</v>
      </c>
    </row>
    <row r="65" spans="1:6" ht="24" customHeight="1" x14ac:dyDescent="0.25">
      <c r="A65" s="307"/>
      <c r="B65" s="308" t="s">
        <v>61</v>
      </c>
      <c r="C65" s="309">
        <f>SUM(C61:C64)</f>
        <v>81162114</v>
      </c>
      <c r="D65" s="309">
        <f>SUM(D61:D64)</f>
        <v>66286717</v>
      </c>
      <c r="E65" s="309">
        <f>D65-C65</f>
        <v>-14875397</v>
      </c>
      <c r="F65" s="310">
        <f>IF(C65=0,0,E65/C65)</f>
        <v>-0.18328005847654485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1127653</v>
      </c>
      <c r="D70" s="22">
        <v>18001943</v>
      </c>
      <c r="E70" s="22">
        <f>D70-C70</f>
        <v>16874290</v>
      </c>
      <c r="F70" s="306">
        <f>IF(C70=0,0,E70/C70)</f>
        <v>14.964080262279264</v>
      </c>
    </row>
    <row r="71" spans="1:6" ht="24" customHeight="1" x14ac:dyDescent="0.2">
      <c r="A71" s="304">
        <v>2</v>
      </c>
      <c r="B71" s="305" t="s">
        <v>65</v>
      </c>
      <c r="C71" s="22">
        <v>3350571</v>
      </c>
      <c r="D71" s="22">
        <v>3585204</v>
      </c>
      <c r="E71" s="22">
        <f>D71-C71</f>
        <v>234633</v>
      </c>
      <c r="F71" s="306">
        <f>IF(C71=0,0,E71/C71)</f>
        <v>7.002776541670061E-2</v>
      </c>
    </row>
    <row r="72" spans="1:6" ht="24" customHeight="1" x14ac:dyDescent="0.2">
      <c r="A72" s="304">
        <v>3</v>
      </c>
      <c r="B72" s="305" t="s">
        <v>66</v>
      </c>
      <c r="C72" s="22">
        <v>6927603</v>
      </c>
      <c r="D72" s="22">
        <v>7020578</v>
      </c>
      <c r="E72" s="22">
        <f>D72-C72</f>
        <v>92975</v>
      </c>
      <c r="F72" s="306">
        <f>IF(C72=0,0,E72/C72)</f>
        <v>1.3420948053749616E-2</v>
      </c>
    </row>
    <row r="73" spans="1:6" ht="24" customHeight="1" x14ac:dyDescent="0.25">
      <c r="A73" s="304"/>
      <c r="B73" s="308" t="s">
        <v>67</v>
      </c>
      <c r="C73" s="309">
        <f>SUM(C70:C72)</f>
        <v>11405827</v>
      </c>
      <c r="D73" s="309">
        <f>SUM(D70:D72)</f>
        <v>28607725</v>
      </c>
      <c r="E73" s="309">
        <f>D73-C73</f>
        <v>17201898</v>
      </c>
      <c r="F73" s="310">
        <f>IF(C73=0,0,E73/C73)</f>
        <v>1.5081675357692168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122629281</v>
      </c>
      <c r="D75" s="309">
        <f>D56+D65+D67+D73</f>
        <v>125634402</v>
      </c>
      <c r="E75" s="309">
        <f>D75-C75</f>
        <v>3005121</v>
      </c>
      <c r="F75" s="310">
        <f>IF(C75=0,0,E75/C75)</f>
        <v>2.4505737744641917E-2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435147772</v>
      </c>
      <c r="D11" s="76">
        <v>477828769</v>
      </c>
      <c r="E11" s="76">
        <f t="shared" ref="E11:E20" si="0">D11-C11</f>
        <v>42680997</v>
      </c>
      <c r="F11" s="77">
        <f t="shared" ref="F11:F20" si="1">IF(C11=0,0,E11/C11)</f>
        <v>9.8083914813195922E-2</v>
      </c>
    </row>
    <row r="12" spans="1:7" ht="23.1" customHeight="1" x14ac:dyDescent="0.2">
      <c r="A12" s="74">
        <v>2</v>
      </c>
      <c r="B12" s="75" t="s">
        <v>72</v>
      </c>
      <c r="C12" s="76">
        <v>271142564</v>
      </c>
      <c r="D12" s="76">
        <v>310870783</v>
      </c>
      <c r="E12" s="76">
        <f t="shared" si="0"/>
        <v>39728219</v>
      </c>
      <c r="F12" s="77">
        <f t="shared" si="1"/>
        <v>0.14652151404749569</v>
      </c>
    </row>
    <row r="13" spans="1:7" ht="23.1" customHeight="1" x14ac:dyDescent="0.2">
      <c r="A13" s="74">
        <v>3</v>
      </c>
      <c r="B13" s="75" t="s">
        <v>73</v>
      </c>
      <c r="C13" s="76">
        <v>3781958</v>
      </c>
      <c r="D13" s="76">
        <v>5306456</v>
      </c>
      <c r="E13" s="76">
        <f t="shared" si="0"/>
        <v>1524498</v>
      </c>
      <c r="F13" s="77">
        <f t="shared" si="1"/>
        <v>0.40309754894158001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160223250</v>
      </c>
      <c r="D15" s="79">
        <f>D11-D12-D13-D14</f>
        <v>161651530</v>
      </c>
      <c r="E15" s="79">
        <f t="shared" si="0"/>
        <v>1428280</v>
      </c>
      <c r="F15" s="80">
        <f t="shared" si="1"/>
        <v>8.9143117493871837E-3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6182431</v>
      </c>
      <c r="E16" s="76">
        <f t="shared" si="0"/>
        <v>6182431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160223250</v>
      </c>
      <c r="D17" s="79">
        <f>D15-D16</f>
        <v>155469099</v>
      </c>
      <c r="E17" s="79">
        <f t="shared" si="0"/>
        <v>-4754151</v>
      </c>
      <c r="F17" s="80">
        <f t="shared" si="1"/>
        <v>-2.967204197892628E-2</v>
      </c>
    </row>
    <row r="18" spans="1:7" ht="23.1" customHeight="1" x14ac:dyDescent="0.2">
      <c r="A18" s="74">
        <v>6</v>
      </c>
      <c r="B18" s="75" t="s">
        <v>78</v>
      </c>
      <c r="C18" s="76">
        <v>7071296</v>
      </c>
      <c r="D18" s="76">
        <v>6651756</v>
      </c>
      <c r="E18" s="76">
        <f t="shared" si="0"/>
        <v>-419540</v>
      </c>
      <c r="F18" s="77">
        <f t="shared" si="1"/>
        <v>-5.9330001176587717E-2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167294546</v>
      </c>
      <c r="D20" s="79">
        <f>SUM(D17:D19)</f>
        <v>162120855</v>
      </c>
      <c r="E20" s="79">
        <f t="shared" si="0"/>
        <v>-5173691</v>
      </c>
      <c r="F20" s="80">
        <f t="shared" si="1"/>
        <v>-3.0925640576471632E-2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76026760</v>
      </c>
      <c r="D23" s="76">
        <v>77499039</v>
      </c>
      <c r="E23" s="76">
        <f t="shared" ref="E23:E32" si="2">D23-C23</f>
        <v>1472279</v>
      </c>
      <c r="F23" s="77">
        <f t="shared" ref="F23:F32" si="3">IF(C23=0,0,E23/C23)</f>
        <v>1.9365273490544645E-2</v>
      </c>
    </row>
    <row r="24" spans="1:7" ht="23.1" customHeight="1" x14ac:dyDescent="0.2">
      <c r="A24" s="74">
        <v>2</v>
      </c>
      <c r="B24" s="75" t="s">
        <v>83</v>
      </c>
      <c r="C24" s="76">
        <v>17641018</v>
      </c>
      <c r="D24" s="76">
        <v>18236865</v>
      </c>
      <c r="E24" s="76">
        <f t="shared" si="2"/>
        <v>595847</v>
      </c>
      <c r="F24" s="77">
        <f t="shared" si="3"/>
        <v>3.3776225385632505E-2</v>
      </c>
    </row>
    <row r="25" spans="1:7" ht="23.1" customHeight="1" x14ac:dyDescent="0.2">
      <c r="A25" s="74">
        <v>3</v>
      </c>
      <c r="B25" s="75" t="s">
        <v>84</v>
      </c>
      <c r="C25" s="76">
        <v>1294829</v>
      </c>
      <c r="D25" s="76">
        <v>1984011</v>
      </c>
      <c r="E25" s="76">
        <f t="shared" si="2"/>
        <v>689182</v>
      </c>
      <c r="F25" s="77">
        <f t="shared" si="3"/>
        <v>0.53225715519192107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20892182</v>
      </c>
      <c r="D26" s="76">
        <v>21777702</v>
      </c>
      <c r="E26" s="76">
        <f t="shared" si="2"/>
        <v>885520</v>
      </c>
      <c r="F26" s="77">
        <f t="shared" si="3"/>
        <v>4.2385232906739949E-2</v>
      </c>
    </row>
    <row r="27" spans="1:7" ht="23.1" customHeight="1" x14ac:dyDescent="0.2">
      <c r="A27" s="74">
        <v>5</v>
      </c>
      <c r="B27" s="75" t="s">
        <v>86</v>
      </c>
      <c r="C27" s="76">
        <v>7011232</v>
      </c>
      <c r="D27" s="76">
        <v>7216365</v>
      </c>
      <c r="E27" s="76">
        <f t="shared" si="2"/>
        <v>205133</v>
      </c>
      <c r="F27" s="77">
        <f t="shared" si="3"/>
        <v>2.9257768106946112E-2</v>
      </c>
    </row>
    <row r="28" spans="1:7" ht="23.1" customHeight="1" x14ac:dyDescent="0.2">
      <c r="A28" s="74">
        <v>6</v>
      </c>
      <c r="B28" s="75" t="s">
        <v>87</v>
      </c>
      <c r="C28" s="76">
        <v>7606229</v>
      </c>
      <c r="D28" s="76">
        <v>0</v>
      </c>
      <c r="E28" s="76">
        <f t="shared" si="2"/>
        <v>-7606229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1943647</v>
      </c>
      <c r="D29" s="76">
        <v>1683295</v>
      </c>
      <c r="E29" s="76">
        <f t="shared" si="2"/>
        <v>-260352</v>
      </c>
      <c r="F29" s="77">
        <f t="shared" si="3"/>
        <v>-0.13395024919648477</v>
      </c>
    </row>
    <row r="30" spans="1:7" ht="23.1" customHeight="1" x14ac:dyDescent="0.2">
      <c r="A30" s="74">
        <v>8</v>
      </c>
      <c r="B30" s="75" t="s">
        <v>89</v>
      </c>
      <c r="C30" s="76">
        <v>1844897</v>
      </c>
      <c r="D30" s="76">
        <v>2044820</v>
      </c>
      <c r="E30" s="76">
        <f t="shared" si="2"/>
        <v>199923</v>
      </c>
      <c r="F30" s="77">
        <f t="shared" si="3"/>
        <v>0.10836539926077174</v>
      </c>
    </row>
    <row r="31" spans="1:7" ht="23.1" customHeight="1" x14ac:dyDescent="0.2">
      <c r="A31" s="74">
        <v>9</v>
      </c>
      <c r="B31" s="75" t="s">
        <v>90</v>
      </c>
      <c r="C31" s="76">
        <v>33132110</v>
      </c>
      <c r="D31" s="76">
        <v>31341121</v>
      </c>
      <c r="E31" s="76">
        <f t="shared" si="2"/>
        <v>-1790989</v>
      </c>
      <c r="F31" s="77">
        <f t="shared" si="3"/>
        <v>-5.4055989793586945E-2</v>
      </c>
    </row>
    <row r="32" spans="1:7" ht="23.1" customHeight="1" x14ac:dyDescent="0.25">
      <c r="A32" s="71"/>
      <c r="B32" s="78" t="s">
        <v>91</v>
      </c>
      <c r="C32" s="79">
        <f>SUM(C23:C31)</f>
        <v>167392904</v>
      </c>
      <c r="D32" s="79">
        <f>SUM(D23:D31)</f>
        <v>161783218</v>
      </c>
      <c r="E32" s="79">
        <f t="shared" si="2"/>
        <v>-5609686</v>
      </c>
      <c r="F32" s="80">
        <f t="shared" si="3"/>
        <v>-3.3512089616415282E-2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-98358</v>
      </c>
      <c r="D34" s="79">
        <f>+D20-D32</f>
        <v>337637</v>
      </c>
      <c r="E34" s="79">
        <f>D34-C34</f>
        <v>435995</v>
      </c>
      <c r="F34" s="80">
        <f>IF(C34=0,0,E34/C34)</f>
        <v>-4.4327355171922971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368338</v>
      </c>
      <c r="D37" s="76">
        <v>311303</v>
      </c>
      <c r="E37" s="76">
        <f>D37-C37</f>
        <v>-57035</v>
      </c>
      <c r="F37" s="77">
        <f>IF(C37=0,0,E37/C37)</f>
        <v>-0.15484419201928665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930385</v>
      </c>
      <c r="D39" s="76">
        <v>546500</v>
      </c>
      <c r="E39" s="76">
        <f>D39-C39</f>
        <v>-383885</v>
      </c>
      <c r="F39" s="77">
        <f>IF(C39=0,0,E39/C39)</f>
        <v>-0.41260875873966152</v>
      </c>
    </row>
    <row r="40" spans="1:6" ht="23.1" customHeight="1" x14ac:dyDescent="0.25">
      <c r="A40" s="83"/>
      <c r="B40" s="78" t="s">
        <v>97</v>
      </c>
      <c r="C40" s="79">
        <f>SUM(C37:C39)</f>
        <v>1298723</v>
      </c>
      <c r="D40" s="79">
        <f>SUM(D37:D39)</f>
        <v>857803</v>
      </c>
      <c r="E40" s="79">
        <f>D40-C40</f>
        <v>-440920</v>
      </c>
      <c r="F40" s="80">
        <f>IF(C40=0,0,E40/C40)</f>
        <v>-0.33950272690943334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1200365</v>
      </c>
      <c r="D42" s="79">
        <f>D34+D40</f>
        <v>1195440</v>
      </c>
      <c r="E42" s="79">
        <f>D42-C42</f>
        <v>-4925</v>
      </c>
      <c r="F42" s="80">
        <f>IF(C42=0,0,E42/C42)</f>
        <v>-4.1029186955634329E-3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1200365</v>
      </c>
      <c r="D49" s="79">
        <f>D42+D47</f>
        <v>1195440</v>
      </c>
      <c r="E49" s="79">
        <f>D49-C49</f>
        <v>-4925</v>
      </c>
      <c r="F49" s="80">
        <f>IF(C49=0,0,E49/C49)</f>
        <v>-4.1029186955634329E-3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2014-10-06T19:43:12Z</cp:lastPrinted>
  <dcterms:created xsi:type="dcterms:W3CDTF">2014-10-06T18:08:05Z</dcterms:created>
  <dcterms:modified xsi:type="dcterms:W3CDTF">2014-10-09T17:20:39Z</dcterms:modified>
</cp:coreProperties>
</file>