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Report_400!$A$10:$I$47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 fullCalcOnLoad="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/>
  <c r="D223" i="14"/>
  <c r="D204" i="14"/>
  <c r="D269" i="14"/>
  <c r="D203" i="14"/>
  <c r="D267" i="14"/>
  <c r="D198" i="14"/>
  <c r="D290" i="14"/>
  <c r="D191" i="14"/>
  <c r="D264" i="14"/>
  <c r="D189" i="14"/>
  <c r="D188" i="14"/>
  <c r="D261" i="14"/>
  <c r="D180" i="14"/>
  <c r="D179" i="14"/>
  <c r="D171" i="14"/>
  <c r="D172" i="14"/>
  <c r="D173" i="14"/>
  <c r="D170" i="14"/>
  <c r="D165" i="14"/>
  <c r="D164" i="14"/>
  <c r="D158" i="14"/>
  <c r="D159" i="14"/>
  <c r="D155" i="14"/>
  <c r="D145" i="14"/>
  <c r="D144" i="14"/>
  <c r="D146" i="14"/>
  <c r="D136" i="14"/>
  <c r="D137" i="14"/>
  <c r="D138" i="14"/>
  <c r="D135" i="14"/>
  <c r="D130" i="14"/>
  <c r="D129" i="14"/>
  <c r="D123" i="14"/>
  <c r="D120" i="14"/>
  <c r="D110" i="14"/>
  <c r="D109" i="14"/>
  <c r="D111" i="14"/>
  <c r="D101" i="14"/>
  <c r="D102" i="14"/>
  <c r="D103" i="14"/>
  <c r="D100" i="14"/>
  <c r="D95" i="14"/>
  <c r="D94" i="14"/>
  <c r="D88" i="14"/>
  <c r="D89" i="14"/>
  <c r="D85" i="14"/>
  <c r="D76" i="14"/>
  <c r="D77" i="14"/>
  <c r="D67" i="14"/>
  <c r="D66" i="14"/>
  <c r="D68" i="14"/>
  <c r="D59" i="14"/>
  <c r="D60" i="14"/>
  <c r="D61" i="14"/>
  <c r="D174" i="14"/>
  <c r="D58" i="14"/>
  <c r="D53" i="14"/>
  <c r="D52" i="14"/>
  <c r="D47" i="14"/>
  <c r="D48" i="14"/>
  <c r="D44" i="14"/>
  <c r="D36" i="14"/>
  <c r="D35" i="14"/>
  <c r="D37" i="14"/>
  <c r="D30" i="14"/>
  <c r="D31" i="14"/>
  <c r="D32" i="14"/>
  <c r="D29" i="14"/>
  <c r="D24" i="14"/>
  <c r="D23" i="14"/>
  <c r="D20" i="14"/>
  <c r="D17" i="14"/>
  <c r="C98" i="19"/>
  <c r="E97" i="19"/>
  <c r="D97" i="19"/>
  <c r="C97" i="19"/>
  <c r="E96" i="19"/>
  <c r="D96" i="19"/>
  <c r="D98" i="19"/>
  <c r="C96" i="19"/>
  <c r="D93" i="19"/>
  <c r="E92" i="19"/>
  <c r="D92" i="19"/>
  <c r="C92" i="19"/>
  <c r="E91" i="19"/>
  <c r="E93" i="19"/>
  <c r="D91" i="19"/>
  <c r="C91" i="19"/>
  <c r="C93" i="19"/>
  <c r="E87" i="19"/>
  <c r="D87" i="19"/>
  <c r="C87" i="19"/>
  <c r="E86" i="19"/>
  <c r="E88" i="19"/>
  <c r="D86" i="19"/>
  <c r="D88" i="19"/>
  <c r="C86" i="19"/>
  <c r="C88" i="19"/>
  <c r="E83" i="19"/>
  <c r="D83" i="19"/>
  <c r="D102" i="19"/>
  <c r="C83" i="19"/>
  <c r="C101" i="19"/>
  <c r="E76" i="19"/>
  <c r="D76" i="19"/>
  <c r="C76" i="19"/>
  <c r="E75" i="19"/>
  <c r="E77" i="19"/>
  <c r="D75" i="19"/>
  <c r="D77" i="19"/>
  <c r="D101" i="19"/>
  <c r="D103" i="19"/>
  <c r="C75" i="19"/>
  <c r="C77" i="19"/>
  <c r="C108" i="19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22" i="19"/>
  <c r="D12" i="19"/>
  <c r="D33" i="19"/>
  <c r="C12" i="19"/>
  <c r="C33" i="19"/>
  <c r="D21" i="18"/>
  <c r="C21" i="18"/>
  <c r="D19" i="18"/>
  <c r="C19" i="18"/>
  <c r="E19" i="18"/>
  <c r="F19" i="18"/>
  <c r="E17" i="18"/>
  <c r="F17" i="18"/>
  <c r="E15" i="18"/>
  <c r="F15" i="18"/>
  <c r="D45" i="17"/>
  <c r="C45" i="17"/>
  <c r="D44" i="17"/>
  <c r="C44" i="17"/>
  <c r="D43" i="17"/>
  <c r="D46" i="17"/>
  <c r="C43" i="17"/>
  <c r="D36" i="17"/>
  <c r="D40" i="17"/>
  <c r="C36" i="17"/>
  <c r="E35" i="17"/>
  <c r="F35" i="17"/>
  <c r="E34" i="17"/>
  <c r="F34" i="17"/>
  <c r="E33" i="17"/>
  <c r="E30" i="17"/>
  <c r="F30" i="17"/>
  <c r="E29" i="17"/>
  <c r="F29" i="17"/>
  <c r="E28" i="17"/>
  <c r="F28" i="17"/>
  <c r="E27" i="17"/>
  <c r="F27" i="17"/>
  <c r="D25" i="17"/>
  <c r="D39" i="17"/>
  <c r="C25" i="17"/>
  <c r="C39" i="17"/>
  <c r="E24" i="17"/>
  <c r="F24" i="17"/>
  <c r="E23" i="17"/>
  <c r="F23" i="17"/>
  <c r="E22" i="17"/>
  <c r="F22" i="17"/>
  <c r="D19" i="17"/>
  <c r="D20" i="17"/>
  <c r="C19" i="17"/>
  <c r="E18" i="17"/>
  <c r="F18" i="17"/>
  <c r="D16" i="17"/>
  <c r="E16" i="17"/>
  <c r="C16" i="17"/>
  <c r="E15" i="17"/>
  <c r="F15" i="17"/>
  <c r="E13" i="17"/>
  <c r="F13" i="17"/>
  <c r="E12" i="17"/>
  <c r="F12" i="17"/>
  <c r="C115" i="16"/>
  <c r="C105" i="16"/>
  <c r="C137" i="16"/>
  <c r="C139" i="16"/>
  <c r="C143" i="16"/>
  <c r="C96" i="16"/>
  <c r="C95" i="16"/>
  <c r="C89" i="16"/>
  <c r="C88" i="16"/>
  <c r="C83" i="16"/>
  <c r="C77" i="16"/>
  <c r="C78" i="16"/>
  <c r="C63" i="16"/>
  <c r="C60" i="16"/>
  <c r="C59" i="16"/>
  <c r="C48" i="16"/>
  <c r="C64" i="16"/>
  <c r="C65" i="16"/>
  <c r="C114" i="16"/>
  <c r="C116" i="16"/>
  <c r="C119" i="16"/>
  <c r="C123" i="16"/>
  <c r="C36" i="16"/>
  <c r="C32" i="16"/>
  <c r="C33" i="16"/>
  <c r="C21" i="16"/>
  <c r="C37" i="16"/>
  <c r="E328" i="15"/>
  <c r="E325" i="15"/>
  <c r="D324" i="15"/>
  <c r="D326" i="15"/>
  <c r="C324" i="15"/>
  <c r="C326" i="15"/>
  <c r="C330" i="15"/>
  <c r="E318" i="15"/>
  <c r="E315" i="15"/>
  <c r="D314" i="15"/>
  <c r="C314" i="15"/>
  <c r="C316" i="15"/>
  <c r="C320" i="15"/>
  <c r="E308" i="15"/>
  <c r="E305" i="15"/>
  <c r="D301" i="15"/>
  <c r="C301" i="15"/>
  <c r="D293" i="15"/>
  <c r="E293" i="15"/>
  <c r="C293" i="15"/>
  <c r="D292" i="15"/>
  <c r="E292" i="15"/>
  <c r="C292" i="15"/>
  <c r="D291" i="15"/>
  <c r="C291" i="15"/>
  <c r="D290" i="15"/>
  <c r="C290" i="15"/>
  <c r="E290" i="15"/>
  <c r="D288" i="15"/>
  <c r="E288" i="15"/>
  <c r="C288" i="15"/>
  <c r="D287" i="15"/>
  <c r="C287" i="15"/>
  <c r="D282" i="15"/>
  <c r="E282" i="15"/>
  <c r="C282" i="15"/>
  <c r="D281" i="15"/>
  <c r="C281" i="15"/>
  <c r="D280" i="15"/>
  <c r="E280" i="15"/>
  <c r="C280" i="15"/>
  <c r="D279" i="15"/>
  <c r="E279" i="15"/>
  <c r="C279" i="15"/>
  <c r="D278" i="15"/>
  <c r="C278" i="15"/>
  <c r="D277" i="15"/>
  <c r="C277" i="15"/>
  <c r="D276" i="15"/>
  <c r="E276" i="15"/>
  <c r="C276" i="15"/>
  <c r="E270" i="15"/>
  <c r="D265" i="15"/>
  <c r="E265" i="15"/>
  <c r="C265" i="15"/>
  <c r="C302" i="15"/>
  <c r="C303" i="15"/>
  <c r="C306" i="15"/>
  <c r="C310" i="15"/>
  <c r="D262" i="15"/>
  <c r="C262" i="15"/>
  <c r="E262" i="15"/>
  <c r="D251" i="15"/>
  <c r="C251" i="15"/>
  <c r="E251" i="15"/>
  <c r="D233" i="15"/>
  <c r="C233" i="15"/>
  <c r="D232" i="15"/>
  <c r="E232" i="15"/>
  <c r="C232" i="15"/>
  <c r="D231" i="15"/>
  <c r="C231" i="15"/>
  <c r="D230" i="15"/>
  <c r="C230" i="15"/>
  <c r="D228" i="15"/>
  <c r="E228" i="15"/>
  <c r="C228" i="15"/>
  <c r="D227" i="15"/>
  <c r="E227" i="15"/>
  <c r="C227" i="15"/>
  <c r="D221" i="15"/>
  <c r="D245" i="15"/>
  <c r="C221" i="15"/>
  <c r="C245" i="15"/>
  <c r="D220" i="15"/>
  <c r="C220" i="15"/>
  <c r="C244" i="15"/>
  <c r="D219" i="15"/>
  <c r="C219" i="15"/>
  <c r="C243" i="15"/>
  <c r="D218" i="15"/>
  <c r="D242" i="15"/>
  <c r="C218" i="15"/>
  <c r="C242" i="15"/>
  <c r="D217" i="15"/>
  <c r="D216" i="15"/>
  <c r="E216" i="15"/>
  <c r="C216" i="15"/>
  <c r="C222" i="15"/>
  <c r="D215" i="15"/>
  <c r="C215" i="15"/>
  <c r="C239" i="15"/>
  <c r="E209" i="15"/>
  <c r="E208" i="15"/>
  <c r="E207" i="15"/>
  <c r="E206" i="15"/>
  <c r="D205" i="15"/>
  <c r="D229" i="15"/>
  <c r="C205" i="15"/>
  <c r="E204" i="15"/>
  <c r="E203" i="15"/>
  <c r="E197" i="15"/>
  <c r="E196" i="15"/>
  <c r="D195" i="15"/>
  <c r="D260" i="15"/>
  <c r="C195" i="15"/>
  <c r="C260" i="15"/>
  <c r="E194" i="15"/>
  <c r="E193" i="15"/>
  <c r="E192" i="15"/>
  <c r="E191" i="15"/>
  <c r="E190" i="15"/>
  <c r="D189" i="15"/>
  <c r="D188" i="15"/>
  <c r="D261" i="15"/>
  <c r="C188" i="15"/>
  <c r="E186" i="15"/>
  <c r="E185" i="15"/>
  <c r="D179" i="15"/>
  <c r="E179" i="15"/>
  <c r="C179" i="15"/>
  <c r="D178" i="15"/>
  <c r="E178" i="15"/>
  <c r="C178" i="15"/>
  <c r="D177" i="15"/>
  <c r="C177" i="15"/>
  <c r="D176" i="15"/>
  <c r="E176" i="15"/>
  <c r="C176" i="15"/>
  <c r="D174" i="15"/>
  <c r="E174" i="15"/>
  <c r="C174" i="15"/>
  <c r="D173" i="15"/>
  <c r="C173" i="15"/>
  <c r="D167" i="15"/>
  <c r="E167" i="15"/>
  <c r="C167" i="15"/>
  <c r="D166" i="15"/>
  <c r="E166" i="15"/>
  <c r="C166" i="15"/>
  <c r="D165" i="15"/>
  <c r="C165" i="15"/>
  <c r="E165" i="15"/>
  <c r="D164" i="15"/>
  <c r="E164" i="15"/>
  <c r="C164" i="15"/>
  <c r="D162" i="15"/>
  <c r="C162" i="15"/>
  <c r="D161" i="15"/>
  <c r="C161" i="15"/>
  <c r="E161" i="15"/>
  <c r="E155" i="15"/>
  <c r="E154" i="15"/>
  <c r="E153" i="15"/>
  <c r="E152" i="15"/>
  <c r="D151" i="15"/>
  <c r="D156" i="15"/>
  <c r="E156" i="15"/>
  <c r="C151" i="15"/>
  <c r="C156" i="15"/>
  <c r="C157" i="15"/>
  <c r="E150" i="15"/>
  <c r="E149" i="15"/>
  <c r="E143" i="15"/>
  <c r="E142" i="15"/>
  <c r="E141" i="15"/>
  <c r="E140" i="15"/>
  <c r="D139" i="15"/>
  <c r="D144" i="15"/>
  <c r="D168" i="15"/>
  <c r="C139" i="15"/>
  <c r="E138" i="15"/>
  <c r="E137" i="15"/>
  <c r="D75" i="15"/>
  <c r="C75" i="15"/>
  <c r="D74" i="15"/>
  <c r="E74" i="15"/>
  <c r="C74" i="15"/>
  <c r="D73" i="15"/>
  <c r="E73" i="15"/>
  <c r="C73" i="15"/>
  <c r="D72" i="15"/>
  <c r="E72" i="15"/>
  <c r="C72" i="15"/>
  <c r="D71" i="15"/>
  <c r="D70" i="15"/>
  <c r="C70" i="15"/>
  <c r="E70" i="15"/>
  <c r="D69" i="15"/>
  <c r="C69" i="15"/>
  <c r="E64" i="15"/>
  <c r="E63" i="15"/>
  <c r="E62" i="15"/>
  <c r="E61" i="15"/>
  <c r="D60" i="15"/>
  <c r="D65" i="15"/>
  <c r="D66" i="15"/>
  <c r="E66" i="15"/>
  <c r="C60" i="15"/>
  <c r="C65" i="15"/>
  <c r="C66" i="15"/>
  <c r="E59" i="15"/>
  <c r="E58" i="15"/>
  <c r="D55" i="15"/>
  <c r="D54" i="15"/>
  <c r="C54" i="15"/>
  <c r="E53" i="15"/>
  <c r="E52" i="15"/>
  <c r="E51" i="15"/>
  <c r="E50" i="15"/>
  <c r="E49" i="15"/>
  <c r="E48" i="15"/>
  <c r="E47" i="15"/>
  <c r="D42" i="15"/>
  <c r="C42" i="15"/>
  <c r="E42" i="15"/>
  <c r="D41" i="15"/>
  <c r="E41" i="15"/>
  <c r="C41" i="15"/>
  <c r="D40" i="15"/>
  <c r="E40" i="15"/>
  <c r="C40" i="15"/>
  <c r="D39" i="15"/>
  <c r="E39" i="15"/>
  <c r="C39" i="15"/>
  <c r="D38" i="15"/>
  <c r="C38" i="15"/>
  <c r="D37" i="15"/>
  <c r="D43" i="15"/>
  <c r="C37" i="15"/>
  <c r="D36" i="15"/>
  <c r="C36" i="15"/>
  <c r="D32" i="15"/>
  <c r="D33" i="15"/>
  <c r="D295" i="15"/>
  <c r="C32" i="15"/>
  <c r="C294" i="15"/>
  <c r="E31" i="15"/>
  <c r="E30" i="15"/>
  <c r="E29" i="15"/>
  <c r="E28" i="15"/>
  <c r="E27" i="15"/>
  <c r="E26" i="15"/>
  <c r="E25" i="15"/>
  <c r="D21" i="15"/>
  <c r="D22" i="15"/>
  <c r="C21" i="15"/>
  <c r="C283" i="15"/>
  <c r="E20" i="15"/>
  <c r="E19" i="15"/>
  <c r="E18" i="15"/>
  <c r="E17" i="15"/>
  <c r="E16" i="15"/>
  <c r="E15" i="15"/>
  <c r="E14" i="15"/>
  <c r="E335" i="14"/>
  <c r="F335" i="14"/>
  <c r="F334" i="14"/>
  <c r="E334" i="14"/>
  <c r="E333" i="14"/>
  <c r="F333" i="14"/>
  <c r="F332" i="14"/>
  <c r="E332" i="14"/>
  <c r="E331" i="14"/>
  <c r="F331" i="14"/>
  <c r="E330" i="14"/>
  <c r="F330" i="14"/>
  <c r="E329" i="14"/>
  <c r="F329" i="14"/>
  <c r="F316" i="14"/>
  <c r="E316" i="14"/>
  <c r="C311" i="14"/>
  <c r="F311" i="14"/>
  <c r="E308" i="14"/>
  <c r="F308" i="14"/>
  <c r="C307" i="14"/>
  <c r="C299" i="14"/>
  <c r="E298" i="14"/>
  <c r="C298" i="14"/>
  <c r="F298" i="14"/>
  <c r="C297" i="14"/>
  <c r="C296" i="14"/>
  <c r="E296" i="14"/>
  <c r="C295" i="14"/>
  <c r="C294" i="14"/>
  <c r="E294" i="14"/>
  <c r="C283" i="14"/>
  <c r="C267" i="14"/>
  <c r="C250" i="14"/>
  <c r="C306" i="14"/>
  <c r="E249" i="14"/>
  <c r="F249" i="14"/>
  <c r="E248" i="14"/>
  <c r="F248" i="14"/>
  <c r="F245" i="14"/>
  <c r="E245" i="14"/>
  <c r="E244" i="14"/>
  <c r="F244" i="14"/>
  <c r="E243" i="14"/>
  <c r="F243" i="14"/>
  <c r="C238" i="14"/>
  <c r="E238" i="14"/>
  <c r="C237" i="14"/>
  <c r="E237" i="14"/>
  <c r="E234" i="14"/>
  <c r="F234" i="14"/>
  <c r="E233" i="14"/>
  <c r="F233" i="14"/>
  <c r="C230" i="14"/>
  <c r="C229" i="14"/>
  <c r="E229" i="14"/>
  <c r="F228" i="14"/>
  <c r="E228" i="14"/>
  <c r="C227" i="14"/>
  <c r="E227" i="14"/>
  <c r="E226" i="14"/>
  <c r="C226" i="14"/>
  <c r="E225" i="14"/>
  <c r="F225" i="14"/>
  <c r="F224" i="14"/>
  <c r="E224" i="14"/>
  <c r="C223" i="14"/>
  <c r="E222" i="14"/>
  <c r="F222" i="14"/>
  <c r="E221" i="14"/>
  <c r="F221" i="14"/>
  <c r="C204" i="14"/>
  <c r="E204" i="14"/>
  <c r="C203" i="14"/>
  <c r="C198" i="14"/>
  <c r="C290" i="14"/>
  <c r="C191" i="14"/>
  <c r="C189" i="14"/>
  <c r="C188" i="14"/>
  <c r="C261" i="14"/>
  <c r="C180" i="14"/>
  <c r="F180" i="14"/>
  <c r="C179" i="14"/>
  <c r="C181" i="14"/>
  <c r="F181" i="14"/>
  <c r="C171" i="14"/>
  <c r="F171" i="14"/>
  <c r="C170" i="14"/>
  <c r="F170" i="14"/>
  <c r="F169" i="14"/>
  <c r="E169" i="14"/>
  <c r="F168" i="14"/>
  <c r="E168" i="14"/>
  <c r="E165" i="14"/>
  <c r="C165" i="14"/>
  <c r="F165" i="14"/>
  <c r="C164" i="14"/>
  <c r="E164" i="14"/>
  <c r="F163" i="14"/>
  <c r="E163" i="14"/>
  <c r="E158" i="14"/>
  <c r="C158" i="14"/>
  <c r="C159" i="14"/>
  <c r="F159" i="14"/>
  <c r="F157" i="14"/>
  <c r="E157" i="14"/>
  <c r="F156" i="14"/>
  <c r="E156" i="14"/>
  <c r="C155" i="14"/>
  <c r="F154" i="14"/>
  <c r="E154" i="14"/>
  <c r="F153" i="14"/>
  <c r="E153" i="14"/>
  <c r="C145" i="14"/>
  <c r="E145" i="14"/>
  <c r="C144" i="14"/>
  <c r="C146" i="14"/>
  <c r="C136" i="14"/>
  <c r="C135" i="14"/>
  <c r="E135" i="14"/>
  <c r="E134" i="14"/>
  <c r="F134" i="14"/>
  <c r="E133" i="14"/>
  <c r="F133" i="14"/>
  <c r="C130" i="14"/>
  <c r="E130" i="14"/>
  <c r="F130" i="14"/>
  <c r="C129" i="14"/>
  <c r="E129" i="14"/>
  <c r="F129" i="14"/>
  <c r="E128" i="14"/>
  <c r="F128" i="14"/>
  <c r="C123" i="14"/>
  <c r="C192" i="14"/>
  <c r="E122" i="14"/>
  <c r="F122" i="14"/>
  <c r="E121" i="14"/>
  <c r="F121" i="14"/>
  <c r="C120" i="14"/>
  <c r="E120" i="14"/>
  <c r="E119" i="14"/>
  <c r="F119" i="14"/>
  <c r="E118" i="14"/>
  <c r="F118" i="14"/>
  <c r="C110" i="14"/>
  <c r="C111" i="14"/>
  <c r="C109" i="14"/>
  <c r="E109" i="14"/>
  <c r="F109" i="14"/>
  <c r="C102" i="14"/>
  <c r="C101" i="14"/>
  <c r="E101" i="14"/>
  <c r="C100" i="14"/>
  <c r="E100" i="14"/>
  <c r="F100" i="14"/>
  <c r="E99" i="14"/>
  <c r="F99" i="14"/>
  <c r="E98" i="14"/>
  <c r="F98" i="14"/>
  <c r="C95" i="14"/>
  <c r="E95" i="14"/>
  <c r="C94" i="14"/>
  <c r="E93" i="14"/>
  <c r="F93" i="14"/>
  <c r="E88" i="14"/>
  <c r="C88" i="14"/>
  <c r="E87" i="14"/>
  <c r="F87" i="14"/>
  <c r="E86" i="14"/>
  <c r="F86" i="14"/>
  <c r="C85" i="14"/>
  <c r="E84" i="14"/>
  <c r="F84" i="14"/>
  <c r="E83" i="14"/>
  <c r="F83" i="14"/>
  <c r="C76" i="14"/>
  <c r="E74" i="14"/>
  <c r="F74" i="14"/>
  <c r="E73" i="14"/>
  <c r="F73" i="14"/>
  <c r="C67" i="14"/>
  <c r="C68" i="14"/>
  <c r="F66" i="14"/>
  <c r="C66" i="14"/>
  <c r="E66" i="14"/>
  <c r="C59" i="14"/>
  <c r="C58" i="14"/>
  <c r="E58" i="14"/>
  <c r="E57" i="14"/>
  <c r="F57" i="14"/>
  <c r="E56" i="14"/>
  <c r="F56" i="14"/>
  <c r="C53" i="14"/>
  <c r="E53" i="14"/>
  <c r="F53" i="14"/>
  <c r="C52" i="14"/>
  <c r="E52" i="14"/>
  <c r="E51" i="14"/>
  <c r="F51" i="14"/>
  <c r="C47" i="14"/>
  <c r="E46" i="14"/>
  <c r="F46" i="14"/>
  <c r="E45" i="14"/>
  <c r="F45" i="14"/>
  <c r="C44" i="14"/>
  <c r="E44" i="14"/>
  <c r="E43" i="14"/>
  <c r="F43" i="14"/>
  <c r="E42" i="14"/>
  <c r="F42" i="14"/>
  <c r="C36" i="14"/>
  <c r="C35" i="14"/>
  <c r="C30" i="14"/>
  <c r="C29" i="14"/>
  <c r="E29" i="14"/>
  <c r="E28" i="14"/>
  <c r="F28" i="14"/>
  <c r="E27" i="14"/>
  <c r="F27" i="14"/>
  <c r="C24" i="14"/>
  <c r="E23" i="14"/>
  <c r="C23" i="14"/>
  <c r="E22" i="14"/>
  <c r="F22" i="14"/>
  <c r="C20" i="14"/>
  <c r="E19" i="14"/>
  <c r="F19" i="14"/>
  <c r="E18" i="14"/>
  <c r="F18" i="14"/>
  <c r="C17" i="14"/>
  <c r="E16" i="14"/>
  <c r="F16" i="14"/>
  <c r="E15" i="14"/>
  <c r="F15" i="14"/>
  <c r="D21" i="13"/>
  <c r="E21" i="13"/>
  <c r="C21" i="13"/>
  <c r="E20" i="13"/>
  <c r="F20" i="13"/>
  <c r="D17" i="13"/>
  <c r="C17" i="13"/>
  <c r="E17" i="13"/>
  <c r="E16" i="13"/>
  <c r="F16" i="13"/>
  <c r="D13" i="13"/>
  <c r="C13" i="13"/>
  <c r="E12" i="13"/>
  <c r="F12" i="13"/>
  <c r="D99" i="12"/>
  <c r="E99" i="12"/>
  <c r="F99" i="12"/>
  <c r="C99" i="12"/>
  <c r="E98" i="12"/>
  <c r="F98" i="12"/>
  <c r="E97" i="12"/>
  <c r="F97" i="12"/>
  <c r="E96" i="12"/>
  <c r="F96" i="12"/>
  <c r="D92" i="12"/>
  <c r="E92" i="12"/>
  <c r="C92" i="12"/>
  <c r="E91" i="12"/>
  <c r="F91" i="12"/>
  <c r="E90" i="12"/>
  <c r="F90" i="12"/>
  <c r="E89" i="12"/>
  <c r="F89" i="12"/>
  <c r="E88" i="12"/>
  <c r="F88" i="12"/>
  <c r="E87" i="12"/>
  <c r="F87" i="12"/>
  <c r="D84" i="12"/>
  <c r="E84" i="12"/>
  <c r="C84" i="12"/>
  <c r="F83" i="12"/>
  <c r="E83" i="12"/>
  <c r="F82" i="12"/>
  <c r="E82" i="12"/>
  <c r="E81" i="12"/>
  <c r="F81" i="12"/>
  <c r="F80" i="12"/>
  <c r="E80" i="12"/>
  <c r="F79" i="12"/>
  <c r="E79" i="12"/>
  <c r="D75" i="12"/>
  <c r="C75" i="12"/>
  <c r="E74" i="12"/>
  <c r="F74" i="12"/>
  <c r="E73" i="12"/>
  <c r="F73" i="12"/>
  <c r="D70" i="12"/>
  <c r="C70" i="12"/>
  <c r="E69" i="12"/>
  <c r="F69" i="12"/>
  <c r="E68" i="12"/>
  <c r="F68" i="12"/>
  <c r="D65" i="12"/>
  <c r="E65" i="12"/>
  <c r="C65" i="12"/>
  <c r="E64" i="12"/>
  <c r="F64" i="12"/>
  <c r="F63" i="12"/>
  <c r="E63" i="12"/>
  <c r="D60" i="12"/>
  <c r="C60" i="12"/>
  <c r="F60" i="12"/>
  <c r="F59" i="12"/>
  <c r="E59" i="12"/>
  <c r="F58" i="12"/>
  <c r="E58" i="12"/>
  <c r="E60" i="12"/>
  <c r="D55" i="12"/>
  <c r="E55" i="12"/>
  <c r="C55" i="12"/>
  <c r="F55" i="12"/>
  <c r="F54" i="12"/>
  <c r="E54" i="12"/>
  <c r="F53" i="12"/>
  <c r="E53" i="12"/>
  <c r="D50" i="12"/>
  <c r="E50" i="12"/>
  <c r="C50" i="12"/>
  <c r="F50" i="12"/>
  <c r="F49" i="12"/>
  <c r="E49" i="12"/>
  <c r="F48" i="12"/>
  <c r="E48" i="12"/>
  <c r="D45" i="12"/>
  <c r="E45" i="12"/>
  <c r="C45" i="12"/>
  <c r="F45" i="12"/>
  <c r="F44" i="12"/>
  <c r="E44" i="12"/>
  <c r="F43" i="12"/>
  <c r="E43" i="12"/>
  <c r="D37" i="12"/>
  <c r="C37" i="12"/>
  <c r="F36" i="12"/>
  <c r="E36" i="12"/>
  <c r="F35" i="12"/>
  <c r="E35" i="12"/>
  <c r="F34" i="12"/>
  <c r="E34" i="12"/>
  <c r="F33" i="12"/>
  <c r="E33" i="12"/>
  <c r="D30" i="12"/>
  <c r="E30" i="12"/>
  <c r="C30" i="12"/>
  <c r="F29" i="12"/>
  <c r="E29" i="12"/>
  <c r="F28" i="12"/>
  <c r="E28" i="12"/>
  <c r="E27" i="12"/>
  <c r="F27" i="12"/>
  <c r="F26" i="12"/>
  <c r="E26" i="12"/>
  <c r="D23" i="12"/>
  <c r="E23" i="12"/>
  <c r="C23" i="12"/>
  <c r="F22" i="12"/>
  <c r="E22" i="12"/>
  <c r="F21" i="12"/>
  <c r="E21" i="12"/>
  <c r="E20" i="12"/>
  <c r="F20" i="12"/>
  <c r="E19" i="12"/>
  <c r="F19" i="12"/>
  <c r="D16" i="12"/>
  <c r="E16" i="12"/>
  <c r="C16" i="12"/>
  <c r="F15" i="12"/>
  <c r="E15" i="12"/>
  <c r="E14" i="12"/>
  <c r="F14" i="12"/>
  <c r="E13" i="12"/>
  <c r="F13" i="12"/>
  <c r="E12" i="12"/>
  <c r="F12" i="12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F17" i="11"/>
  <c r="F33" i="11"/>
  <c r="F36" i="11"/>
  <c r="F38" i="11"/>
  <c r="F40" i="11"/>
  <c r="E17" i="11"/>
  <c r="E31" i="11"/>
  <c r="D17" i="11"/>
  <c r="D33" i="11"/>
  <c r="D36" i="11"/>
  <c r="D38" i="11"/>
  <c r="D40" i="11"/>
  <c r="C17" i="11"/>
  <c r="C33" i="11"/>
  <c r="C36" i="11"/>
  <c r="C38" i="11"/>
  <c r="C40" i="1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/>
  <c r="D78" i="10"/>
  <c r="D80" i="10"/>
  <c r="D77" i="10"/>
  <c r="C78" i="10"/>
  <c r="C80" i="10"/>
  <c r="C77" i="10"/>
  <c r="D75" i="10"/>
  <c r="E73" i="10"/>
  <c r="E75" i="10"/>
  <c r="D73" i="10"/>
  <c r="C73" i="10"/>
  <c r="C75" i="10"/>
  <c r="E71" i="10"/>
  <c r="D71" i="10"/>
  <c r="C71" i="10"/>
  <c r="E66" i="10"/>
  <c r="E65" i="10"/>
  <c r="D66" i="10"/>
  <c r="C66" i="10"/>
  <c r="D65" i="10"/>
  <c r="C65" i="10"/>
  <c r="E60" i="10"/>
  <c r="D60" i="10"/>
  <c r="C60" i="10"/>
  <c r="E58" i="10"/>
  <c r="D58" i="10"/>
  <c r="C58" i="10"/>
  <c r="E55" i="10"/>
  <c r="E50" i="10"/>
  <c r="D55" i="10"/>
  <c r="C55" i="10"/>
  <c r="E54" i="10"/>
  <c r="D54" i="10"/>
  <c r="D50" i="10"/>
  <c r="C54" i="10"/>
  <c r="C50" i="10"/>
  <c r="E46" i="10"/>
  <c r="E48" i="10"/>
  <c r="E42" i="10"/>
  <c r="D46" i="10"/>
  <c r="D48" i="10"/>
  <c r="D42" i="10"/>
  <c r="C46" i="10"/>
  <c r="C59" i="10"/>
  <c r="C61" i="10"/>
  <c r="C57" i="10"/>
  <c r="E45" i="10"/>
  <c r="D45" i="10"/>
  <c r="C45" i="10"/>
  <c r="E38" i="10"/>
  <c r="D38" i="10"/>
  <c r="C38" i="10"/>
  <c r="E33" i="10"/>
  <c r="E34" i="10"/>
  <c r="D33" i="10"/>
  <c r="D34" i="10"/>
  <c r="E26" i="10"/>
  <c r="D26" i="10"/>
  <c r="C26" i="10"/>
  <c r="E13" i="10"/>
  <c r="D13" i="10"/>
  <c r="D15" i="10"/>
  <c r="D25" i="10"/>
  <c r="D27" i="10"/>
  <c r="C13" i="10"/>
  <c r="C15" i="10"/>
  <c r="D46" i="9"/>
  <c r="C46" i="9"/>
  <c r="F45" i="9"/>
  <c r="E45" i="9"/>
  <c r="F44" i="9"/>
  <c r="E44" i="9"/>
  <c r="D39" i="9"/>
  <c r="C39" i="9"/>
  <c r="E39" i="9"/>
  <c r="E38" i="9"/>
  <c r="F38" i="9"/>
  <c r="F37" i="9"/>
  <c r="E37" i="9"/>
  <c r="E36" i="9"/>
  <c r="F36" i="9"/>
  <c r="D31" i="9"/>
  <c r="C31" i="9"/>
  <c r="E30" i="9"/>
  <c r="F30" i="9"/>
  <c r="E29" i="9"/>
  <c r="F29" i="9"/>
  <c r="E28" i="9"/>
  <c r="F28" i="9"/>
  <c r="E27" i="9"/>
  <c r="F27" i="9"/>
  <c r="E26" i="9"/>
  <c r="F26" i="9"/>
  <c r="E25" i="9"/>
  <c r="F25" i="9"/>
  <c r="E24" i="9"/>
  <c r="F24" i="9"/>
  <c r="E23" i="9"/>
  <c r="F23" i="9"/>
  <c r="E22" i="9"/>
  <c r="F22" i="9"/>
  <c r="F18" i="9"/>
  <c r="E18" i="9"/>
  <c r="E17" i="9"/>
  <c r="F17" i="9"/>
  <c r="D16" i="9"/>
  <c r="C16" i="9"/>
  <c r="C19" i="9"/>
  <c r="C33" i="9"/>
  <c r="F15" i="9"/>
  <c r="E15" i="9"/>
  <c r="E14" i="9"/>
  <c r="F14" i="9"/>
  <c r="E13" i="9"/>
  <c r="F13" i="9"/>
  <c r="E12" i="9"/>
  <c r="F12" i="9"/>
  <c r="D73" i="8"/>
  <c r="E73" i="8"/>
  <c r="C73" i="8"/>
  <c r="E72" i="8"/>
  <c r="F72" i="8"/>
  <c r="F71" i="8"/>
  <c r="E71" i="8"/>
  <c r="E70" i="8"/>
  <c r="F70" i="8"/>
  <c r="F67" i="8"/>
  <c r="E67" i="8"/>
  <c r="E64" i="8"/>
  <c r="F64" i="8"/>
  <c r="E63" i="8"/>
  <c r="F63" i="8"/>
  <c r="D61" i="8"/>
  <c r="C61" i="8"/>
  <c r="C65" i="8"/>
  <c r="E60" i="8"/>
  <c r="F60" i="8"/>
  <c r="E59" i="8"/>
  <c r="F59" i="8"/>
  <c r="D56" i="8"/>
  <c r="C56" i="8"/>
  <c r="E55" i="8"/>
  <c r="F55" i="8"/>
  <c r="E54" i="8"/>
  <c r="F54" i="8"/>
  <c r="E53" i="8"/>
  <c r="F53" i="8"/>
  <c r="F52" i="8"/>
  <c r="E52" i="8"/>
  <c r="F51" i="8"/>
  <c r="E51" i="8"/>
  <c r="F50" i="8"/>
  <c r="E50" i="8"/>
  <c r="A50" i="8"/>
  <c r="A51" i="8"/>
  <c r="A52" i="8"/>
  <c r="A53" i="8"/>
  <c r="A54" i="8"/>
  <c r="A55" i="8"/>
  <c r="E49" i="8"/>
  <c r="F49" i="8"/>
  <c r="E40" i="8"/>
  <c r="F40" i="8"/>
  <c r="D38" i="8"/>
  <c r="D41" i="8"/>
  <c r="D43" i="8"/>
  <c r="C38" i="8"/>
  <c r="E37" i="8"/>
  <c r="F37" i="8"/>
  <c r="E36" i="8"/>
  <c r="F36" i="8"/>
  <c r="F33" i="8"/>
  <c r="E33" i="8"/>
  <c r="E32" i="8"/>
  <c r="F32" i="8"/>
  <c r="E31" i="8"/>
  <c r="F31" i="8"/>
  <c r="D29" i="8"/>
  <c r="E29" i="8"/>
  <c r="C29" i="8"/>
  <c r="E28" i="8"/>
  <c r="F28" i="8"/>
  <c r="F27" i="8"/>
  <c r="E27" i="8"/>
  <c r="E26" i="8"/>
  <c r="F26" i="8"/>
  <c r="F25" i="8"/>
  <c r="E25" i="8"/>
  <c r="D22" i="8"/>
  <c r="C22" i="8"/>
  <c r="E21" i="8"/>
  <c r="F21" i="8"/>
  <c r="F20" i="8"/>
  <c r="E20" i="8"/>
  <c r="E19" i="8"/>
  <c r="F19" i="8"/>
  <c r="E18" i="8"/>
  <c r="F18" i="8"/>
  <c r="F17" i="8"/>
  <c r="E17" i="8"/>
  <c r="E16" i="8"/>
  <c r="F16" i="8"/>
  <c r="E15" i="8"/>
  <c r="F15" i="8"/>
  <c r="F14" i="8"/>
  <c r="E14" i="8"/>
  <c r="E13" i="8"/>
  <c r="F13" i="8"/>
  <c r="D120" i="7"/>
  <c r="C120" i="7"/>
  <c r="D119" i="7"/>
  <c r="C119" i="7"/>
  <c r="D118" i="7"/>
  <c r="C118" i="7"/>
  <c r="D117" i="7"/>
  <c r="C117" i="7"/>
  <c r="D116" i="7"/>
  <c r="C116" i="7"/>
  <c r="D115" i="7"/>
  <c r="C115" i="7"/>
  <c r="D114" i="7"/>
  <c r="C114" i="7"/>
  <c r="D113" i="7"/>
  <c r="D122" i="7"/>
  <c r="C113" i="7"/>
  <c r="D112" i="7"/>
  <c r="D121" i="7"/>
  <c r="C112" i="7"/>
  <c r="C121" i="7"/>
  <c r="D108" i="7"/>
  <c r="C108" i="7"/>
  <c r="D107" i="7"/>
  <c r="C107" i="7"/>
  <c r="E106" i="7"/>
  <c r="F106" i="7"/>
  <c r="E105" i="7"/>
  <c r="F105" i="7"/>
  <c r="E104" i="7"/>
  <c r="F104" i="7"/>
  <c r="E103" i="7"/>
  <c r="F103" i="7"/>
  <c r="E102" i="7"/>
  <c r="F102" i="7"/>
  <c r="E101" i="7"/>
  <c r="F101" i="7"/>
  <c r="E100" i="7"/>
  <c r="F100" i="7"/>
  <c r="E99" i="7"/>
  <c r="F99" i="7"/>
  <c r="E98" i="7"/>
  <c r="F98" i="7"/>
  <c r="D96" i="7"/>
  <c r="E96" i="7"/>
  <c r="C96" i="7"/>
  <c r="D95" i="7"/>
  <c r="C95" i="7"/>
  <c r="E94" i="7"/>
  <c r="F94" i="7"/>
  <c r="F93" i="7"/>
  <c r="E93" i="7"/>
  <c r="E92" i="7"/>
  <c r="F92" i="7"/>
  <c r="E91" i="7"/>
  <c r="F91" i="7"/>
  <c r="E90" i="7"/>
  <c r="F90" i="7"/>
  <c r="F89" i="7"/>
  <c r="E89" i="7"/>
  <c r="E88" i="7"/>
  <c r="F88" i="7"/>
  <c r="E87" i="7"/>
  <c r="F87" i="7"/>
  <c r="E86" i="7"/>
  <c r="F86" i="7"/>
  <c r="F84" i="7"/>
  <c r="D84" i="7"/>
  <c r="E84" i="7"/>
  <c r="C84" i="7"/>
  <c r="F83" i="7"/>
  <c r="D83" i="7"/>
  <c r="E83" i="7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/>
  <c r="D71" i="7"/>
  <c r="E71" i="7"/>
  <c r="C71" i="7"/>
  <c r="F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C60" i="7"/>
  <c r="E60" i="7"/>
  <c r="D59" i="7"/>
  <c r="C59" i="7"/>
  <c r="E59" i="7"/>
  <c r="F59" i="7"/>
  <c r="F58" i="7"/>
  <c r="E58" i="7"/>
  <c r="E57" i="7"/>
  <c r="F57" i="7"/>
  <c r="E56" i="7"/>
  <c r="F56" i="7"/>
  <c r="E55" i="7"/>
  <c r="F55" i="7"/>
  <c r="F54" i="7"/>
  <c r="E54" i="7"/>
  <c r="E53" i="7"/>
  <c r="F53" i="7"/>
  <c r="E52" i="7"/>
  <c r="F52" i="7"/>
  <c r="E51" i="7"/>
  <c r="F51" i="7"/>
  <c r="F50" i="7"/>
  <c r="E50" i="7"/>
  <c r="D48" i="7"/>
  <c r="C48" i="7"/>
  <c r="D47" i="7"/>
  <c r="E47" i="7"/>
  <c r="C47" i="7"/>
  <c r="F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/>
  <c r="F36" i="7"/>
  <c r="C36" i="7"/>
  <c r="D35" i="7"/>
  <c r="E35" i="7"/>
  <c r="F35" i="7"/>
  <c r="C35" i="7"/>
  <c r="F34" i="7"/>
  <c r="E34" i="7"/>
  <c r="E33" i="7"/>
  <c r="F33" i="7"/>
  <c r="E32" i="7"/>
  <c r="F32" i="7"/>
  <c r="E31" i="7"/>
  <c r="F31" i="7"/>
  <c r="F30" i="7"/>
  <c r="E30" i="7"/>
  <c r="E29" i="7"/>
  <c r="F29" i="7"/>
  <c r="E28" i="7"/>
  <c r="F28" i="7"/>
  <c r="E27" i="7"/>
  <c r="F27" i="7"/>
  <c r="F26" i="7"/>
  <c r="E26" i="7"/>
  <c r="D24" i="7"/>
  <c r="C24" i="7"/>
  <c r="F24" i="7"/>
  <c r="D23" i="7"/>
  <c r="E23" i="7"/>
  <c r="C23" i="7"/>
  <c r="F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/>
  <c r="F206" i="6"/>
  <c r="C206" i="6"/>
  <c r="D205" i="6"/>
  <c r="C205" i="6"/>
  <c r="E205" i="6"/>
  <c r="F205" i="6"/>
  <c r="D204" i="6"/>
  <c r="C204" i="6"/>
  <c r="E204" i="6"/>
  <c r="F204" i="6"/>
  <c r="D203" i="6"/>
  <c r="C203" i="6"/>
  <c r="E203" i="6"/>
  <c r="F203" i="6"/>
  <c r="D202" i="6"/>
  <c r="C202" i="6"/>
  <c r="E202" i="6"/>
  <c r="F202" i="6"/>
  <c r="D201" i="6"/>
  <c r="C201" i="6"/>
  <c r="E201" i="6"/>
  <c r="F201" i="6"/>
  <c r="D200" i="6"/>
  <c r="C200" i="6"/>
  <c r="E200" i="6"/>
  <c r="F200" i="6"/>
  <c r="D199" i="6"/>
  <c r="D208" i="6"/>
  <c r="E208" i="6"/>
  <c r="C199" i="6"/>
  <c r="C208" i="6"/>
  <c r="E199" i="6"/>
  <c r="F199" i="6"/>
  <c r="D198" i="6"/>
  <c r="D207" i="6"/>
  <c r="C198" i="6"/>
  <c r="C207" i="6"/>
  <c r="D193" i="6"/>
  <c r="C193" i="6"/>
  <c r="E193" i="6"/>
  <c r="F193" i="6"/>
  <c r="D192" i="6"/>
  <c r="C192" i="6"/>
  <c r="E192" i="6"/>
  <c r="F192" i="6"/>
  <c r="F191" i="6"/>
  <c r="E191" i="6"/>
  <c r="E190" i="6"/>
  <c r="F190" i="6"/>
  <c r="E189" i="6"/>
  <c r="F189" i="6"/>
  <c r="E188" i="6"/>
  <c r="F188" i="6"/>
  <c r="F187" i="6"/>
  <c r="E187" i="6"/>
  <c r="E186" i="6"/>
  <c r="F186" i="6"/>
  <c r="E185" i="6"/>
  <c r="F185" i="6"/>
  <c r="E184" i="6"/>
  <c r="F184" i="6"/>
  <c r="F183" i="6"/>
  <c r="E183" i="6"/>
  <c r="D180" i="6"/>
  <c r="C180" i="6"/>
  <c r="F180" i="6"/>
  <c r="D179" i="6"/>
  <c r="E179" i="6"/>
  <c r="C179" i="6"/>
  <c r="F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7" i="6"/>
  <c r="D167" i="6"/>
  <c r="E167" i="6"/>
  <c r="C167" i="6"/>
  <c r="F166" i="6"/>
  <c r="D166" i="6"/>
  <c r="E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C154" i="6"/>
  <c r="D153" i="6"/>
  <c r="E153" i="6"/>
  <c r="C153" i="6"/>
  <c r="F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C141" i="6"/>
  <c r="E141" i="6"/>
  <c r="F141" i="6"/>
  <c r="D140" i="6"/>
  <c r="C140" i="6"/>
  <c r="E140" i="6"/>
  <c r="F140" i="6"/>
  <c r="F139" i="6"/>
  <c r="E139" i="6"/>
  <c r="E138" i="6"/>
  <c r="F138" i="6"/>
  <c r="E137" i="6"/>
  <c r="F137" i="6"/>
  <c r="E136" i="6"/>
  <c r="F136" i="6"/>
  <c r="F135" i="6"/>
  <c r="E135" i="6"/>
  <c r="E134" i="6"/>
  <c r="F134" i="6"/>
  <c r="E133" i="6"/>
  <c r="F133" i="6"/>
  <c r="E132" i="6"/>
  <c r="F132" i="6"/>
  <c r="F131" i="6"/>
  <c r="E131" i="6"/>
  <c r="D128" i="6"/>
  <c r="C128" i="6"/>
  <c r="E128" i="6"/>
  <c r="D127" i="6"/>
  <c r="E127" i="6"/>
  <c r="C127" i="6"/>
  <c r="E126" i="6"/>
  <c r="F126" i="6"/>
  <c r="E125" i="6"/>
  <c r="F125" i="6"/>
  <c r="E124" i="6"/>
  <c r="F124" i="6"/>
  <c r="F123" i="6"/>
  <c r="E123" i="6"/>
  <c r="E122" i="6"/>
  <c r="F122" i="6"/>
  <c r="E121" i="6"/>
  <c r="F121" i="6"/>
  <c r="E120" i="6"/>
  <c r="F120" i="6"/>
  <c r="F119" i="6"/>
  <c r="E119" i="6"/>
  <c r="E118" i="6"/>
  <c r="F118" i="6"/>
  <c r="D115" i="6"/>
  <c r="C115" i="6"/>
  <c r="E115" i="6"/>
  <c r="D114" i="6"/>
  <c r="E114" i="6"/>
  <c r="C114" i="6"/>
  <c r="E113" i="6"/>
  <c r="F113" i="6"/>
  <c r="E112" i="6"/>
  <c r="F112" i="6"/>
  <c r="F111" i="6"/>
  <c r="E111" i="6"/>
  <c r="E110" i="6"/>
  <c r="F110" i="6"/>
  <c r="E109" i="6"/>
  <c r="F109" i="6"/>
  <c r="E108" i="6"/>
  <c r="F108" i="6"/>
  <c r="F107" i="6"/>
  <c r="E107" i="6"/>
  <c r="E106" i="6"/>
  <c r="F106" i="6"/>
  <c r="E105" i="6"/>
  <c r="F105" i="6"/>
  <c r="D102" i="6"/>
  <c r="E102" i="6"/>
  <c r="C102" i="6"/>
  <c r="D101" i="6"/>
  <c r="E101" i="6"/>
  <c r="C101" i="6"/>
  <c r="E100" i="6"/>
  <c r="F100" i="6"/>
  <c r="F99" i="6"/>
  <c r="E99" i="6"/>
  <c r="E98" i="6"/>
  <c r="F98" i="6"/>
  <c r="E97" i="6"/>
  <c r="F97" i="6"/>
  <c r="E96" i="6"/>
  <c r="F96" i="6"/>
  <c r="F95" i="6"/>
  <c r="E95" i="6"/>
  <c r="E94" i="6"/>
  <c r="F94" i="6"/>
  <c r="E93" i="6"/>
  <c r="F93" i="6"/>
  <c r="E92" i="6"/>
  <c r="F92" i="6"/>
  <c r="D89" i="6"/>
  <c r="E89" i="6"/>
  <c r="C89" i="6"/>
  <c r="F89" i="6"/>
  <c r="F88" i="6"/>
  <c r="D88" i="6"/>
  <c r="E88" i="6"/>
  <c r="C88" i="6"/>
  <c r="F87" i="6"/>
  <c r="E87" i="6"/>
  <c r="F86" i="6"/>
  <c r="E86" i="6"/>
  <c r="F85" i="6"/>
  <c r="E85" i="6"/>
  <c r="F84" i="6"/>
  <c r="E84" i="6"/>
  <c r="F83" i="6"/>
  <c r="E83" i="6"/>
  <c r="F82" i="6"/>
  <c r="E82" i="6"/>
  <c r="F81" i="6"/>
  <c r="E81" i="6"/>
  <c r="F80" i="6"/>
  <c r="E80" i="6"/>
  <c r="F79" i="6"/>
  <c r="E79" i="6"/>
  <c r="D76" i="6"/>
  <c r="C76" i="6"/>
  <c r="D75" i="6"/>
  <c r="E75" i="6"/>
  <c r="F75" i="6"/>
  <c r="C75" i="6"/>
  <c r="E74" i="6"/>
  <c r="F74" i="6"/>
  <c r="E73" i="6"/>
  <c r="F73" i="6"/>
  <c r="E72" i="6"/>
  <c r="F72" i="6"/>
  <c r="E71" i="6"/>
  <c r="F71" i="6"/>
  <c r="E70" i="6"/>
  <c r="F70" i="6"/>
  <c r="E69" i="6"/>
  <c r="F69" i="6"/>
  <c r="E68" i="6"/>
  <c r="F68" i="6"/>
  <c r="E67" i="6"/>
  <c r="F67" i="6"/>
  <c r="E66" i="6"/>
  <c r="F66" i="6"/>
  <c r="D63" i="6"/>
  <c r="C63" i="6"/>
  <c r="D62" i="6"/>
  <c r="C62" i="6"/>
  <c r="E61" i="6"/>
  <c r="F61" i="6"/>
  <c r="E60" i="6"/>
  <c r="F60" i="6"/>
  <c r="E59" i="6"/>
  <c r="F59" i="6"/>
  <c r="E58" i="6"/>
  <c r="F58" i="6"/>
  <c r="E57" i="6"/>
  <c r="F57" i="6"/>
  <c r="E56" i="6"/>
  <c r="F56" i="6"/>
  <c r="E55" i="6"/>
  <c r="F55" i="6"/>
  <c r="E54" i="6"/>
  <c r="F54" i="6"/>
  <c r="E53" i="6"/>
  <c r="F53" i="6"/>
  <c r="D50" i="6"/>
  <c r="E50" i="6"/>
  <c r="C50" i="6"/>
  <c r="D49" i="6"/>
  <c r="C49" i="6"/>
  <c r="E48" i="6"/>
  <c r="F48" i="6"/>
  <c r="F47" i="6"/>
  <c r="E47" i="6"/>
  <c r="E46" i="6"/>
  <c r="F46" i="6"/>
  <c r="E45" i="6"/>
  <c r="F45" i="6"/>
  <c r="E44" i="6"/>
  <c r="F44" i="6"/>
  <c r="F43" i="6"/>
  <c r="E43" i="6"/>
  <c r="E42" i="6"/>
  <c r="F42" i="6"/>
  <c r="E41" i="6"/>
  <c r="F41" i="6"/>
  <c r="E40" i="6"/>
  <c r="F40" i="6"/>
  <c r="D37" i="6"/>
  <c r="C37" i="6"/>
  <c r="E37" i="6"/>
  <c r="D36" i="6"/>
  <c r="C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E24" i="6"/>
  <c r="F24" i="6"/>
  <c r="D23" i="6"/>
  <c r="E23" i="6"/>
  <c r="C23" i="6"/>
  <c r="E22" i="6"/>
  <c r="F22" i="6"/>
  <c r="E21" i="6"/>
  <c r="F21" i="6"/>
  <c r="E20" i="6"/>
  <c r="F20" i="6"/>
  <c r="F19" i="6"/>
  <c r="E19" i="6"/>
  <c r="E18" i="6"/>
  <c r="F18" i="6"/>
  <c r="E17" i="6"/>
  <c r="F17" i="6"/>
  <c r="E16" i="6"/>
  <c r="F16" i="6"/>
  <c r="F15" i="6"/>
  <c r="E15" i="6"/>
  <c r="E14" i="6"/>
  <c r="F14" i="6"/>
  <c r="E191" i="5"/>
  <c r="D191" i="5"/>
  <c r="C191" i="5"/>
  <c r="E176" i="5"/>
  <c r="D176" i="5"/>
  <c r="C176" i="5"/>
  <c r="E164" i="5"/>
  <c r="E160" i="5"/>
  <c r="E166" i="5"/>
  <c r="D164" i="5"/>
  <c r="C164" i="5"/>
  <c r="E162" i="5"/>
  <c r="D162" i="5"/>
  <c r="C162" i="5"/>
  <c r="E161" i="5"/>
  <c r="D161" i="5"/>
  <c r="C161" i="5"/>
  <c r="D160" i="5"/>
  <c r="D166" i="5"/>
  <c r="C160" i="5"/>
  <c r="C166" i="5"/>
  <c r="E147" i="5"/>
  <c r="E143" i="5"/>
  <c r="E149" i="5"/>
  <c r="D147" i="5"/>
  <c r="D143" i="5"/>
  <c r="D149" i="5"/>
  <c r="C147" i="5"/>
  <c r="E145" i="5"/>
  <c r="D145" i="5"/>
  <c r="C145" i="5"/>
  <c r="E144" i="5"/>
  <c r="D144" i="5"/>
  <c r="C144" i="5"/>
  <c r="C143" i="5"/>
  <c r="E126" i="5"/>
  <c r="D126" i="5"/>
  <c r="C126" i="5"/>
  <c r="E119" i="5"/>
  <c r="D119" i="5"/>
  <c r="C119" i="5"/>
  <c r="E108" i="5"/>
  <c r="D108" i="5"/>
  <c r="C108" i="5"/>
  <c r="C109" i="5"/>
  <c r="E107" i="5"/>
  <c r="D107" i="5"/>
  <c r="D109" i="5"/>
  <c r="D106" i="5"/>
  <c r="C107" i="5"/>
  <c r="C106" i="5"/>
  <c r="E102" i="5"/>
  <c r="E104" i="5"/>
  <c r="D102" i="5"/>
  <c r="D104" i="5"/>
  <c r="C102" i="5"/>
  <c r="C104" i="5"/>
  <c r="E100" i="5"/>
  <c r="D100" i="5"/>
  <c r="C100" i="5"/>
  <c r="E95" i="5"/>
  <c r="D95" i="5"/>
  <c r="D94" i="5"/>
  <c r="C95" i="5"/>
  <c r="E94" i="5"/>
  <c r="C94" i="5"/>
  <c r="E89" i="5"/>
  <c r="D89" i="5"/>
  <c r="C89" i="5"/>
  <c r="E87" i="5"/>
  <c r="D87" i="5"/>
  <c r="C87" i="5"/>
  <c r="E84" i="5"/>
  <c r="E79" i="5"/>
  <c r="D84" i="5"/>
  <c r="C84" i="5"/>
  <c r="C79" i="5"/>
  <c r="E83" i="5"/>
  <c r="D83" i="5"/>
  <c r="C83" i="5"/>
  <c r="D79" i="5"/>
  <c r="E75" i="5"/>
  <c r="D75" i="5"/>
  <c r="D88" i="5"/>
  <c r="D90" i="5"/>
  <c r="D86" i="5"/>
  <c r="C75" i="5"/>
  <c r="C88" i="5"/>
  <c r="C90" i="5"/>
  <c r="C86" i="5"/>
  <c r="E74" i="5"/>
  <c r="D74" i="5"/>
  <c r="C74" i="5"/>
  <c r="E67" i="5"/>
  <c r="D67" i="5"/>
  <c r="C67" i="5"/>
  <c r="E57" i="5"/>
  <c r="E62" i="5"/>
  <c r="E38" i="5"/>
  <c r="E53" i="5"/>
  <c r="E49" i="5"/>
  <c r="D38" i="5"/>
  <c r="C38" i="5"/>
  <c r="C49" i="5"/>
  <c r="E33" i="5"/>
  <c r="E34" i="5"/>
  <c r="D33" i="5"/>
  <c r="D34" i="5"/>
  <c r="E26" i="5"/>
  <c r="D26" i="5"/>
  <c r="C26" i="5"/>
  <c r="D25" i="5"/>
  <c r="D27" i="5"/>
  <c r="E13" i="5"/>
  <c r="E15" i="5"/>
  <c r="D13" i="5"/>
  <c r="D15" i="5"/>
  <c r="C13" i="5"/>
  <c r="E186" i="4"/>
  <c r="F186" i="4"/>
  <c r="D183" i="4"/>
  <c r="C183" i="4"/>
  <c r="E182" i="4"/>
  <c r="F182" i="4"/>
  <c r="F181" i="4"/>
  <c r="E181" i="4"/>
  <c r="E180" i="4"/>
  <c r="F180" i="4"/>
  <c r="E179" i="4"/>
  <c r="F179" i="4"/>
  <c r="F178" i="4"/>
  <c r="E178" i="4"/>
  <c r="F177" i="4"/>
  <c r="E177" i="4"/>
  <c r="F176" i="4"/>
  <c r="E176" i="4"/>
  <c r="E175" i="4"/>
  <c r="F175" i="4"/>
  <c r="E174" i="4"/>
  <c r="F174" i="4"/>
  <c r="F173" i="4"/>
  <c r="E173" i="4"/>
  <c r="F172" i="4"/>
  <c r="E172" i="4"/>
  <c r="F171" i="4"/>
  <c r="E171" i="4"/>
  <c r="E170" i="4"/>
  <c r="F170" i="4"/>
  <c r="D167" i="4"/>
  <c r="D188" i="4"/>
  <c r="C167" i="4"/>
  <c r="E166" i="4"/>
  <c r="F166" i="4"/>
  <c r="F165" i="4"/>
  <c r="E165" i="4"/>
  <c r="E164" i="4"/>
  <c r="F164" i="4"/>
  <c r="F163" i="4"/>
  <c r="E163" i="4"/>
  <c r="F162" i="4"/>
  <c r="E162" i="4"/>
  <c r="E161" i="4"/>
  <c r="F161" i="4"/>
  <c r="F160" i="4"/>
  <c r="E160" i="4"/>
  <c r="F159" i="4"/>
  <c r="E159" i="4"/>
  <c r="F158" i="4"/>
  <c r="E158" i="4"/>
  <c r="E157" i="4"/>
  <c r="F157" i="4"/>
  <c r="E156" i="4"/>
  <c r="F156" i="4"/>
  <c r="F155" i="4"/>
  <c r="E155" i="4"/>
  <c r="F154" i="4"/>
  <c r="E154" i="4"/>
  <c r="F153" i="4"/>
  <c r="E153" i="4"/>
  <c r="E152" i="4"/>
  <c r="F152" i="4"/>
  <c r="F151" i="4"/>
  <c r="E151" i="4"/>
  <c r="E150" i="4"/>
  <c r="F150" i="4"/>
  <c r="F149" i="4"/>
  <c r="E149" i="4"/>
  <c r="F148" i="4"/>
  <c r="E148" i="4"/>
  <c r="E147" i="4"/>
  <c r="F147" i="4"/>
  <c r="F146" i="4"/>
  <c r="E146" i="4"/>
  <c r="F145" i="4"/>
  <c r="E145" i="4"/>
  <c r="F144" i="4"/>
  <c r="E144" i="4"/>
  <c r="F143" i="4"/>
  <c r="E143" i="4"/>
  <c r="F142" i="4"/>
  <c r="E142" i="4"/>
  <c r="E141" i="4"/>
  <c r="F141" i="4"/>
  <c r="E140" i="4"/>
  <c r="F140" i="4"/>
  <c r="E139" i="4"/>
  <c r="F139" i="4"/>
  <c r="F138" i="4"/>
  <c r="E138" i="4"/>
  <c r="E137" i="4"/>
  <c r="F137" i="4"/>
  <c r="F136" i="4"/>
  <c r="E136" i="4"/>
  <c r="E135" i="4"/>
  <c r="F135" i="4"/>
  <c r="F134" i="4"/>
  <c r="E134" i="4"/>
  <c r="E133" i="4"/>
  <c r="F133" i="4"/>
  <c r="D130" i="4"/>
  <c r="C130" i="4"/>
  <c r="E130" i="4"/>
  <c r="F130" i="4"/>
  <c r="E129" i="4"/>
  <c r="F129" i="4"/>
  <c r="E128" i="4"/>
  <c r="F128" i="4"/>
  <c r="E127" i="4"/>
  <c r="F127" i="4"/>
  <c r="E126" i="4"/>
  <c r="F126" i="4"/>
  <c r="F125" i="4"/>
  <c r="E125" i="4"/>
  <c r="E124" i="4"/>
  <c r="F124" i="4"/>
  <c r="D121" i="4"/>
  <c r="C121" i="4"/>
  <c r="E121" i="4"/>
  <c r="F121" i="4"/>
  <c r="E120" i="4"/>
  <c r="F120" i="4"/>
  <c r="E119" i="4"/>
  <c r="F119" i="4"/>
  <c r="E118" i="4"/>
  <c r="F118" i="4"/>
  <c r="E117" i="4"/>
  <c r="F117" i="4"/>
  <c r="E116" i="4"/>
  <c r="F116" i="4"/>
  <c r="E115" i="4"/>
  <c r="F115" i="4"/>
  <c r="E114" i="4"/>
  <c r="F114" i="4"/>
  <c r="E113" i="4"/>
  <c r="F113" i="4"/>
  <c r="E112" i="4"/>
  <c r="F112" i="4"/>
  <c r="E111" i="4"/>
  <c r="F111" i="4"/>
  <c r="E110" i="4"/>
  <c r="F110" i="4"/>
  <c r="E109" i="4"/>
  <c r="F109" i="4"/>
  <c r="E108" i="4"/>
  <c r="F108" i="4"/>
  <c r="E107" i="4"/>
  <c r="F107" i="4"/>
  <c r="E106" i="4"/>
  <c r="F106" i="4"/>
  <c r="E105" i="4"/>
  <c r="F105" i="4"/>
  <c r="E104" i="4"/>
  <c r="F104" i="4"/>
  <c r="E103" i="4"/>
  <c r="F103" i="4"/>
  <c r="F93" i="4"/>
  <c r="E93" i="4"/>
  <c r="D90" i="4"/>
  <c r="E90" i="4"/>
  <c r="F90" i="4"/>
  <c r="C90" i="4"/>
  <c r="E89" i="4"/>
  <c r="F89" i="4"/>
  <c r="F88" i="4"/>
  <c r="E88" i="4"/>
  <c r="F87" i="4"/>
  <c r="E87" i="4"/>
  <c r="F86" i="4"/>
  <c r="E86" i="4"/>
  <c r="F85" i="4"/>
  <c r="E85" i="4"/>
  <c r="F84" i="4"/>
  <c r="E84" i="4"/>
  <c r="F83" i="4"/>
  <c r="E83" i="4"/>
  <c r="F82" i="4"/>
  <c r="E82" i="4"/>
  <c r="F81" i="4"/>
  <c r="E81" i="4"/>
  <c r="F80" i="4"/>
  <c r="E80" i="4"/>
  <c r="F79" i="4"/>
  <c r="E79" i="4"/>
  <c r="F78" i="4"/>
  <c r="E78" i="4"/>
  <c r="F77" i="4"/>
  <c r="E77" i="4"/>
  <c r="F76" i="4"/>
  <c r="E76" i="4"/>
  <c r="E75" i="4"/>
  <c r="F75" i="4"/>
  <c r="E74" i="4"/>
  <c r="F74" i="4"/>
  <c r="E73" i="4"/>
  <c r="F73" i="4"/>
  <c r="F72" i="4"/>
  <c r="E72" i="4"/>
  <c r="E71" i="4"/>
  <c r="F71" i="4"/>
  <c r="E70" i="4"/>
  <c r="F70" i="4"/>
  <c r="E69" i="4"/>
  <c r="F69" i="4"/>
  <c r="F68" i="4"/>
  <c r="E68" i="4"/>
  <c r="E67" i="4"/>
  <c r="F67" i="4"/>
  <c r="E66" i="4"/>
  <c r="F66" i="4"/>
  <c r="E65" i="4"/>
  <c r="F65" i="4"/>
  <c r="F64" i="4"/>
  <c r="E64" i="4"/>
  <c r="E63" i="4"/>
  <c r="F63" i="4"/>
  <c r="E62" i="4"/>
  <c r="F62" i="4"/>
  <c r="D59" i="4"/>
  <c r="E59" i="4"/>
  <c r="F59" i="4"/>
  <c r="C59" i="4"/>
  <c r="E58" i="4"/>
  <c r="F58" i="4"/>
  <c r="E57" i="4"/>
  <c r="F57" i="4"/>
  <c r="E56" i="4"/>
  <c r="F56" i="4"/>
  <c r="E55" i="4"/>
  <c r="F55" i="4"/>
  <c r="E54" i="4"/>
  <c r="F54" i="4"/>
  <c r="E53" i="4"/>
  <c r="F53" i="4"/>
  <c r="E50" i="4"/>
  <c r="F50" i="4"/>
  <c r="E47" i="4"/>
  <c r="F47" i="4"/>
  <c r="E44" i="4"/>
  <c r="F44" i="4"/>
  <c r="D41" i="4"/>
  <c r="E41" i="4"/>
  <c r="F41" i="4"/>
  <c r="C41" i="4"/>
  <c r="E40" i="4"/>
  <c r="F40" i="4"/>
  <c r="E39" i="4"/>
  <c r="F39" i="4"/>
  <c r="F38" i="4"/>
  <c r="E38" i="4"/>
  <c r="D35" i="4"/>
  <c r="C35" i="4"/>
  <c r="E35" i="4"/>
  <c r="F35" i="4"/>
  <c r="E34" i="4"/>
  <c r="F34" i="4"/>
  <c r="E33" i="4"/>
  <c r="F33" i="4"/>
  <c r="D30" i="4"/>
  <c r="C30" i="4"/>
  <c r="E29" i="4"/>
  <c r="F29" i="4"/>
  <c r="E28" i="4"/>
  <c r="F28" i="4"/>
  <c r="E27" i="4"/>
  <c r="F27" i="4"/>
  <c r="D24" i="4"/>
  <c r="C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C179" i="3"/>
  <c r="F178" i="3"/>
  <c r="E178" i="3"/>
  <c r="F177" i="3"/>
  <c r="E177" i="3"/>
  <c r="E176" i="3"/>
  <c r="F176" i="3"/>
  <c r="E175" i="3"/>
  <c r="F175" i="3"/>
  <c r="E174" i="3"/>
  <c r="F174" i="3"/>
  <c r="E173" i="3"/>
  <c r="F173" i="3"/>
  <c r="E172" i="3"/>
  <c r="F172" i="3"/>
  <c r="E171" i="3"/>
  <c r="F171" i="3"/>
  <c r="E170" i="3"/>
  <c r="F170" i="3"/>
  <c r="E169" i="3"/>
  <c r="F169" i="3"/>
  <c r="E168" i="3"/>
  <c r="F168" i="3"/>
  <c r="D166" i="3"/>
  <c r="E166" i="3"/>
  <c r="C166" i="3"/>
  <c r="F165" i="3"/>
  <c r="E165" i="3"/>
  <c r="F164" i="3"/>
  <c r="E164" i="3"/>
  <c r="E163" i="3"/>
  <c r="F163" i="3"/>
  <c r="E162" i="3"/>
  <c r="F162" i="3"/>
  <c r="E161" i="3"/>
  <c r="F161" i="3"/>
  <c r="F160" i="3"/>
  <c r="E160" i="3"/>
  <c r="E159" i="3"/>
  <c r="F159" i="3"/>
  <c r="E158" i="3"/>
  <c r="F158" i="3"/>
  <c r="E157" i="3"/>
  <c r="F157" i="3"/>
  <c r="F156" i="3"/>
  <c r="E156" i="3"/>
  <c r="E155" i="3"/>
  <c r="F155" i="3"/>
  <c r="D153" i="3"/>
  <c r="C153" i="3"/>
  <c r="E153" i="3"/>
  <c r="F153" i="3"/>
  <c r="F152" i="3"/>
  <c r="E152" i="3"/>
  <c r="F151" i="3"/>
  <c r="E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E137" i="3"/>
  <c r="C137" i="3"/>
  <c r="F136" i="3"/>
  <c r="E136" i="3"/>
  <c r="F135" i="3"/>
  <c r="E135" i="3"/>
  <c r="E134" i="3"/>
  <c r="F134" i="3"/>
  <c r="E133" i="3"/>
  <c r="F133" i="3"/>
  <c r="E132" i="3"/>
  <c r="F132" i="3"/>
  <c r="F131" i="3"/>
  <c r="E131" i="3"/>
  <c r="E130" i="3"/>
  <c r="F130" i="3"/>
  <c r="E129" i="3"/>
  <c r="F129" i="3"/>
  <c r="E128" i="3"/>
  <c r="F128" i="3"/>
  <c r="F127" i="3"/>
  <c r="E127" i="3"/>
  <c r="E126" i="3"/>
  <c r="F126" i="3"/>
  <c r="D124" i="3"/>
  <c r="C124" i="3"/>
  <c r="F123" i="3"/>
  <c r="E123" i="3"/>
  <c r="F122" i="3"/>
  <c r="E122" i="3"/>
  <c r="E121" i="3"/>
  <c r="F121" i="3"/>
  <c r="E120" i="3"/>
  <c r="F120" i="3"/>
  <c r="F119" i="3"/>
  <c r="E119" i="3"/>
  <c r="E118" i="3"/>
  <c r="F118" i="3"/>
  <c r="E117" i="3"/>
  <c r="F117" i="3"/>
  <c r="E116" i="3"/>
  <c r="F116" i="3"/>
  <c r="F115" i="3"/>
  <c r="E115" i="3"/>
  <c r="E114" i="3"/>
  <c r="F114" i="3"/>
  <c r="E113" i="3"/>
  <c r="F113" i="3"/>
  <c r="D111" i="3"/>
  <c r="E111" i="3"/>
  <c r="F111" i="3"/>
  <c r="C111" i="3"/>
  <c r="F110" i="3"/>
  <c r="E110" i="3"/>
  <c r="F109" i="3"/>
  <c r="E109" i="3"/>
  <c r="E108" i="3"/>
  <c r="F108" i="3"/>
  <c r="E107" i="3"/>
  <c r="F107" i="3"/>
  <c r="E106" i="3"/>
  <c r="F106" i="3"/>
  <c r="E105" i="3"/>
  <c r="F105" i="3"/>
  <c r="E104" i="3"/>
  <c r="F104" i="3"/>
  <c r="E103" i="3"/>
  <c r="F103" i="3"/>
  <c r="E102" i="3"/>
  <c r="F102" i="3"/>
  <c r="E101" i="3"/>
  <c r="F101" i="3"/>
  <c r="E100" i="3"/>
  <c r="F100" i="3"/>
  <c r="D94" i="3"/>
  <c r="C94" i="3"/>
  <c r="F94" i="3"/>
  <c r="E94" i="3"/>
  <c r="D93" i="3"/>
  <c r="C93" i="3"/>
  <c r="F93" i="3"/>
  <c r="E93" i="3"/>
  <c r="D92" i="3"/>
  <c r="C92" i="3"/>
  <c r="E92" i="3"/>
  <c r="F92" i="3"/>
  <c r="D91" i="3"/>
  <c r="C91" i="3"/>
  <c r="E91" i="3"/>
  <c r="F91" i="3"/>
  <c r="D90" i="3"/>
  <c r="C90" i="3"/>
  <c r="E90" i="3"/>
  <c r="F90" i="3"/>
  <c r="D89" i="3"/>
  <c r="C89" i="3"/>
  <c r="E89" i="3"/>
  <c r="F89" i="3"/>
  <c r="D88" i="3"/>
  <c r="C88" i="3"/>
  <c r="E88" i="3"/>
  <c r="F88" i="3"/>
  <c r="D87" i="3"/>
  <c r="C87" i="3"/>
  <c r="E87" i="3"/>
  <c r="F87" i="3"/>
  <c r="D86" i="3"/>
  <c r="C86" i="3"/>
  <c r="E86" i="3"/>
  <c r="F86" i="3"/>
  <c r="D85" i="3"/>
  <c r="C85" i="3"/>
  <c r="E85" i="3"/>
  <c r="F85" i="3"/>
  <c r="D84" i="3"/>
  <c r="D95" i="3"/>
  <c r="E95" i="3"/>
  <c r="C84" i="3"/>
  <c r="C95" i="3"/>
  <c r="D81" i="3"/>
  <c r="C81" i="3"/>
  <c r="E81" i="3"/>
  <c r="F81" i="3"/>
  <c r="F80" i="3"/>
  <c r="E80" i="3"/>
  <c r="F79" i="3"/>
  <c r="E79" i="3"/>
  <c r="F78" i="3"/>
  <c r="E78" i="3"/>
  <c r="E77" i="3"/>
  <c r="F77" i="3"/>
  <c r="E76" i="3"/>
  <c r="F76" i="3"/>
  <c r="E75" i="3"/>
  <c r="F75" i="3"/>
  <c r="F74" i="3"/>
  <c r="E74" i="3"/>
  <c r="E73" i="3"/>
  <c r="F73" i="3"/>
  <c r="E72" i="3"/>
  <c r="F72" i="3"/>
  <c r="E71" i="3"/>
  <c r="F71" i="3"/>
  <c r="F70" i="3"/>
  <c r="E70" i="3"/>
  <c r="D68" i="3"/>
  <c r="C68" i="3"/>
  <c r="E68" i="3"/>
  <c r="F68" i="3"/>
  <c r="F67" i="3"/>
  <c r="E67" i="3"/>
  <c r="F66" i="3"/>
  <c r="E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E51" i="3"/>
  <c r="C51" i="3"/>
  <c r="F51" i="3"/>
  <c r="D50" i="3"/>
  <c r="E50" i="3"/>
  <c r="C50" i="3"/>
  <c r="F50" i="3"/>
  <c r="D49" i="3"/>
  <c r="E49" i="3"/>
  <c r="F49" i="3"/>
  <c r="C49" i="3"/>
  <c r="D48" i="3"/>
  <c r="E48" i="3"/>
  <c r="F48" i="3"/>
  <c r="C48" i="3"/>
  <c r="D47" i="3"/>
  <c r="C47" i="3"/>
  <c r="E47" i="3"/>
  <c r="F47" i="3"/>
  <c r="D46" i="3"/>
  <c r="E46" i="3"/>
  <c r="F46" i="3"/>
  <c r="C46" i="3"/>
  <c r="D45" i="3"/>
  <c r="E45" i="3"/>
  <c r="F45" i="3"/>
  <c r="C45" i="3"/>
  <c r="D44" i="3"/>
  <c r="E44" i="3"/>
  <c r="F44" i="3"/>
  <c r="C44" i="3"/>
  <c r="D43" i="3"/>
  <c r="C43" i="3"/>
  <c r="E43" i="3"/>
  <c r="F43" i="3"/>
  <c r="D42" i="3"/>
  <c r="E42" i="3"/>
  <c r="F42" i="3"/>
  <c r="C42" i="3"/>
  <c r="D41" i="3"/>
  <c r="E41" i="3"/>
  <c r="F41" i="3"/>
  <c r="C41" i="3"/>
  <c r="C52" i="3"/>
  <c r="D38" i="3"/>
  <c r="C38" i="3"/>
  <c r="E38" i="3"/>
  <c r="F38" i="3"/>
  <c r="F37" i="3"/>
  <c r="E37" i="3"/>
  <c r="F36" i="3"/>
  <c r="E36" i="3"/>
  <c r="E35" i="3"/>
  <c r="F35" i="3"/>
  <c r="E34" i="3"/>
  <c r="F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E25" i="3"/>
  <c r="C25" i="3"/>
  <c r="F24" i="3"/>
  <c r="E24" i="3"/>
  <c r="F23" i="3"/>
  <c r="E23" i="3"/>
  <c r="E22" i="3"/>
  <c r="F22" i="3"/>
  <c r="E21" i="3"/>
  <c r="F21" i="3"/>
  <c r="E20" i="3"/>
  <c r="F20" i="3"/>
  <c r="F19" i="3"/>
  <c r="E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F45" i="2"/>
  <c r="E45" i="2"/>
  <c r="F44" i="2"/>
  <c r="E44" i="2"/>
  <c r="D39" i="2"/>
  <c r="C39" i="2"/>
  <c r="E38" i="2"/>
  <c r="F38" i="2"/>
  <c r="F37" i="2"/>
  <c r="E37" i="2"/>
  <c r="E36" i="2"/>
  <c r="F36" i="2"/>
  <c r="D31" i="2"/>
  <c r="C31" i="2"/>
  <c r="E30" i="2"/>
  <c r="F30" i="2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F18" i="2"/>
  <c r="E18" i="2"/>
  <c r="E17" i="2"/>
  <c r="F17" i="2"/>
  <c r="D16" i="2"/>
  <c r="D19" i="2"/>
  <c r="C16" i="2"/>
  <c r="C19" i="2"/>
  <c r="F15" i="2"/>
  <c r="E15" i="2"/>
  <c r="E14" i="2"/>
  <c r="F14" i="2"/>
  <c r="E13" i="2"/>
  <c r="F13" i="2"/>
  <c r="E12" i="2"/>
  <c r="F12" i="2"/>
  <c r="D73" i="1"/>
  <c r="C73" i="1"/>
  <c r="E72" i="1"/>
  <c r="F72" i="1"/>
  <c r="E71" i="1"/>
  <c r="F71" i="1"/>
  <c r="E70" i="1"/>
  <c r="F70" i="1"/>
  <c r="F67" i="1"/>
  <c r="E67" i="1"/>
  <c r="E64" i="1"/>
  <c r="F64" i="1"/>
  <c r="E63" i="1"/>
  <c r="F63" i="1"/>
  <c r="D61" i="1"/>
  <c r="D65" i="1"/>
  <c r="D75" i="1"/>
  <c r="C61" i="1"/>
  <c r="E60" i="1"/>
  <c r="F60" i="1"/>
  <c r="E59" i="1"/>
  <c r="F59" i="1"/>
  <c r="D56" i="1"/>
  <c r="C56" i="1"/>
  <c r="E55" i="1"/>
  <c r="F55" i="1"/>
  <c r="E54" i="1"/>
  <c r="F54" i="1"/>
  <c r="E53" i="1"/>
  <c r="F53" i="1"/>
  <c r="F52" i="1"/>
  <c r="E52" i="1"/>
  <c r="F51" i="1"/>
  <c r="E51" i="1"/>
  <c r="E50" i="1"/>
  <c r="F50" i="1"/>
  <c r="A50" i="1"/>
  <c r="A51" i="1"/>
  <c r="A52" i="1"/>
  <c r="A53" i="1"/>
  <c r="A54" i="1"/>
  <c r="A55" i="1"/>
  <c r="E49" i="1"/>
  <c r="F49" i="1"/>
  <c r="E40" i="1"/>
  <c r="F40" i="1"/>
  <c r="E38" i="1"/>
  <c r="D38" i="1"/>
  <c r="D41" i="1"/>
  <c r="C38" i="1"/>
  <c r="C41" i="1"/>
  <c r="F38" i="1"/>
  <c r="E37" i="1"/>
  <c r="F37" i="1"/>
  <c r="E36" i="1"/>
  <c r="F36" i="1"/>
  <c r="E33" i="1"/>
  <c r="F33" i="1"/>
  <c r="E32" i="1"/>
  <c r="F32" i="1"/>
  <c r="E31" i="1"/>
  <c r="F31" i="1"/>
  <c r="D29" i="1"/>
  <c r="C29" i="1"/>
  <c r="E28" i="1"/>
  <c r="F28" i="1"/>
  <c r="F27" i="1"/>
  <c r="E27" i="1"/>
  <c r="E26" i="1"/>
  <c r="F26" i="1"/>
  <c r="F25" i="1"/>
  <c r="E25" i="1"/>
  <c r="D22" i="1"/>
  <c r="D43" i="1"/>
  <c r="C22" i="1"/>
  <c r="E21" i="1"/>
  <c r="F21" i="1"/>
  <c r="E20" i="1"/>
  <c r="F20" i="1"/>
  <c r="E19" i="1"/>
  <c r="F19" i="1"/>
  <c r="E18" i="1"/>
  <c r="F18" i="1"/>
  <c r="E17" i="1"/>
  <c r="F17" i="1"/>
  <c r="E16" i="1"/>
  <c r="F16" i="1"/>
  <c r="E15" i="1"/>
  <c r="F15" i="1"/>
  <c r="E14" i="1"/>
  <c r="F14" i="1"/>
  <c r="E13" i="1"/>
  <c r="F13" i="1"/>
  <c r="D192" i="14"/>
  <c r="D207" i="14"/>
  <c r="D285" i="14"/>
  <c r="D239" i="14"/>
  <c r="D277" i="14"/>
  <c r="E77" i="5"/>
  <c r="E71" i="5"/>
  <c r="E88" i="5"/>
  <c r="E90" i="5"/>
  <c r="E86" i="5"/>
  <c r="F49" i="6"/>
  <c r="E49" i="6"/>
  <c r="E76" i="6"/>
  <c r="F76" i="6"/>
  <c r="F46" i="9"/>
  <c r="E46" i="9"/>
  <c r="C262" i="14"/>
  <c r="C255" i="14"/>
  <c r="C278" i="14"/>
  <c r="C215" i="14"/>
  <c r="C190" i="14"/>
  <c r="E56" i="1"/>
  <c r="F56" i="1"/>
  <c r="E61" i="1"/>
  <c r="F61" i="1"/>
  <c r="F46" i="2"/>
  <c r="E46" i="2"/>
  <c r="E18" i="4"/>
  <c r="F18" i="4"/>
  <c r="E30" i="4"/>
  <c r="F30" i="4"/>
  <c r="E183" i="4"/>
  <c r="F183" i="4"/>
  <c r="C188" i="4"/>
  <c r="C25" i="5"/>
  <c r="C27" i="5"/>
  <c r="C15" i="5"/>
  <c r="D43" i="5"/>
  <c r="D53" i="5"/>
  <c r="D57" i="5"/>
  <c r="D62" i="5"/>
  <c r="D49" i="5"/>
  <c r="E62" i="6"/>
  <c r="F62" i="6"/>
  <c r="E108" i="7"/>
  <c r="F108" i="7"/>
  <c r="E113" i="7"/>
  <c r="C122" i="7"/>
  <c r="F113" i="7"/>
  <c r="E115" i="7"/>
  <c r="F115" i="7"/>
  <c r="E117" i="7"/>
  <c r="F117" i="7"/>
  <c r="E119" i="7"/>
  <c r="F119" i="7"/>
  <c r="C31" i="11"/>
  <c r="H17" i="11"/>
  <c r="G31" i="11"/>
  <c r="I31" i="11"/>
  <c r="I17" i="11"/>
  <c r="G33" i="11"/>
  <c r="E59" i="14"/>
  <c r="F59" i="14"/>
  <c r="C60" i="14"/>
  <c r="E207" i="6"/>
  <c r="F207" i="6"/>
  <c r="D21" i="10"/>
  <c r="C65" i="1"/>
  <c r="C75" i="1"/>
  <c r="C95" i="4"/>
  <c r="C149" i="5"/>
  <c r="F114" i="6"/>
  <c r="E39" i="2"/>
  <c r="F39" i="2"/>
  <c r="F48" i="7"/>
  <c r="E48" i="7"/>
  <c r="F95" i="7"/>
  <c r="E95" i="7"/>
  <c r="D65" i="8"/>
  <c r="E65" i="8"/>
  <c r="F65" i="8"/>
  <c r="E61" i="8"/>
  <c r="F61" i="8"/>
  <c r="D19" i="9"/>
  <c r="E16" i="9"/>
  <c r="C41" i="9"/>
  <c r="F115" i="6"/>
  <c r="E121" i="7"/>
  <c r="F121" i="7"/>
  <c r="E124" i="3"/>
  <c r="F124" i="3"/>
  <c r="E22" i="1"/>
  <c r="F22" i="1"/>
  <c r="F29" i="1"/>
  <c r="E29" i="1"/>
  <c r="E73" i="1"/>
  <c r="F73" i="1"/>
  <c r="E16" i="2"/>
  <c r="F16" i="2"/>
  <c r="E179" i="3"/>
  <c r="F179" i="3"/>
  <c r="E24" i="4"/>
  <c r="F24" i="4"/>
  <c r="E63" i="6"/>
  <c r="F63" i="6"/>
  <c r="F154" i="6"/>
  <c r="E154" i="6"/>
  <c r="E107" i="7"/>
  <c r="F107" i="7"/>
  <c r="E112" i="7"/>
  <c r="F112" i="7"/>
  <c r="E114" i="7"/>
  <c r="F114" i="7"/>
  <c r="E116" i="7"/>
  <c r="F116" i="7"/>
  <c r="E118" i="7"/>
  <c r="F118" i="7"/>
  <c r="E120" i="7"/>
  <c r="F120" i="7"/>
  <c r="E22" i="8"/>
  <c r="F22" i="8"/>
  <c r="E38" i="8"/>
  <c r="F38" i="8"/>
  <c r="C41" i="8"/>
  <c r="E41" i="8"/>
  <c r="E25" i="10"/>
  <c r="E27" i="10"/>
  <c r="E15" i="10"/>
  <c r="F37" i="12"/>
  <c r="E37" i="12"/>
  <c r="E70" i="12"/>
  <c r="F70" i="12"/>
  <c r="E136" i="14"/>
  <c r="F136" i="14"/>
  <c r="C137" i="14"/>
  <c r="C43" i="8"/>
  <c r="C210" i="15"/>
  <c r="C229" i="15"/>
  <c r="E229" i="15"/>
  <c r="D208" i="14"/>
  <c r="D24" i="10"/>
  <c r="D20" i="10"/>
  <c r="D17" i="10"/>
  <c r="D28" i="10"/>
  <c r="D70" i="10"/>
  <c r="D72" i="10"/>
  <c r="D69" i="10"/>
  <c r="E30" i="14"/>
  <c r="F30" i="14"/>
  <c r="C31" i="14"/>
  <c r="E36" i="14"/>
  <c r="F36" i="14"/>
  <c r="E85" i="14"/>
  <c r="F85" i="14"/>
  <c r="E94" i="14"/>
  <c r="F94" i="14"/>
  <c r="E102" i="14"/>
  <c r="F102" i="14"/>
  <c r="C103" i="14"/>
  <c r="E155" i="14"/>
  <c r="F155" i="14"/>
  <c r="C280" i="14"/>
  <c r="C200" i="14"/>
  <c r="E191" i="14"/>
  <c r="C264" i="14"/>
  <c r="F191" i="14"/>
  <c r="C274" i="14"/>
  <c r="E198" i="14"/>
  <c r="F198" i="14"/>
  <c r="C199" i="14"/>
  <c r="E307" i="14"/>
  <c r="F307" i="14"/>
  <c r="D284" i="15"/>
  <c r="D44" i="15"/>
  <c r="D76" i="15"/>
  <c r="D259" i="15"/>
  <c r="D109" i="19"/>
  <c r="D108" i="19"/>
  <c r="D270" i="14"/>
  <c r="E267" i="14"/>
  <c r="F267" i="14"/>
  <c r="F25" i="3"/>
  <c r="E84" i="3"/>
  <c r="F84" i="3"/>
  <c r="F137" i="3"/>
  <c r="C77" i="5"/>
  <c r="C71" i="5"/>
  <c r="E109" i="5"/>
  <c r="E106" i="5"/>
  <c r="F102" i="6"/>
  <c r="E198" i="6"/>
  <c r="F198" i="6"/>
  <c r="F29" i="8"/>
  <c r="C75" i="8"/>
  <c r="F16" i="12"/>
  <c r="F30" i="12"/>
  <c r="E13" i="13"/>
  <c r="F13" i="13"/>
  <c r="C46" i="17"/>
  <c r="E111" i="14"/>
  <c r="D271" i="14"/>
  <c r="E215" i="15"/>
  <c r="D239" i="15"/>
  <c r="E239" i="15"/>
  <c r="D193" i="14"/>
  <c r="E192" i="14"/>
  <c r="F192" i="14"/>
  <c r="E17" i="14"/>
  <c r="F17" i="14"/>
  <c r="D241" i="15"/>
  <c r="E231" i="15"/>
  <c r="C20" i="17"/>
  <c r="E242" i="15"/>
  <c r="E290" i="14"/>
  <c r="F290" i="14"/>
  <c r="F166" i="3"/>
  <c r="D95" i="4"/>
  <c r="E95" i="4"/>
  <c r="E43" i="5"/>
  <c r="F23" i="6"/>
  <c r="F50" i="6"/>
  <c r="F127" i="6"/>
  <c r="F96" i="7"/>
  <c r="E56" i="8"/>
  <c r="F56" i="8"/>
  <c r="F16" i="9"/>
  <c r="E59" i="10"/>
  <c r="E61" i="10"/>
  <c r="E57" i="10"/>
  <c r="D31" i="11"/>
  <c r="F23" i="12"/>
  <c r="F84" i="12"/>
  <c r="F92" i="12"/>
  <c r="F17" i="13"/>
  <c r="F21" i="13"/>
  <c r="F111" i="14"/>
  <c r="E230" i="14"/>
  <c r="C175" i="15"/>
  <c r="C163" i="15"/>
  <c r="E139" i="15"/>
  <c r="C144" i="15"/>
  <c r="E326" i="15"/>
  <c r="D330" i="15"/>
  <c r="E330" i="15"/>
  <c r="E297" i="14"/>
  <c r="F297" i="14"/>
  <c r="C43" i="15"/>
  <c r="E43" i="15"/>
  <c r="E38" i="15"/>
  <c r="E144" i="15"/>
  <c r="D145" i="15"/>
  <c r="C261" i="15"/>
  <c r="E261" i="15"/>
  <c r="E188" i="15"/>
  <c r="C189" i="15"/>
  <c r="E189" i="15"/>
  <c r="D244" i="15"/>
  <c r="E244" i="15"/>
  <c r="E220" i="15"/>
  <c r="D278" i="14"/>
  <c r="D190" i="14"/>
  <c r="E190" i="14"/>
  <c r="D215" i="14"/>
  <c r="D262" i="14"/>
  <c r="E189" i="14"/>
  <c r="F189" i="14"/>
  <c r="E25" i="5"/>
  <c r="E27" i="5"/>
  <c r="F101" i="6"/>
  <c r="F128" i="6"/>
  <c r="F73" i="8"/>
  <c r="F39" i="9"/>
  <c r="C25" i="10"/>
  <c r="C27" i="10"/>
  <c r="C21" i="10"/>
  <c r="H33" i="11"/>
  <c r="H36" i="11"/>
  <c r="H38" i="11"/>
  <c r="H40" i="11"/>
  <c r="F65" i="12"/>
  <c r="F230" i="14"/>
  <c r="D77" i="15"/>
  <c r="E260" i="15"/>
  <c r="E278" i="15"/>
  <c r="E301" i="15"/>
  <c r="C40" i="17"/>
  <c r="E68" i="14"/>
  <c r="F68" i="14"/>
  <c r="C23" i="19"/>
  <c r="C22" i="19"/>
  <c r="C34" i="19"/>
  <c r="E109" i="19"/>
  <c r="E108" i="19"/>
  <c r="E102" i="19"/>
  <c r="E101" i="19"/>
  <c r="D139" i="14"/>
  <c r="D209" i="14"/>
  <c r="D104" i="14"/>
  <c r="E250" i="14"/>
  <c r="F29" i="14"/>
  <c r="C37" i="14"/>
  <c r="F58" i="14"/>
  <c r="E67" i="14"/>
  <c r="F67" i="14"/>
  <c r="F101" i="14"/>
  <c r="E110" i="14"/>
  <c r="F110" i="14"/>
  <c r="E123" i="14"/>
  <c r="F123" i="14"/>
  <c r="F135" i="14"/>
  <c r="F145" i="14"/>
  <c r="F164" i="14"/>
  <c r="C172" i="14"/>
  <c r="C205" i="14"/>
  <c r="F226" i="14"/>
  <c r="F227" i="14"/>
  <c r="F238" i="14"/>
  <c r="F250" i="14"/>
  <c r="C22" i="15"/>
  <c r="E22" i="15"/>
  <c r="E37" i="15"/>
  <c r="E60" i="15"/>
  <c r="E69" i="15"/>
  <c r="C71" i="15"/>
  <c r="E71" i="15"/>
  <c r="E75" i="15"/>
  <c r="E151" i="15"/>
  <c r="D157" i="15"/>
  <c r="E157" i="15"/>
  <c r="D163" i="15"/>
  <c r="E163" i="15"/>
  <c r="E177" i="15"/>
  <c r="E195" i="15"/>
  <c r="D210" i="15"/>
  <c r="D180" i="15"/>
  <c r="C223" i="15"/>
  <c r="C247" i="15"/>
  <c r="E233" i="15"/>
  <c r="C240" i="15"/>
  <c r="C253" i="15"/>
  <c r="E277" i="15"/>
  <c r="E287" i="15"/>
  <c r="D302" i="15"/>
  <c r="E302" i="15"/>
  <c r="D41" i="17"/>
  <c r="E45" i="17"/>
  <c r="E35" i="19"/>
  <c r="E146" i="14"/>
  <c r="F146" i="14"/>
  <c r="D206" i="14"/>
  <c r="D306" i="14"/>
  <c r="E306" i="14"/>
  <c r="D240" i="15"/>
  <c r="D253" i="15"/>
  <c r="D222" i="15"/>
  <c r="D282" i="14"/>
  <c r="D21" i="14"/>
  <c r="D266" i="14"/>
  <c r="D265" i="14"/>
  <c r="D175" i="14"/>
  <c r="D140" i="14"/>
  <c r="D62" i="14"/>
  <c r="D210" i="14"/>
  <c r="D105" i="14"/>
  <c r="D90" i="14"/>
  <c r="D160" i="14"/>
  <c r="D181" i="14"/>
  <c r="E181" i="14"/>
  <c r="E180" i="14"/>
  <c r="E35" i="14"/>
  <c r="F35" i="14"/>
  <c r="E171" i="14"/>
  <c r="F229" i="14"/>
  <c r="F296" i="14"/>
  <c r="E21" i="15"/>
  <c r="E205" i="15"/>
  <c r="C217" i="15"/>
  <c r="C241" i="15"/>
  <c r="E241" i="15"/>
  <c r="E219" i="15"/>
  <c r="E230" i="15"/>
  <c r="D243" i="15"/>
  <c r="E243" i="15"/>
  <c r="E281" i="15"/>
  <c r="D283" i="15"/>
  <c r="E283" i="15"/>
  <c r="E314" i="15"/>
  <c r="F45" i="17"/>
  <c r="E21" i="18"/>
  <c r="F21" i="18"/>
  <c r="E159" i="14"/>
  <c r="E170" i="14"/>
  <c r="E295" i="14"/>
  <c r="F295" i="14"/>
  <c r="E299" i="14"/>
  <c r="F299" i="14"/>
  <c r="E110" i="19"/>
  <c r="E53" i="19"/>
  <c r="D214" i="14"/>
  <c r="D283" i="14"/>
  <c r="D287" i="14"/>
  <c r="D205" i="14"/>
  <c r="E205" i="14"/>
  <c r="E203" i="14"/>
  <c r="F203" i="14"/>
  <c r="C124" i="14"/>
  <c r="C193" i="14"/>
  <c r="C266" i="14"/>
  <c r="F204" i="14"/>
  <c r="C269" i="14"/>
  <c r="C270" i="14"/>
  <c r="C285" i="14"/>
  <c r="C286" i="14"/>
  <c r="E65" i="15"/>
  <c r="E162" i="15"/>
  <c r="E173" i="15"/>
  <c r="E291" i="15"/>
  <c r="D303" i="15"/>
  <c r="E303" i="15"/>
  <c r="D316" i="15"/>
  <c r="E324" i="15"/>
  <c r="E20" i="17"/>
  <c r="E36" i="17"/>
  <c r="F36" i="17"/>
  <c r="E44" i="17"/>
  <c r="F44" i="17"/>
  <c r="E45" i="19"/>
  <c r="C102" i="19"/>
  <c r="C103" i="19"/>
  <c r="E98" i="19"/>
  <c r="C109" i="19"/>
  <c r="E223" i="14"/>
  <c r="F223" i="14"/>
  <c r="D268" i="14"/>
  <c r="C49" i="16"/>
  <c r="F33" i="17"/>
  <c r="D22" i="19"/>
  <c r="E23" i="19"/>
  <c r="D124" i="14"/>
  <c r="E124" i="14"/>
  <c r="F124" i="14"/>
  <c r="D200" i="14"/>
  <c r="E200" i="14"/>
  <c r="D274" i="14"/>
  <c r="E274" i="14"/>
  <c r="F274" i="14"/>
  <c r="D280" i="14"/>
  <c r="E19" i="17"/>
  <c r="F19" i="17"/>
  <c r="E39" i="17"/>
  <c r="F39" i="17"/>
  <c r="E43" i="17"/>
  <c r="F43" i="17"/>
  <c r="D23" i="19"/>
  <c r="E33" i="19"/>
  <c r="D199" i="14"/>
  <c r="D263" i="15"/>
  <c r="D176" i="14"/>
  <c r="D125" i="15"/>
  <c r="D121" i="15"/>
  <c r="D114" i="15"/>
  <c r="D110" i="15"/>
  <c r="D123" i="15"/>
  <c r="D113" i="15"/>
  <c r="D111" i="15"/>
  <c r="D127" i="15"/>
  <c r="D115" i="15"/>
  <c r="D124" i="15"/>
  <c r="D122" i="15"/>
  <c r="D112" i="15"/>
  <c r="D126" i="15"/>
  <c r="D109" i="15"/>
  <c r="D288" i="14"/>
  <c r="E278" i="14"/>
  <c r="C32" i="14"/>
  <c r="E31" i="14"/>
  <c r="F31" i="14"/>
  <c r="D46" i="19"/>
  <c r="D40" i="19"/>
  <c r="D36" i="19"/>
  <c r="D30" i="19"/>
  <c r="D111" i="19"/>
  <c r="D54" i="19"/>
  <c r="D281" i="14"/>
  <c r="E280" i="14"/>
  <c r="E46" i="19"/>
  <c r="E36" i="19"/>
  <c r="E111" i="19"/>
  <c r="D211" i="14"/>
  <c r="C46" i="19"/>
  <c r="C40" i="19"/>
  <c r="C36" i="19"/>
  <c r="C30" i="19"/>
  <c r="C111" i="19"/>
  <c r="C54" i="19"/>
  <c r="D272" i="14"/>
  <c r="D263" i="14"/>
  <c r="E262" i="14"/>
  <c r="F262" i="14"/>
  <c r="C168" i="15"/>
  <c r="E168" i="15"/>
  <c r="C145" i="15"/>
  <c r="E145" i="15"/>
  <c r="C180" i="15"/>
  <c r="E180" i="15"/>
  <c r="D194" i="14"/>
  <c r="E193" i="14"/>
  <c r="F193" i="14"/>
  <c r="E156" i="5"/>
  <c r="E154" i="5"/>
  <c r="F264" i="14"/>
  <c r="E264" i="14"/>
  <c r="C300" i="14"/>
  <c r="E21" i="10"/>
  <c r="C48" i="9"/>
  <c r="C140" i="5"/>
  <c r="C136" i="5"/>
  <c r="C135" i="5"/>
  <c r="C139" i="5"/>
  <c r="C137" i="5"/>
  <c r="C138" i="5"/>
  <c r="E253" i="15"/>
  <c r="E217" i="15"/>
  <c r="C41" i="17"/>
  <c r="E270" i="14"/>
  <c r="F270" i="14"/>
  <c r="E75" i="1"/>
  <c r="F75" i="1"/>
  <c r="E269" i="14"/>
  <c r="F269" i="14"/>
  <c r="D289" i="14"/>
  <c r="C45" i="19"/>
  <c r="C39" i="19"/>
  <c r="C35" i="19"/>
  <c r="C29" i="19"/>
  <c r="C110" i="19"/>
  <c r="C53" i="19"/>
  <c r="D304" i="14"/>
  <c r="F280" i="14"/>
  <c r="C211" i="15"/>
  <c r="C234" i="15"/>
  <c r="E24" i="10"/>
  <c r="E20" i="10"/>
  <c r="E17" i="10"/>
  <c r="E28" i="10"/>
  <c r="E70" i="10"/>
  <c r="E72" i="10"/>
  <c r="E69" i="10"/>
  <c r="C24" i="5"/>
  <c r="C17" i="5"/>
  <c r="C272" i="14"/>
  <c r="C263" i="14"/>
  <c r="D141" i="14"/>
  <c r="C173" i="14"/>
  <c r="F172" i="14"/>
  <c r="E172" i="14"/>
  <c r="E21" i="5"/>
  <c r="E103" i="14"/>
  <c r="F103" i="14"/>
  <c r="D33" i="9"/>
  <c r="E19" i="9"/>
  <c r="F19" i="9"/>
  <c r="C61" i="14"/>
  <c r="E60" i="14"/>
  <c r="F60" i="14"/>
  <c r="D279" i="14"/>
  <c r="F20" i="17"/>
  <c r="F200" i="14"/>
  <c r="E43" i="8"/>
  <c r="F43" i="8"/>
  <c r="F95" i="4"/>
  <c r="F190" i="14"/>
  <c r="D254" i="14"/>
  <c r="D216" i="14"/>
  <c r="D106" i="14"/>
  <c r="D246" i="15"/>
  <c r="E222" i="15"/>
  <c r="D211" i="15"/>
  <c r="D234" i="15"/>
  <c r="E234" i="15"/>
  <c r="E210" i="15"/>
  <c r="D306" i="15"/>
  <c r="C282" i="14"/>
  <c r="C281" i="14"/>
  <c r="C194" i="14"/>
  <c r="D286" i="14"/>
  <c r="E286" i="14"/>
  <c r="F286" i="14"/>
  <c r="E283" i="14"/>
  <c r="F283" i="14"/>
  <c r="D53" i="19"/>
  <c r="D45" i="19"/>
  <c r="D39" i="19"/>
  <c r="D35" i="19"/>
  <c r="D29" i="19"/>
  <c r="D110" i="19"/>
  <c r="D320" i="15"/>
  <c r="E320" i="15"/>
  <c r="E316" i="15"/>
  <c r="D63" i="14"/>
  <c r="D126" i="14"/>
  <c r="D91" i="14"/>
  <c r="D49" i="14"/>
  <c r="D196" i="14"/>
  <c r="D161" i="14"/>
  <c r="E37" i="14"/>
  <c r="F37" i="14"/>
  <c r="D255" i="14"/>
  <c r="E255" i="14"/>
  <c r="F255" i="14"/>
  <c r="E215" i="14"/>
  <c r="F215" i="14"/>
  <c r="D169" i="15"/>
  <c r="D181" i="15"/>
  <c r="C44" i="15"/>
  <c r="D258" i="15"/>
  <c r="D98" i="15"/>
  <c r="D87" i="15"/>
  <c r="D83" i="15"/>
  <c r="D100" i="15"/>
  <c r="D88" i="15"/>
  <c r="D97" i="15"/>
  <c r="D95" i="15"/>
  <c r="D85" i="15"/>
  <c r="E44" i="15"/>
  <c r="D101" i="15"/>
  <c r="D99" i="15"/>
  <c r="D89" i="15"/>
  <c r="D96" i="15"/>
  <c r="D86" i="15"/>
  <c r="D84" i="15"/>
  <c r="C138" i="14"/>
  <c r="C207" i="14"/>
  <c r="E137" i="14"/>
  <c r="F137" i="14"/>
  <c r="G36" i="11"/>
  <c r="G38" i="11"/>
  <c r="G40" i="11"/>
  <c r="I33" i="11"/>
  <c r="I36" i="11"/>
  <c r="I38" i="11"/>
  <c r="I40" i="11"/>
  <c r="E122" i="7"/>
  <c r="F122" i="7"/>
  <c r="E188" i="4"/>
  <c r="F188" i="4"/>
  <c r="C288" i="14"/>
  <c r="F278" i="14"/>
  <c r="E199" i="14"/>
  <c r="F199" i="14"/>
  <c r="D125" i="14"/>
  <c r="E282" i="14"/>
  <c r="E285" i="14"/>
  <c r="F285" i="14"/>
  <c r="E103" i="19"/>
  <c r="E46" i="17"/>
  <c r="F46" i="17"/>
  <c r="E40" i="17"/>
  <c r="F40" i="17"/>
  <c r="D284" i="14"/>
  <c r="D300" i="14"/>
  <c r="F205" i="14"/>
  <c r="D223" i="15"/>
  <c r="E223" i="15"/>
  <c r="D252" i="15"/>
  <c r="F41" i="8"/>
  <c r="D75" i="8"/>
  <c r="E75" i="8"/>
  <c r="F75" i="8"/>
  <c r="E65" i="1"/>
  <c r="F65" i="1"/>
  <c r="D22" i="10"/>
  <c r="D247" i="15"/>
  <c r="E247" i="15"/>
  <c r="D264" i="15"/>
  <c r="D197" i="14"/>
  <c r="E173" i="14"/>
  <c r="F173" i="14"/>
  <c r="D128" i="15"/>
  <c r="C112" i="19"/>
  <c r="C55" i="19"/>
  <c r="C47" i="19"/>
  <c r="C37" i="19"/>
  <c r="C56" i="19"/>
  <c r="C48" i="19"/>
  <c r="C38" i="19"/>
  <c r="C113" i="19"/>
  <c r="D113" i="19"/>
  <c r="D56" i="19"/>
  <c r="D38" i="19"/>
  <c r="D48" i="19"/>
  <c r="D116" i="15"/>
  <c r="E272" i="14"/>
  <c r="F272" i="14"/>
  <c r="D273" i="14"/>
  <c r="E263" i="14"/>
  <c r="F263" i="14"/>
  <c r="E288" i="14"/>
  <c r="F288" i="14"/>
  <c r="C169" i="15"/>
  <c r="C181" i="15"/>
  <c r="E181" i="15"/>
  <c r="C105" i="14"/>
  <c r="C62" i="14"/>
  <c r="C175" i="14"/>
  <c r="E32" i="14"/>
  <c r="F32" i="14"/>
  <c r="C140" i="14"/>
  <c r="D254" i="15"/>
  <c r="D102" i="15"/>
  <c r="D127" i="14"/>
  <c r="C208" i="14"/>
  <c r="C210" i="14"/>
  <c r="E207" i="14"/>
  <c r="F207" i="14"/>
  <c r="D92" i="14"/>
  <c r="E211" i="15"/>
  <c r="D235" i="15"/>
  <c r="D41" i="9"/>
  <c r="E33" i="9"/>
  <c r="F33" i="9"/>
  <c r="D322" i="14"/>
  <c r="C112" i="5"/>
  <c r="C111" i="5"/>
  <c r="C28" i="5"/>
  <c r="E194" i="14"/>
  <c r="F194" i="14"/>
  <c r="D195" i="14"/>
  <c r="F282" i="14"/>
  <c r="D310" i="15"/>
  <c r="E310" i="15"/>
  <c r="E306" i="15"/>
  <c r="E138" i="14"/>
  <c r="F138" i="14"/>
  <c r="D162" i="14"/>
  <c r="D90" i="15"/>
  <c r="D91" i="15"/>
  <c r="D103" i="15"/>
  <c r="C101" i="15"/>
  <c r="E101" i="15"/>
  <c r="C97" i="15"/>
  <c r="E97" i="15"/>
  <c r="C86" i="15"/>
  <c r="E86" i="15"/>
  <c r="C95" i="15"/>
  <c r="E95" i="15"/>
  <c r="C85" i="15"/>
  <c r="E85" i="15"/>
  <c r="C83" i="15"/>
  <c r="C99" i="15"/>
  <c r="C89" i="15"/>
  <c r="E89" i="15"/>
  <c r="C87" i="15"/>
  <c r="E87" i="15"/>
  <c r="C258" i="15"/>
  <c r="C96" i="15"/>
  <c r="C84" i="15"/>
  <c r="E84" i="15"/>
  <c r="C98" i="15"/>
  <c r="C88" i="15"/>
  <c r="E88" i="15"/>
  <c r="C100" i="15"/>
  <c r="D50" i="14"/>
  <c r="D47" i="19"/>
  <c r="D37" i="19"/>
  <c r="D112" i="19"/>
  <c r="D55" i="19"/>
  <c r="C139" i="14"/>
  <c r="C104" i="14"/>
  <c r="E61" i="14"/>
  <c r="F61" i="14"/>
  <c r="C174" i="14"/>
  <c r="C209" i="14"/>
  <c r="D117" i="15"/>
  <c r="E100" i="15"/>
  <c r="E281" i="14"/>
  <c r="F281" i="14"/>
  <c r="E300" i="14"/>
  <c r="F300" i="14"/>
  <c r="E98" i="15"/>
  <c r="E99" i="15"/>
  <c r="E169" i="15"/>
  <c r="E41" i="17"/>
  <c r="F41" i="17"/>
  <c r="C141" i="5"/>
  <c r="E22" i="10"/>
  <c r="C176" i="14"/>
  <c r="E175" i="14"/>
  <c r="F175" i="14"/>
  <c r="D324" i="14"/>
  <c r="D113" i="14"/>
  <c r="E139" i="14"/>
  <c r="F139" i="14"/>
  <c r="C99" i="5"/>
  <c r="C101" i="5"/>
  <c r="C98" i="5"/>
  <c r="C22" i="5"/>
  <c r="D148" i="14"/>
  <c r="E104" i="14"/>
  <c r="F104" i="14"/>
  <c r="D70" i="14"/>
  <c r="C141" i="14"/>
  <c r="E140" i="14"/>
  <c r="F140" i="14"/>
  <c r="C106" i="14"/>
  <c r="E105" i="14"/>
  <c r="F105" i="14"/>
  <c r="E258" i="15"/>
  <c r="D129" i="15"/>
  <c r="D131" i="15"/>
  <c r="C90" i="15"/>
  <c r="C91" i="15"/>
  <c r="E83" i="15"/>
  <c r="E90" i="15"/>
  <c r="E209" i="14"/>
  <c r="F209" i="14"/>
  <c r="E174" i="14"/>
  <c r="F174" i="14"/>
  <c r="D183" i="14"/>
  <c r="D323" i="14"/>
  <c r="E41" i="9"/>
  <c r="F41" i="9"/>
  <c r="D48" i="9"/>
  <c r="E48" i="9"/>
  <c r="F48" i="9"/>
  <c r="E208" i="14"/>
  <c r="F208" i="14"/>
  <c r="C63" i="14"/>
  <c r="E63" i="14"/>
  <c r="F63" i="14"/>
  <c r="E62" i="14"/>
  <c r="F62" i="14"/>
  <c r="D266" i="15"/>
  <c r="C102" i="15"/>
  <c r="C103" i="15"/>
  <c r="E103" i="15"/>
  <c r="E96" i="15"/>
  <c r="D325" i="14"/>
  <c r="E106" i="14"/>
  <c r="F106" i="14"/>
  <c r="D267" i="15"/>
  <c r="C211" i="14"/>
  <c r="C322" i="14"/>
  <c r="F322" i="14"/>
  <c r="E141" i="14"/>
  <c r="F141" i="14"/>
  <c r="F176" i="14"/>
  <c r="E176" i="14"/>
  <c r="E211" i="14"/>
  <c r="F211" i="14"/>
  <c r="E322" i="14"/>
  <c r="D269" i="15"/>
  <c r="D268" i="15"/>
  <c r="D271" i="15"/>
  <c r="C105" i="15"/>
  <c r="E210" i="14"/>
  <c r="F210" i="14"/>
  <c r="D105" i="15"/>
  <c r="E105" i="15"/>
  <c r="E91" i="15"/>
  <c r="E102" i="15"/>
  <c r="E41" i="1"/>
  <c r="C43" i="1"/>
  <c r="F41" i="1"/>
  <c r="D33" i="2"/>
  <c r="E19" i="2"/>
  <c r="F95" i="3"/>
  <c r="D24" i="5"/>
  <c r="D20" i="5"/>
  <c r="D17" i="5"/>
  <c r="D21" i="5"/>
  <c r="D139" i="5"/>
  <c r="D140" i="5"/>
  <c r="D135" i="5"/>
  <c r="D136" i="5"/>
  <c r="D137" i="5"/>
  <c r="D138" i="5"/>
  <c r="C152" i="5"/>
  <c r="C156" i="5"/>
  <c r="C154" i="5"/>
  <c r="C153" i="5"/>
  <c r="C155" i="5"/>
  <c r="C157" i="5"/>
  <c r="E155" i="5"/>
  <c r="E153" i="5"/>
  <c r="E152" i="5"/>
  <c r="E158" i="5"/>
  <c r="E157" i="5"/>
  <c r="E54" i="19"/>
  <c r="E40" i="19"/>
  <c r="E30" i="19"/>
  <c r="C265" i="14"/>
  <c r="E266" i="14"/>
  <c r="F266" i="14"/>
  <c r="D291" i="14"/>
  <c r="C21" i="5"/>
  <c r="C20" i="5"/>
  <c r="C33" i="2"/>
  <c r="F19" i="2"/>
  <c r="E24" i="5"/>
  <c r="E20" i="5"/>
  <c r="E17" i="5"/>
  <c r="E135" i="5"/>
  <c r="E136" i="5"/>
  <c r="E140" i="5"/>
  <c r="E137" i="5"/>
  <c r="E138" i="5"/>
  <c r="E139" i="5"/>
  <c r="D154" i="5"/>
  <c r="D157" i="5"/>
  <c r="D156" i="5"/>
  <c r="D152" i="5"/>
  <c r="D153" i="5"/>
  <c r="D155" i="5"/>
  <c r="C76" i="15"/>
  <c r="E31" i="2"/>
  <c r="F31" i="2"/>
  <c r="E167" i="4"/>
  <c r="F167" i="4"/>
  <c r="C43" i="5"/>
  <c r="C53" i="5"/>
  <c r="D77" i="5"/>
  <c r="D71" i="5"/>
  <c r="F36" i="6"/>
  <c r="F37" i="6"/>
  <c r="C24" i="10"/>
  <c r="C20" i="10"/>
  <c r="C17" i="10"/>
  <c r="C28" i="10"/>
  <c r="E240" i="15"/>
  <c r="D52" i="3"/>
  <c r="E52" i="3"/>
  <c r="F52" i="3"/>
  <c r="C57" i="5"/>
  <c r="C62" i="5"/>
  <c r="F208" i="6"/>
  <c r="E180" i="6"/>
  <c r="E24" i="7"/>
  <c r="F60" i="7"/>
  <c r="E72" i="7"/>
  <c r="E31" i="9"/>
  <c r="F31" i="9"/>
  <c r="C48" i="10"/>
  <c r="C42" i="10"/>
  <c r="D59" i="10"/>
  <c r="D61" i="10"/>
  <c r="D57" i="10"/>
  <c r="F31" i="11"/>
  <c r="H31" i="11"/>
  <c r="E75" i="12"/>
  <c r="F75" i="12"/>
  <c r="C21" i="14"/>
  <c r="F23" i="14"/>
  <c r="E24" i="14"/>
  <c r="F24" i="14"/>
  <c r="F44" i="14"/>
  <c r="C48" i="14"/>
  <c r="E47" i="14"/>
  <c r="F47" i="14"/>
  <c r="C77" i="14"/>
  <c r="E77" i="14"/>
  <c r="C89" i="14"/>
  <c r="F88" i="14"/>
  <c r="E33" i="11"/>
  <c r="E36" i="11"/>
  <c r="E38" i="11"/>
  <c r="E40" i="11"/>
  <c r="E20" i="14"/>
  <c r="F20" i="14"/>
  <c r="F52" i="14"/>
  <c r="E76" i="14"/>
  <c r="F76" i="14"/>
  <c r="C271" i="14"/>
  <c r="C268" i="14"/>
  <c r="F95" i="14"/>
  <c r="F120" i="14"/>
  <c r="E144" i="14"/>
  <c r="F144" i="14"/>
  <c r="F158" i="14"/>
  <c r="E179" i="14"/>
  <c r="C206" i="14"/>
  <c r="F237" i="14"/>
  <c r="C239" i="14"/>
  <c r="C277" i="14"/>
  <c r="F294" i="14"/>
  <c r="E311" i="14"/>
  <c r="E32" i="15"/>
  <c r="D294" i="15"/>
  <c r="E294" i="15"/>
  <c r="C33" i="15"/>
  <c r="E36" i="15"/>
  <c r="C246" i="15"/>
  <c r="E246" i="15"/>
  <c r="E245" i="15"/>
  <c r="C38" i="16"/>
  <c r="C127" i="16"/>
  <c r="C129" i="16"/>
  <c r="C133" i="16"/>
  <c r="F16" i="17"/>
  <c r="F179" i="14"/>
  <c r="E188" i="14"/>
  <c r="F188" i="14"/>
  <c r="C214" i="14"/>
  <c r="C254" i="14"/>
  <c r="C55" i="15"/>
  <c r="E54" i="15"/>
  <c r="C252" i="15"/>
  <c r="E29" i="19"/>
  <c r="E39" i="19"/>
  <c r="E261" i="14"/>
  <c r="F261" i="14"/>
  <c r="D175" i="15"/>
  <c r="E175" i="15"/>
  <c r="E218" i="15"/>
  <c r="E221" i="15"/>
  <c r="D289" i="15"/>
  <c r="E25" i="17"/>
  <c r="D34" i="19"/>
  <c r="C289" i="15"/>
  <c r="C22" i="16"/>
  <c r="F25" i="17"/>
  <c r="E34" i="19"/>
  <c r="C254" i="15"/>
  <c r="E254" i="15"/>
  <c r="E252" i="15"/>
  <c r="C284" i="15"/>
  <c r="E284" i="15"/>
  <c r="E55" i="15"/>
  <c r="C216" i="14"/>
  <c r="E214" i="14"/>
  <c r="F214" i="14"/>
  <c r="E33" i="15"/>
  <c r="C295" i="15"/>
  <c r="E295" i="15"/>
  <c r="F239" i="14"/>
  <c r="E239" i="14"/>
  <c r="F271" i="14"/>
  <c r="E271" i="14"/>
  <c r="C273" i="14"/>
  <c r="C91" i="14"/>
  <c r="C49" i="14"/>
  <c r="C161" i="14"/>
  <c r="C126" i="14"/>
  <c r="E21" i="14"/>
  <c r="F21" i="14"/>
  <c r="C196" i="14"/>
  <c r="D158" i="5"/>
  <c r="E28" i="5"/>
  <c r="E112" i="5"/>
  <c r="E111" i="5"/>
  <c r="D305" i="14"/>
  <c r="E265" i="14"/>
  <c r="F265" i="14"/>
  <c r="C235" i="15"/>
  <c r="E235" i="15"/>
  <c r="D112" i="5"/>
  <c r="D111" i="5"/>
  <c r="D28" i="5"/>
  <c r="E289" i="15"/>
  <c r="E47" i="19"/>
  <c r="E112" i="19"/>
  <c r="E37" i="19"/>
  <c r="E55" i="19"/>
  <c r="E254" i="14"/>
  <c r="F254" i="14"/>
  <c r="C287" i="14"/>
  <c r="C284" i="14"/>
  <c r="C279" i="14"/>
  <c r="E277" i="14"/>
  <c r="F277" i="14"/>
  <c r="E206" i="14"/>
  <c r="F206" i="14"/>
  <c r="E89" i="14"/>
  <c r="F89" i="14"/>
  <c r="C160" i="14"/>
  <c r="C90" i="14"/>
  <c r="F48" i="14"/>
  <c r="E48" i="14"/>
  <c r="C125" i="14"/>
  <c r="C195" i="14"/>
  <c r="C304" i="14"/>
  <c r="C70" i="10"/>
  <c r="C72" i="10"/>
  <c r="C69" i="10"/>
  <c r="C22" i="10"/>
  <c r="C77" i="15"/>
  <c r="E76" i="15"/>
  <c r="C259" i="15"/>
  <c r="E141" i="5"/>
  <c r="C41" i="2"/>
  <c r="E38" i="19"/>
  <c r="E56" i="19"/>
  <c r="E48" i="19"/>
  <c r="E113" i="19"/>
  <c r="C158" i="5"/>
  <c r="D141" i="5"/>
  <c r="D41" i="2"/>
  <c r="E33" i="2"/>
  <c r="F33" i="2"/>
  <c r="E43" i="1"/>
  <c r="F43" i="1"/>
  <c r="E268" i="14"/>
  <c r="F268" i="14"/>
  <c r="C48" i="2"/>
  <c r="D48" i="2"/>
  <c r="E48" i="2"/>
  <c r="E41" i="2"/>
  <c r="F41" i="2"/>
  <c r="C263" i="15"/>
  <c r="E259" i="15"/>
  <c r="C124" i="15"/>
  <c r="E124" i="15"/>
  <c r="C109" i="15"/>
  <c r="C125" i="15"/>
  <c r="E125" i="15"/>
  <c r="C122" i="15"/>
  <c r="C110" i="15"/>
  <c r="C126" i="15"/>
  <c r="E126" i="15"/>
  <c r="C111" i="15"/>
  <c r="E111" i="15"/>
  <c r="C121" i="15"/>
  <c r="E77" i="15"/>
  <c r="C127" i="15"/>
  <c r="E127" i="15"/>
  <c r="C112" i="15"/>
  <c r="E112" i="15"/>
  <c r="C114" i="15"/>
  <c r="E114" i="15"/>
  <c r="C113" i="15"/>
  <c r="E113" i="15"/>
  <c r="C115" i="15"/>
  <c r="E115" i="15"/>
  <c r="C123" i="15"/>
  <c r="E123" i="15"/>
  <c r="E195" i="14"/>
  <c r="F195" i="14"/>
  <c r="E90" i="14"/>
  <c r="F90" i="14"/>
  <c r="E279" i="14"/>
  <c r="F279" i="14"/>
  <c r="E284" i="14"/>
  <c r="F284" i="14"/>
  <c r="D99" i="5"/>
  <c r="D101" i="5"/>
  <c r="D98" i="5"/>
  <c r="D22" i="5"/>
  <c r="E99" i="5"/>
  <c r="E101" i="5"/>
  <c r="E98" i="5"/>
  <c r="E22" i="5"/>
  <c r="E196" i="14"/>
  <c r="F196" i="14"/>
  <c r="C162" i="14"/>
  <c r="F161" i="14"/>
  <c r="E161" i="14"/>
  <c r="C92" i="14"/>
  <c r="E91" i="14"/>
  <c r="F91" i="14"/>
  <c r="E304" i="14"/>
  <c r="F304" i="14"/>
  <c r="E125" i="14"/>
  <c r="F125" i="14"/>
  <c r="E160" i="14"/>
  <c r="F160" i="14"/>
  <c r="C289" i="14"/>
  <c r="E287" i="14"/>
  <c r="F287" i="14"/>
  <c r="C291" i="14"/>
  <c r="D309" i="14"/>
  <c r="C127" i="14"/>
  <c r="E126" i="14"/>
  <c r="F126" i="14"/>
  <c r="C50" i="14"/>
  <c r="E49" i="14"/>
  <c r="F49" i="14"/>
  <c r="E273" i="14"/>
  <c r="F273" i="14"/>
  <c r="E216" i="14"/>
  <c r="F216" i="14"/>
  <c r="C197" i="14"/>
  <c r="E127" i="14"/>
  <c r="F127" i="14"/>
  <c r="C148" i="14"/>
  <c r="D310" i="14"/>
  <c r="C183" i="14"/>
  <c r="F162" i="14"/>
  <c r="E162" i="14"/>
  <c r="C323" i="14"/>
  <c r="E121" i="15"/>
  <c r="E122" i="15"/>
  <c r="C128" i="15"/>
  <c r="E128" i="15"/>
  <c r="E109" i="15"/>
  <c r="E50" i="14"/>
  <c r="C70" i="14"/>
  <c r="F50" i="14"/>
  <c r="C305" i="14"/>
  <c r="E291" i="14"/>
  <c r="F291" i="14"/>
  <c r="E289" i="14"/>
  <c r="F289" i="14"/>
  <c r="E92" i="14"/>
  <c r="C324" i="14"/>
  <c r="F92" i="14"/>
  <c r="C113" i="14"/>
  <c r="C116" i="15"/>
  <c r="E116" i="15"/>
  <c r="E110" i="15"/>
  <c r="E263" i="15"/>
  <c r="C264" i="15"/>
  <c r="F48" i="2"/>
  <c r="C266" i="15"/>
  <c r="E264" i="15"/>
  <c r="E113" i="14"/>
  <c r="F113" i="14"/>
  <c r="C325" i="14"/>
  <c r="E324" i="14"/>
  <c r="F324" i="14"/>
  <c r="C309" i="14"/>
  <c r="F305" i="14"/>
  <c r="E305" i="14"/>
  <c r="E70" i="14"/>
  <c r="F70" i="14"/>
  <c r="F323" i="14"/>
  <c r="E323" i="14"/>
  <c r="D312" i="14"/>
  <c r="E148" i="14"/>
  <c r="F148" i="14"/>
  <c r="C117" i="15"/>
  <c r="C129" i="15"/>
  <c r="E129" i="15"/>
  <c r="F183" i="14"/>
  <c r="E183" i="14"/>
  <c r="E197" i="14"/>
  <c r="F197" i="14"/>
  <c r="C310" i="14"/>
  <c r="E309" i="14"/>
  <c r="F309" i="14"/>
  <c r="E117" i="15"/>
  <c r="C131" i="15"/>
  <c r="E131" i="15"/>
  <c r="D313" i="14"/>
  <c r="E325" i="14"/>
  <c r="F325" i="14"/>
  <c r="C267" i="15"/>
  <c r="E266" i="15"/>
  <c r="C269" i="15"/>
  <c r="E269" i="15"/>
  <c r="E267" i="15"/>
  <c r="C268" i="15"/>
  <c r="D314" i="14"/>
  <c r="D256" i="14"/>
  <c r="D315" i="14"/>
  <c r="D251" i="14"/>
  <c r="C312" i="14"/>
  <c r="E310" i="14"/>
  <c r="F310" i="14"/>
  <c r="C271" i="15"/>
  <c r="E271" i="15"/>
  <c r="E268" i="15"/>
  <c r="C313" i="14"/>
  <c r="E312" i="14"/>
  <c r="F312" i="14"/>
  <c r="D257" i="14"/>
  <c r="D318" i="14"/>
  <c r="F313" i="14"/>
  <c r="C251" i="14"/>
  <c r="C314" i="14"/>
  <c r="C256" i="14"/>
  <c r="C315" i="14"/>
  <c r="E313" i="14"/>
  <c r="F315" i="14"/>
  <c r="E315" i="14"/>
  <c r="C318" i="14"/>
  <c r="E314" i="14"/>
  <c r="F314" i="14"/>
  <c r="C257" i="14"/>
  <c r="E256" i="14"/>
  <c r="F256" i="14"/>
  <c r="F251" i="14"/>
  <c r="E251" i="14"/>
  <c r="F257" i="14"/>
  <c r="E257" i="14"/>
  <c r="F318" i="14"/>
  <c r="E318" i="14"/>
</calcChain>
</file>

<file path=xl/sharedStrings.xml><?xml version="1.0" encoding="utf-8"?>
<sst xmlns="http://schemas.openxmlformats.org/spreadsheetml/2006/main" count="2320" uniqueCount="996">
  <si>
    <t>BRISTOL HOSPITAL</t>
  </si>
  <si>
    <t>TWELVE MONTHS ACTUAL FILING</t>
  </si>
  <si>
    <t xml:space="preserve">      FISCAL YEAR 2012</t>
  </si>
  <si>
    <t>REPORT 100 - HOSPITAL BALANCE SHEET INFORMATION</t>
  </si>
  <si>
    <t xml:space="preserve">      FY 2011</t>
  </si>
  <si>
    <t xml:space="preserve">      FY 2012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</si>
  <si>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</si>
  <si>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</si>
  <si>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</si>
  <si>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</si>
  <si>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</si>
  <si>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</si>
  <si>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</si>
  <si>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</si>
  <si>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</si>
  <si>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</si>
  <si>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</si>
  <si>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</si>
  <si>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</si>
  <si>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</si>
  <si>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</si>
  <si>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</si>
  <si>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</si>
  <si>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</si>
  <si>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</si>
  <si>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</si>
  <si>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</si>
  <si>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</si>
  <si>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</si>
  <si>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</si>
  <si>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</si>
  <si>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</si>
  <si>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</si>
  <si>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</si>
  <si>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</si>
  <si>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</si>
  <si>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</si>
  <si>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</si>
  <si>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</si>
  <si>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</si>
  <si>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</si>
  <si>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</si>
  <si>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</si>
  <si>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</si>
  <si>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</si>
  <si>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</si>
  <si>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</si>
  <si>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</si>
  <si>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</si>
  <si>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</si>
  <si>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</si>
  <si>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</si>
  <si>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</si>
  <si>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</si>
  <si>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</si>
  <si>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</si>
  <si>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</si>
  <si>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</si>
  <si>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</si>
  <si>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</si>
  <si>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</si>
  <si>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</si>
  <si>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</si>
  <si>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</si>
  <si>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</si>
  <si>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</si>
  <si>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</si>
  <si>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</si>
  <si>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</si>
  <si>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</si>
  <si>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</si>
  <si>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</si>
  <si>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</si>
  <si>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</si>
  <si>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</si>
  <si>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</si>
  <si>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</si>
  <si>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</si>
  <si>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</si>
  <si>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</si>
  <si>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</si>
  <si>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</si>
  <si>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</si>
  <si>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</si>
  <si>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</si>
  <si>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</si>
  <si>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</si>
  <si>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</si>
  <si>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</si>
  <si>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</si>
  <si>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</si>
  <si>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</si>
  <si>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</si>
  <si>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</si>
  <si>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</si>
  <si>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</si>
  <si>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</si>
  <si>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</si>
  <si>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</si>
  <si>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</si>
  <si>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</si>
  <si>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</si>
  <si>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</si>
  <si>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</si>
  <si>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</si>
  <si>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2011                ACTUAL     </t>
  </si>
  <si>
    <t xml:space="preserve">      FY 2012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</si>
  <si>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</si>
  <si>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</si>
  <si>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</si>
  <si>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</si>
  <si>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</si>
  <si>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</si>
  <si>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</si>
  <si>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</si>
  <si>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</si>
  <si>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</si>
  <si>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</si>
  <si>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</si>
  <si>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</si>
  <si>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</si>
  <si>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</si>
  <si>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</si>
  <si>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</si>
  <si>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</si>
  <si>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</si>
  <si>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</si>
  <si>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</si>
  <si>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</si>
  <si>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</si>
  <si>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</si>
  <si>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</si>
  <si>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</si>
  <si>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</si>
  <si>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</si>
  <si>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</si>
  <si>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</si>
  <si>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</si>
  <si>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</si>
  <si>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</si>
  <si>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</si>
  <si>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</si>
  <si>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</si>
  <si>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</si>
  <si>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</si>
  <si>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</si>
  <si>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</si>
  <si>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</si>
  <si>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</si>
  <si>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</si>
  <si>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</si>
  <si>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</si>
  <si>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</si>
  <si>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</si>
  <si>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</si>
  <si>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</si>
  <si>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</si>
  <si>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</si>
  <si>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</si>
  <si>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</si>
  <si>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</si>
  <si>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</si>
  <si>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</si>
  <si>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</si>
  <si>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</si>
  <si>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</si>
  <si>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</si>
  <si>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</si>
  <si>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</si>
  <si>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</si>
  <si>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</si>
  <si>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</si>
  <si>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</si>
  <si>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</si>
  <si>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</si>
  <si>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</si>
  <si>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</si>
  <si>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</si>
  <si>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</si>
  <si>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</si>
  <si>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</si>
  <si>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</si>
  <si>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</si>
  <si>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</si>
  <si>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</si>
  <si>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</si>
  <si>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</si>
  <si>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</si>
  <si>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</si>
  <si>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</si>
  <si>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</si>
  <si>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</si>
  <si>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</si>
  <si>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</si>
  <si>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</si>
  <si>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</si>
  <si>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</si>
  <si>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</si>
  <si>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</si>
  <si>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</si>
  <si>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</si>
  <si>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</si>
  <si>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</si>
  <si>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</si>
  <si>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</si>
  <si>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</si>
  <si>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</si>
  <si>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</si>
  <si>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</si>
  <si>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</si>
  <si>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</si>
  <si>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</si>
  <si>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</si>
  <si>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</si>
  <si>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</si>
  <si>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</si>
  <si>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</si>
  <si>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</si>
  <si>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</si>
  <si>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</si>
  <si>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</si>
  <si>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</si>
  <si>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</si>
  <si>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</si>
  <si>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</si>
  <si>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</si>
  <si>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</si>
  <si>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</si>
  <si>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</si>
  <si>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</si>
  <si>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</si>
  <si>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</si>
  <si>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</si>
  <si>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</si>
  <si>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</si>
  <si>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</si>
  <si>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</si>
  <si>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</si>
  <si>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</si>
  <si>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</si>
  <si>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</si>
  <si>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</si>
  <si>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</si>
  <si>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</si>
  <si>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</si>
  <si>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</si>
  <si>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</si>
  <si>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</si>
  <si>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</si>
  <si>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</si>
  <si>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</si>
  <si>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</si>
  <si>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</si>
  <si>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</si>
  <si>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</si>
  <si>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</si>
  <si>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</si>
  <si>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</si>
  <si>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</si>
  <si>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</si>
  <si>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</si>
  <si>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</si>
  <si>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</si>
  <si>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</si>
  <si>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</si>
  <si>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</si>
  <si>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</si>
  <si>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</si>
  <si>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</si>
  <si>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</si>
  <si>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</si>
  <si>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</si>
  <si>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</si>
  <si>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</si>
  <si>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</si>
  <si>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</si>
  <si>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</si>
  <si>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</si>
  <si>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</si>
  <si>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</si>
  <si>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</si>
  <si>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</si>
  <si>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</si>
  <si>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</si>
  <si>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</si>
  <si>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</si>
  <si>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</si>
  <si>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</si>
  <si>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</si>
  <si>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</si>
  <si>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</si>
  <si>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</si>
  <si>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</si>
  <si>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</si>
  <si>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</si>
  <si>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</si>
  <si>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</si>
  <si>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</si>
  <si>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</si>
  <si>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</si>
  <si>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</si>
  <si>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</si>
  <si>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</si>
  <si>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</si>
  <si>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</si>
  <si>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</si>
  <si>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</si>
  <si>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</si>
  <si>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</si>
  <si>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</si>
  <si>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</si>
  <si>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</si>
  <si>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</si>
  <si>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</si>
  <si>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</si>
  <si>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</si>
  <si>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</si>
  <si>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</si>
  <si>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</si>
  <si>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2010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</si>
  <si>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</si>
  <si>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</si>
  <si>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</si>
  <si>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</si>
  <si>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</si>
  <si>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</si>
  <si>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</si>
  <si>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</si>
  <si>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</si>
  <si>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</si>
  <si>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</si>
  <si>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</si>
  <si>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</si>
  <si>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</si>
  <si>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</si>
  <si>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</si>
  <si>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</si>
  <si>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</si>
  <si>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</si>
  <si>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</si>
  <si>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</si>
  <si>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</si>
  <si>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</si>
  <si>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</si>
  <si>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</si>
  <si>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</si>
  <si>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</si>
  <si>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</si>
  <si>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</si>
  <si>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</si>
  <si>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</si>
  <si>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</si>
  <si>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</si>
  <si>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</si>
  <si>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</si>
  <si>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</si>
  <si>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</si>
  <si>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</si>
  <si>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</si>
  <si>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</si>
  <si>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</si>
  <si>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</si>
  <si>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</si>
  <si>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</si>
  <si>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</si>
  <si>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</si>
  <si>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</si>
  <si>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</si>
  <si>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</si>
  <si>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</si>
  <si>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</si>
  <si>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</si>
  <si>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</si>
  <si>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</si>
  <si>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</si>
  <si>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</si>
  <si>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</si>
  <si>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</si>
  <si>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</si>
  <si>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</si>
  <si>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</si>
  <si>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</si>
  <si>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</si>
  <si>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</si>
  <si>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</si>
  <si>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</si>
  <si>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</si>
  <si>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</si>
  <si>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</si>
  <si>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</si>
  <si>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</si>
  <si>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</si>
  <si>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</si>
  <si>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</si>
  <si>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</si>
  <si>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</si>
  <si>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</si>
  <si>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</si>
  <si>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</si>
  <si>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</si>
  <si>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</si>
  <si>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</si>
  <si>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</si>
  <si>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</si>
  <si>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</si>
  <si>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</si>
  <si>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</si>
  <si>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</si>
  <si>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</si>
  <si>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</si>
  <si>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</si>
  <si>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</si>
  <si>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</si>
  <si>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</si>
  <si>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</si>
  <si>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</si>
  <si>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</si>
  <si>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</si>
  <si>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</si>
  <si>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</si>
  <si>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</si>
  <si>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</si>
  <si>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</si>
  <si>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</si>
  <si>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</si>
  <si>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</si>
  <si>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</si>
  <si>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</si>
  <si>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</si>
  <si>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</si>
  <si>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</si>
  <si>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</si>
  <si>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</si>
  <si>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</si>
  <si>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</si>
  <si>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</si>
  <si>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</si>
  <si>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</si>
  <si>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</si>
  <si>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</si>
  <si>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</si>
  <si>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</si>
  <si>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2011 ACTUAL     </t>
  </si>
  <si>
    <t xml:space="preserve">      FY 2012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</si>
  <si>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</si>
  <si>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</si>
  <si>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</si>
  <si>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</si>
  <si>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</si>
  <si>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</si>
  <si>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</si>
  <si>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</si>
  <si>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</si>
  <si>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</si>
  <si>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</si>
  <si>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</si>
  <si>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</si>
  <si>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</si>
  <si>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</si>
  <si>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</si>
  <si>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</si>
  <si>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</si>
  <si>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</si>
  <si>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</si>
  <si>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</si>
  <si>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</si>
  <si>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</si>
  <si>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</si>
  <si>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</si>
  <si>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</si>
  <si>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</si>
  <si>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</si>
  <si>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</si>
  <si>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</si>
  <si>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</si>
  <si>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</si>
  <si>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</si>
  <si>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</si>
  <si>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</si>
  <si>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</si>
  <si>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</si>
  <si>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</si>
  <si>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</si>
  <si>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</si>
  <si>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</si>
  <si>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</si>
  <si>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</si>
  <si>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</si>
  <si>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</si>
  <si>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</si>
  <si>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</si>
  <si>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BRISTOL HOSPITAL &amp; HEALTH CARE GROUP,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</si>
  <si>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</si>
  <si>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</si>
  <si>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</si>
  <si>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</si>
  <si>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</si>
  <si>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</si>
  <si>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</si>
  <si>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</si>
  <si>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</si>
  <si>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</si>
  <si>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</si>
  <si>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</si>
  <si>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</si>
  <si>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</si>
  <si>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</si>
  <si>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</si>
  <si>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</si>
  <si>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</si>
  <si>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</si>
  <si>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</si>
  <si>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</si>
  <si>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</si>
  <si>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</si>
  <si>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</si>
  <si>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</si>
  <si>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</si>
  <si>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</si>
  <si>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</si>
  <si>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</si>
  <si>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</si>
  <si>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</si>
  <si>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</si>
  <si>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</si>
  <si>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</si>
  <si>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</si>
  <si>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</si>
  <si>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</si>
  <si>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</si>
  <si>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</si>
  <si>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</si>
  <si>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</si>
  <si>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</si>
  <si>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</si>
  <si>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</si>
  <si>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</si>
  <si>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</si>
  <si>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</si>
  <si>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</si>
  <si>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</si>
  <si>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</si>
  <si>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</si>
  <si>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</si>
  <si>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</si>
  <si>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</si>
  <si>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</si>
  <si>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</si>
  <si>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</si>
  <si>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</si>
  <si>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</si>
  <si>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</si>
  <si>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</si>
  <si>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</si>
  <si>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</si>
  <si>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</si>
  <si>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</si>
  <si>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</si>
  <si>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</si>
  <si>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</si>
  <si>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</si>
  <si>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</si>
  <si>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</si>
  <si>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</si>
  <si>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</si>
  <si>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</si>
  <si>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</si>
  <si>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</si>
  <si>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</si>
  <si>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</si>
  <si>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</si>
  <si>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</si>
  <si>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</si>
  <si>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</si>
  <si>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</si>
  <si>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</si>
  <si>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</si>
  <si>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</si>
  <si>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</si>
  <si>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</si>
  <si>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</si>
  <si>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</si>
  <si>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</si>
  <si>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</si>
  <si>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</si>
  <si>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</si>
  <si>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</si>
  <si>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</si>
  <si>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</si>
  <si>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</si>
  <si>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</si>
  <si>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</si>
  <si>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</si>
  <si>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</si>
  <si>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</si>
  <si>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</si>
  <si>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</si>
  <si>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</si>
  <si>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</si>
  <si>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</si>
  <si>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</si>
  <si>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Bristol Hospital Campus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</si>
  <si>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</si>
  <si>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</si>
  <si>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</si>
  <si>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</si>
  <si>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</si>
  <si>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</si>
  <si>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</si>
  <si>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</si>
  <si>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2012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</si>
  <si>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</si>
  <si>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</si>
  <si>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</si>
  <si>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</si>
  <si>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2011</t>
  </si>
  <si>
    <t xml:space="preserve">         FY 2012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</si>
  <si>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</si>
  <si>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</si>
  <si>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</si>
  <si>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</si>
  <si>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</si>
  <si>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</si>
  <si>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</si>
  <si>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</si>
  <si>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</si>
  <si>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</si>
  <si>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</si>
  <si>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</si>
  <si>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</si>
  <si>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</si>
  <si>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</si>
  <si>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</si>
  <si>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</si>
  <si>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</si>
  <si>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</si>
  <si>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</si>
  <si>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</si>
  <si>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</si>
  <si>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</si>
  <si>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</si>
  <si>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</si>
  <si>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</si>
  <si>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</si>
  <si>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</si>
  <si>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</si>
  <si>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</si>
  <si>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</si>
  <si>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</si>
  <si>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</si>
  <si>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</si>
  <si>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</si>
  <si>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</si>
  <si>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</si>
  <si>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</si>
  <si>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</si>
  <si>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</si>
  <si>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</si>
  <si>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</si>
  <si>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</si>
  <si>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</si>
  <si>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</si>
  <si>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</si>
  <si>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</si>
  <si>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</si>
  <si>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</si>
  <si>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</si>
  <si>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</si>
  <si>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</si>
  <si>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</si>
  <si>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</si>
  <si>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</si>
  <si>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</si>
  <si>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</si>
  <si>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</si>
  <si>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</si>
  <si>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</si>
  <si>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</si>
  <si>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</si>
  <si>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</si>
  <si>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</si>
  <si>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</si>
  <si>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</si>
  <si>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</si>
  <si>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</si>
  <si>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</si>
  <si>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</si>
  <si>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</si>
  <si>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</si>
  <si>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</si>
  <si>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</si>
  <si>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</si>
  <si>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</si>
  <si>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</si>
  <si>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</si>
  <si>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</si>
  <si>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</si>
  <si>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</si>
  <si>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</si>
  <si>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</si>
  <si>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</si>
  <si>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</si>
  <si>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</si>
  <si>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</si>
  <si>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</si>
  <si>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</si>
  <si>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</si>
  <si>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</si>
  <si>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</si>
  <si>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</si>
  <si>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</si>
  <si>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</si>
  <si>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</si>
  <si>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</si>
  <si>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</si>
  <si>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</si>
  <si>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</si>
  <si>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</si>
  <si>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</si>
  <si>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</si>
  <si>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</si>
  <si>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</si>
  <si>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</si>
  <si>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</si>
  <si>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</si>
  <si>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</si>
  <si>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</si>
  <si>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</si>
  <si>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</si>
  <si>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</si>
  <si>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</si>
  <si>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</si>
  <si>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</si>
  <si>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</si>
  <si>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</si>
  <si>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</si>
  <si>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</si>
  <si>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</si>
  <si>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</si>
  <si>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</si>
  <si>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</si>
  <si>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</si>
  <si>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</si>
  <si>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</si>
  <si>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</si>
  <si>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</si>
  <si>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</si>
  <si>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</si>
  <si>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</si>
  <si>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</si>
  <si>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</si>
  <si>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</si>
  <si>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</si>
  <si>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</si>
  <si>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</si>
  <si>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</si>
  <si>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</si>
  <si>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</si>
  <si>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</si>
  <si>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</si>
  <si>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2012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</si>
  <si>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</si>
  <si>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</si>
  <si>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</si>
  <si>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</si>
  <si>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</si>
  <si>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</si>
  <si>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</si>
  <si>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</si>
  <si>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</si>
  <si>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</si>
  <si>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</si>
  <si>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</si>
  <si>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</si>
  <si>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</si>
  <si>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</si>
  <si>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</si>
  <si>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</si>
  <si>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</si>
  <si>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</si>
  <si>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</si>
  <si>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</si>
  <si>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</si>
  <si>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</si>
  <si>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</si>
  <si>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</si>
  <si>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</si>
  <si>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</si>
  <si>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</si>
  <si>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</si>
  <si>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</si>
  <si>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</si>
  <si>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</si>
  <si>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</si>
  <si>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</si>
  <si>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</si>
  <si>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</si>
  <si>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</si>
  <si>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</si>
  <si>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</si>
  <si>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</si>
  <si>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</si>
  <si>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</si>
  <si>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</si>
  <si>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</si>
  <si>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</si>
  <si>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</si>
  <si>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</si>
  <si>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</si>
  <si>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</si>
  <si>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</si>
  <si>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</si>
  <si>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</si>
  <si>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</si>
  <si>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</si>
  <si>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</si>
  <si>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</si>
  <si>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</si>
  <si>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</si>
  <si>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</si>
  <si>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</si>
  <si>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</si>
  <si>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</si>
  <si>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</si>
  <si>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</si>
  <si>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</si>
  <si>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</si>
  <si>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</si>
  <si>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</si>
  <si>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</si>
  <si>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</si>
  <si>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</si>
  <si>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</si>
  <si>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</si>
  <si>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</si>
  <si>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</si>
  <si>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</si>
  <si>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</si>
  <si>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</si>
  <si>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</si>
  <si>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</si>
  <si>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</si>
  <si>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</si>
  <si>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</si>
  <si>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</si>
  <si>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</si>
  <si>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</si>
  <si>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</si>
  <si>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</si>
  <si>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</si>
  <si>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</si>
  <si>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</si>
  <si>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</si>
  <si>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</si>
  <si>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</si>
  <si>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</si>
  <si>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</si>
  <si>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</si>
  <si>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</si>
  <si>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2012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</si>
  <si>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</si>
  <si>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</si>
  <si>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</si>
  <si>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</si>
  <si>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</si>
  <si>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</si>
  <si>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</si>
  <si>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</si>
  <si>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</si>
  <si>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</si>
  <si>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</si>
  <si>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</si>
  <si>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</si>
  <si>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</si>
  <si>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</si>
  <si>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</si>
  <si>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</si>
  <si>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</si>
  <si>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</si>
  <si>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</si>
  <si>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</si>
  <si>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</si>
  <si>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</si>
  <si>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</si>
  <si>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</si>
  <si>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</si>
  <si>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</si>
  <si>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</si>
  <si>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</si>
  <si>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</si>
  <si>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</si>
  <si>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</si>
  <si>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</si>
  <si>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</si>
  <si>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</si>
  <si>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</si>
  <si>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</si>
  <si>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</si>
  <si>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</si>
  <si>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</si>
  <si>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</si>
  <si>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</si>
  <si>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</si>
  <si>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</si>
  <si>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</si>
  <si>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</si>
  <si>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</si>
  <si>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</si>
  <si>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</si>
  <si>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</si>
  <si>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</si>
  <si>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</si>
  <si>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</si>
  <si>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</si>
  <si>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</si>
  <si>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</si>
  <si>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2011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</si>
  <si>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2012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</si>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</sst>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_);\(0\)"/>
    <numFmt numFmtId="169" formatCode="&quot;$&quot;#,##0"/>
    <numFmt numFmtId="170" formatCode="#,##0.0"/>
    <numFmt numFmtId="171" formatCode="0.00000_)"/>
    <numFmt numFmtId="172" formatCode="0.00000_);\(0.00000\)"/>
    <numFmt numFmtId="173" formatCode="0.0000_)"/>
    <numFmt numFmtId="174" formatCode="#,##0.00000_);\(#,##0.00000\)"/>
    <numFmt numFmtId="175" formatCode="_(* #,##0.0_);_(* \(#,##0.0\);_(* &quot;-&quot;??_);_(@_)"/>
    <numFmt numFmtId="176" formatCode="0.0%"/>
    <numFmt numFmtId="177" formatCode="0.0000_);\(0.0000\)"/>
    <numFmt numFmtId="178" formatCode="_(* #,##0_);_(* \(#,##0\);_(* &quot;-&quot;??_);_(@_)"/>
    <numFmt numFmtId="179" formatCode="_(* #,##0.0000_);_(* \(#,##0.0000\);_(* &quot;-&quot;??_);_(@_)"/>
    <numFmt numFmtId="180" formatCode="0.0000000000_);\(0.0000000000\)"/>
    <numFmt numFmtId="181" formatCode="_(* #,##0.00000000_);_(* \(#,##0.00000000\);_(* &quot;-&quot;??_);_(@_)"/>
    <numFmt numFmtId="182" formatCode="#,##0.000000_);\(#,##0.000000\)"/>
    <numFmt numFmtId="183" formatCode="#,##0.0_);\(#,##0.0\)"/>
    <numFmt numFmtId="184" formatCode="_(* #,##0.0_);_(* \(#,##0.0\);_(* &quot;-&quot;?_);_(@_)"/>
    <numFmt numFmtId="185" formatCode="0.00000"/>
    <numFmt numFmtId="186" formatCode="#,##0.00000"/>
    <numFmt numFmtId="187" formatCode="#,##0.0000"/>
    <numFmt numFmtId="188" formatCode="_(* #,##0.0000000000_);_(* \(#,##0.0000000000\);_(* &quot;-&quot;??_);_(@_)"/>
    <numFmt numFmtId="189" formatCode="#,##0.0000000000_);\(#,##0.0000000000\)"/>
    <numFmt numFmtId="190" formatCode="0.0000"/>
    <numFmt numFmtId="191" formatCode="0.0"/>
    <numFmt numFmtId="192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5">
    <xf numFmtId="0" fontId="0" fillId="0" borderId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8" fillId="26" borderId="0" applyNumberFormat="0" applyBorder="0" applyAlignment="0" applyProtection="0"/>
    <xf numFmtId="0" fontId="39" fillId="27" borderId="32" applyNumberFormat="0" applyAlignment="0" applyProtection="0"/>
    <xf numFmtId="0" fontId="40" fillId="28" borderId="33" applyNumberFormat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29" borderId="0" applyNumberFormat="0" applyBorder="0" applyAlignment="0" applyProtection="0"/>
    <xf numFmtId="0" fontId="43" fillId="0" borderId="34" applyNumberFormat="0" applyFill="0" applyAlignment="0" applyProtection="0"/>
    <xf numFmtId="0" fontId="44" fillId="0" borderId="35" applyNumberFormat="0" applyFill="0" applyAlignment="0" applyProtection="0"/>
    <xf numFmtId="0" fontId="45" fillId="0" borderId="36" applyNumberFormat="0" applyFill="0" applyAlignment="0" applyProtection="0"/>
    <xf numFmtId="0" fontId="45" fillId="0" borderId="0" applyNumberFormat="0" applyFill="0" applyBorder="0" applyAlignment="0" applyProtection="0"/>
    <xf numFmtId="0" fontId="46" fillId="30" borderId="32" applyNumberFormat="0" applyAlignment="0" applyProtection="0"/>
    <xf numFmtId="0" fontId="47" fillId="0" borderId="37" applyNumberFormat="0" applyFill="0" applyAlignment="0" applyProtection="0"/>
    <xf numFmtId="0" fontId="48" fillId="31" borderId="0" applyNumberFormat="0" applyBorder="0" applyAlignment="0" applyProtection="0"/>
    <xf numFmtId="0" fontId="36" fillId="32" borderId="38" applyNumberFormat="0" applyFont="0" applyAlignment="0" applyProtection="0"/>
    <xf numFmtId="0" fontId="49" fillId="27" borderId="39" applyNumberFormat="0" applyAlignment="0" applyProtection="0"/>
    <xf numFmtId="9" fontId="35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0" applyNumberFormat="0" applyFill="0" applyAlignment="0" applyProtection="0"/>
    <xf numFmtId="0" fontId="52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8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8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8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>
      <alignment horizontal="right"/>
    </xf>
    <xf numFmtId="169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8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8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8" fontId="1" fillId="0" borderId="0" xfId="0" applyNumberFormat="1" applyFont="1" applyBorder="1" applyAlignment="1">
      <alignment horizontal="center"/>
    </xf>
    <xf numFmtId="168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8" fontId="1" fillId="0" borderId="0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168" fontId="1" fillId="0" borderId="4" xfId="0" applyNumberFormat="1" applyFont="1" applyBorder="1" applyAlignment="1"/>
    <xf numFmtId="168" fontId="1" fillId="0" borderId="5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center" wrapText="1"/>
    </xf>
    <xf numFmtId="168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8" fontId="1" fillId="0" borderId="7" xfId="0" applyNumberFormat="1" applyFont="1" applyBorder="1" applyAlignment="1">
      <alignment horizontal="center" wrapText="1"/>
    </xf>
    <xf numFmtId="168" fontId="1" fillId="33" borderId="8" xfId="0" applyNumberFormat="1" applyFont="1" applyFill="1" applyBorder="1" applyAlignment="1"/>
    <xf numFmtId="168" fontId="1" fillId="33" borderId="8" xfId="0" applyNumberFormat="1" applyFont="1" applyFill="1" applyBorder="1" applyAlignment="1">
      <alignment horizontal="left"/>
    </xf>
    <xf numFmtId="168" fontId="1" fillId="0" borderId="9" xfId="0" applyNumberFormat="1" applyFont="1" applyBorder="1" applyAlignment="1">
      <alignment horizontal="center"/>
    </xf>
    <xf numFmtId="168" fontId="2" fillId="0" borderId="9" xfId="0" applyNumberFormat="1" applyFont="1" applyBorder="1" applyAlignment="1">
      <alignment horizontal="left"/>
    </xf>
    <xf numFmtId="5" fontId="3" fillId="0" borderId="9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center" vertical="center"/>
    </xf>
    <xf numFmtId="43" fontId="3" fillId="0" borderId="9" xfId="28" applyFont="1" applyBorder="1" applyProtection="1">
      <protection locked="0"/>
    </xf>
    <xf numFmtId="168" fontId="1" fillId="0" borderId="9" xfId="0" applyNumberFormat="1" applyFont="1" applyBorder="1" applyAlignment="1">
      <alignment horizontal="center" vertical="center"/>
    </xf>
    <xf numFmtId="168" fontId="1" fillId="0" borderId="9" xfId="0" applyNumberFormat="1" applyFont="1" applyBorder="1" applyAlignment="1">
      <alignment horizontal="left" wrapText="1"/>
    </xf>
    <xf numFmtId="5" fontId="1" fillId="0" borderId="9" xfId="0" applyNumberFormat="1" applyFont="1" applyBorder="1" applyAlignment="1">
      <alignment horizontal="right"/>
    </xf>
    <xf numFmtId="9" fontId="1" fillId="0" borderId="9" xfId="0" applyNumberFormat="1" applyFont="1" applyBorder="1" applyAlignment="1">
      <alignment horizontal="right"/>
    </xf>
    <xf numFmtId="168" fontId="1" fillId="0" borderId="9" xfId="0" applyNumberFormat="1" applyFont="1" applyBorder="1" applyAlignment="1">
      <alignment horizontal="right"/>
    </xf>
    <xf numFmtId="43" fontId="1" fillId="0" borderId="9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8" fontId="1" fillId="0" borderId="10" xfId="0" applyNumberFormat="1" applyFont="1" applyFill="1" applyBorder="1" applyAlignment="1">
      <alignment horizontal="center"/>
    </xf>
    <xf numFmtId="168" fontId="1" fillId="0" borderId="11" xfId="0" applyNumberFormat="1" applyFont="1" applyBorder="1" applyAlignment="1">
      <alignment horizontal="left"/>
    </xf>
    <xf numFmtId="5" fontId="1" fillId="0" borderId="10" xfId="0" applyNumberFormat="1" applyFont="1" applyBorder="1" applyAlignment="1">
      <alignment horizontal="right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8" fontId="3" fillId="0" borderId="9" xfId="0" applyNumberFormat="1" applyFont="1" applyBorder="1" applyAlignment="1">
      <alignment horizontal="right"/>
    </xf>
    <xf numFmtId="168" fontId="1" fillId="0" borderId="12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9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8" fontId="11" fillId="0" borderId="0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center"/>
    </xf>
    <xf numFmtId="168" fontId="10" fillId="0" borderId="13" xfId="0" applyNumberFormat="1" applyFont="1" applyBorder="1" applyAlignment="1">
      <alignment horizontal="center"/>
    </xf>
    <xf numFmtId="168" fontId="10" fillId="0" borderId="13" xfId="0" applyNumberFormat="1" applyFont="1" applyBorder="1" applyAlignment="1"/>
    <xf numFmtId="0" fontId="10" fillId="0" borderId="13" xfId="0" applyFont="1" applyBorder="1" applyAlignment="1">
      <alignment horizontal="center" wrapText="1"/>
    </xf>
    <xf numFmtId="168" fontId="10" fillId="0" borderId="13" xfId="0" applyNumberFormat="1" applyFont="1" applyBorder="1" applyAlignment="1">
      <alignment horizontal="center" wrapText="1"/>
    </xf>
    <xf numFmtId="168" fontId="12" fillId="0" borderId="13" xfId="0" applyNumberFormat="1" applyFont="1" applyBorder="1" applyAlignment="1">
      <alignment horizontal="center"/>
    </xf>
    <xf numFmtId="168" fontId="12" fillId="0" borderId="13" xfId="0" applyNumberFormat="1" applyFont="1" applyBorder="1" applyAlignment="1">
      <alignment horizontal="left"/>
    </xf>
    <xf numFmtId="168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168" fontId="10" fillId="0" borderId="9" xfId="0" applyNumberFormat="1" applyFont="1" applyBorder="1" applyAlignment="1"/>
    <xf numFmtId="168" fontId="10" fillId="0" borderId="9" xfId="0" applyNumberFormat="1" applyFont="1" applyBorder="1" applyAlignment="1">
      <alignment horizontal="center" wrapText="1"/>
    </xf>
    <xf numFmtId="0" fontId="10" fillId="0" borderId="9" xfId="0" applyFont="1" applyBorder="1" applyAlignment="1">
      <alignment horizontal="center" wrapText="1"/>
    </xf>
    <xf numFmtId="168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8" fontId="11" fillId="0" borderId="8" xfId="0" applyNumberFormat="1" applyFont="1" applyBorder="1" applyAlignment="1">
      <alignment horizontal="right"/>
    </xf>
    <xf numFmtId="168" fontId="11" fillId="0" borderId="9" xfId="0" applyNumberFormat="1" applyFont="1" applyBorder="1" applyAlignment="1">
      <alignment horizontal="center"/>
    </xf>
    <xf numFmtId="0" fontId="12" fillId="0" borderId="9" xfId="0" applyNumberFormat="1" applyFont="1" applyBorder="1" applyAlignment="1">
      <alignment horizontal="left" wrapText="1"/>
    </xf>
    <xf numFmtId="168" fontId="11" fillId="0" borderId="9" xfId="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2" fillId="0" borderId="9" xfId="0" applyNumberFormat="1" applyFont="1" applyBorder="1"/>
    <xf numFmtId="5" fontId="11" fillId="0" borderId="9" xfId="0" applyNumberFormat="1" applyFont="1" applyBorder="1" applyAlignment="1">
      <alignment horizontal="right"/>
    </xf>
    <xf numFmtId="5" fontId="10" fillId="0" borderId="9" xfId="0" applyNumberFormat="1" applyFont="1" applyBorder="1" applyAlignment="1">
      <alignment horizontal="right"/>
    </xf>
    <xf numFmtId="9" fontId="10" fillId="0" borderId="9" xfId="0" applyNumberFormat="1" applyFont="1" applyBorder="1" applyAlignment="1">
      <alignment horizontal="right"/>
    </xf>
    <xf numFmtId="0" fontId="11" fillId="0" borderId="9" xfId="28" applyNumberFormat="1" applyFont="1" applyBorder="1" applyProtection="1">
      <protection locked="0"/>
    </xf>
    <xf numFmtId="9" fontId="11" fillId="0" borderId="9" xfId="0" applyNumberFormat="1" applyFont="1" applyBorder="1" applyAlignment="1">
      <alignment horizontal="right"/>
    </xf>
    <xf numFmtId="0" fontId="10" fillId="0" borderId="9" xfId="0" applyNumberFormat="1" applyFont="1" applyBorder="1"/>
    <xf numFmtId="43" fontId="11" fillId="0" borderId="9" xfId="28" applyFont="1" applyBorder="1" applyProtection="1">
      <protection locked="0"/>
    </xf>
    <xf numFmtId="168" fontId="11" fillId="0" borderId="9" xfId="0" applyNumberFormat="1" applyFont="1" applyFill="1" applyBorder="1" applyAlignment="1">
      <alignment horizontal="center"/>
    </xf>
    <xf numFmtId="3" fontId="10" fillId="0" borderId="9" xfId="0" applyNumberFormat="1" applyFont="1" applyBorder="1" applyAlignment="1" applyProtection="1"/>
    <xf numFmtId="0" fontId="0" fillId="0" borderId="43" xfId="0" applyBorder="1"/>
    <xf numFmtId="9" fontId="11" fillId="0" borderId="9" xfId="41" applyFont="1" applyBorder="1" applyAlignment="1">
      <alignment horizontal="right"/>
    </xf>
    <xf numFmtId="0" fontId="10" fillId="0" borderId="9" xfId="0" applyNumberFormat="1" applyFont="1" applyBorder="1" applyAlignment="1">
      <alignment horizontal="left"/>
    </xf>
    <xf numFmtId="168" fontId="15" fillId="0" borderId="9" xfId="0" applyNumberFormat="1" applyFont="1" applyBorder="1" applyAlignment="1">
      <alignment horizontal="center"/>
    </xf>
    <xf numFmtId="168" fontId="10" fillId="0" borderId="9" xfId="0" applyNumberFormat="1" applyFont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1" fillId="0" borderId="9" xfId="0" applyFont="1" applyBorder="1"/>
    <xf numFmtId="3" fontId="11" fillId="0" borderId="9" xfId="0" applyNumberFormat="1" applyFont="1" applyBorder="1" applyAlignment="1" applyProtection="1"/>
    <xf numFmtId="0" fontId="0" fillId="0" borderId="9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83" fontId="11" fillId="0" borderId="41" xfId="0" applyNumberFormat="1" applyFont="1" applyBorder="1" applyAlignment="1">
      <alignment horizontal="right"/>
    </xf>
    <xf numFmtId="183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6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9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6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8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9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9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4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9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4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4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6" fontId="11" fillId="0" borderId="0" xfId="0" applyNumberFormat="1" applyFont="1" applyBorder="1" applyAlignment="1"/>
    <xf numFmtId="169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9" fontId="8" fillId="0" borderId="0" xfId="0" applyNumberFormat="1" applyFont="1" applyFill="1" applyBorder="1" applyAlignment="1"/>
    <xf numFmtId="169" fontId="11" fillId="0" borderId="0" xfId="0" applyNumberFormat="1" applyFont="1" applyBorder="1" applyAlignment="1"/>
    <xf numFmtId="5" fontId="11" fillId="0" borderId="0" xfId="0" applyNumberFormat="1" applyFont="1" applyBorder="1" applyAlignment="1"/>
    <xf numFmtId="169" fontId="8" fillId="0" borderId="0" xfId="0" applyNumberFormat="1" applyFont="1" applyBorder="1" applyAlignment="1"/>
    <xf numFmtId="182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8" fontId="6" fillId="0" borderId="14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6" fillId="0" borderId="3" xfId="0" applyNumberFormat="1" applyFont="1" applyBorder="1" applyAlignment="1">
      <alignment horizontal="center"/>
    </xf>
    <xf numFmtId="168" fontId="16" fillId="0" borderId="0" xfId="0" applyNumberFormat="1" applyFont="1" applyBorder="1" applyAlignment="1">
      <alignment horizontal="center"/>
    </xf>
    <xf numFmtId="168" fontId="6" fillId="0" borderId="15" xfId="0" applyNumberFormat="1" applyFont="1" applyBorder="1" applyAlignment="1">
      <alignment horizontal="center" wrapText="1"/>
    </xf>
    <xf numFmtId="168" fontId="6" fillId="0" borderId="6" xfId="0" applyNumberFormat="1" applyFont="1" applyBorder="1" applyAlignment="1">
      <alignment horizontal="left" wrapText="1"/>
    </xf>
    <xf numFmtId="168" fontId="6" fillId="0" borderId="6" xfId="0" applyNumberFormat="1" applyFont="1" applyBorder="1" applyAlignment="1">
      <alignment horizontal="center" wrapText="1"/>
    </xf>
    <xf numFmtId="168" fontId="6" fillId="0" borderId="5" xfId="0" applyNumberFormat="1" applyFont="1" applyBorder="1" applyAlignment="1">
      <alignment horizontal="center" wrapText="1"/>
    </xf>
    <xf numFmtId="9" fontId="6" fillId="0" borderId="16" xfId="41" applyFont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center" wrapText="1"/>
    </xf>
    <xf numFmtId="168" fontId="6" fillId="33" borderId="8" xfId="0" applyNumberFormat="1" applyFont="1" applyFill="1" applyBorder="1" applyAlignment="1">
      <alignment horizontal="left" wrapText="1"/>
    </xf>
    <xf numFmtId="168" fontId="6" fillId="0" borderId="8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168" fontId="6" fillId="0" borderId="9" xfId="0" applyNumberFormat="1" applyFont="1" applyBorder="1" applyAlignment="1">
      <alignment horizontal="center" wrapText="1"/>
    </xf>
    <xf numFmtId="43" fontId="6" fillId="0" borderId="17" xfId="28" applyFont="1" applyBorder="1" applyProtection="1">
      <protection locked="0"/>
    </xf>
    <xf numFmtId="168" fontId="6" fillId="0" borderId="8" xfId="0" applyNumberFormat="1" applyFont="1" applyBorder="1" applyAlignment="1">
      <alignment horizontal="right" wrapText="1"/>
    </xf>
    <xf numFmtId="168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8" fontId="16" fillId="0" borderId="9" xfId="0" applyNumberFormat="1" applyFont="1" applyBorder="1" applyAlignment="1">
      <alignment horizontal="center"/>
    </xf>
    <xf numFmtId="0" fontId="16" fillId="0" borderId="9" xfId="0" applyFont="1" applyBorder="1"/>
    <xf numFmtId="5" fontId="16" fillId="0" borderId="9" xfId="0" applyNumberFormat="1" applyFont="1" applyBorder="1" applyAlignment="1">
      <alignment horizontal="right"/>
    </xf>
    <xf numFmtId="9" fontId="16" fillId="0" borderId="9" xfId="41" applyNumberFormat="1" applyFont="1" applyBorder="1" applyAlignment="1">
      <alignment horizontal="right"/>
    </xf>
    <xf numFmtId="37" fontId="16" fillId="0" borderId="9" xfId="0" applyNumberFormat="1" applyFont="1" applyBorder="1" applyAlignment="1">
      <alignment horizontal="right"/>
    </xf>
    <xf numFmtId="0" fontId="6" fillId="0" borderId="0" xfId="0" applyFont="1" applyBorder="1"/>
    <xf numFmtId="168" fontId="6" fillId="0" borderId="9" xfId="0" applyNumberFormat="1" applyFont="1" applyFill="1" applyBorder="1" applyAlignment="1">
      <alignment horizontal="right"/>
    </xf>
    <xf numFmtId="168" fontId="6" fillId="0" borderId="9" xfId="0" applyNumberFormat="1" applyFont="1" applyFill="1" applyBorder="1" applyAlignment="1">
      <alignment horizontal="left" wrapText="1"/>
    </xf>
    <xf numFmtId="5" fontId="6" fillId="0" borderId="9" xfId="0" applyNumberFormat="1" applyFont="1" applyBorder="1" applyAlignment="1">
      <alignment horizontal="right"/>
    </xf>
    <xf numFmtId="9" fontId="6" fillId="0" borderId="9" xfId="41" applyNumberFormat="1" applyFont="1" applyBorder="1" applyAlignment="1">
      <alignment horizontal="right"/>
    </xf>
    <xf numFmtId="168" fontId="6" fillId="0" borderId="9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wrapText="1"/>
    </xf>
    <xf numFmtId="9" fontId="6" fillId="0" borderId="9" xfId="41" applyFont="1" applyBorder="1" applyAlignment="1">
      <alignment horizontal="right"/>
    </xf>
    <xf numFmtId="37" fontId="6" fillId="0" borderId="9" xfId="0" applyNumberFormat="1" applyFont="1" applyFill="1" applyBorder="1" applyAlignment="1">
      <alignment horizontal="right"/>
    </xf>
    <xf numFmtId="168" fontId="6" fillId="0" borderId="15" xfId="0" applyNumberFormat="1" applyFont="1" applyBorder="1" applyAlignment="1">
      <alignment horizontal="center"/>
    </xf>
    <xf numFmtId="168" fontId="6" fillId="0" borderId="6" xfId="0" applyNumberFormat="1" applyFont="1" applyBorder="1" applyAlignment="1">
      <alignment horizontal="left"/>
    </xf>
    <xf numFmtId="168" fontId="6" fillId="33" borderId="8" xfId="0" applyNumberFormat="1" applyFont="1" applyFill="1" applyBorder="1" applyAlignment="1">
      <alignment horizontal="center"/>
    </xf>
    <xf numFmtId="168" fontId="6" fillId="33" borderId="18" xfId="0" applyNumberFormat="1" applyFont="1" applyFill="1" applyBorder="1" applyAlignment="1">
      <alignment horizontal="left"/>
    </xf>
    <xf numFmtId="168" fontId="6" fillId="33" borderId="19" xfId="0" applyNumberFormat="1" applyFont="1" applyFill="1" applyBorder="1" applyAlignment="1">
      <alignment horizontal="center" wrapText="1"/>
    </xf>
    <xf numFmtId="168" fontId="6" fillId="33" borderId="20" xfId="0" applyNumberFormat="1" applyFont="1" applyFill="1" applyBorder="1" applyAlignment="1">
      <alignment horizontal="center" wrapText="1"/>
    </xf>
    <xf numFmtId="9" fontId="6" fillId="33" borderId="18" xfId="41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9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8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5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9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8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9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4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4" fontId="10" fillId="0" borderId="41" xfId="0" applyNumberFormat="1" applyFont="1" applyFill="1" applyBorder="1" applyAlignment="1"/>
    <xf numFmtId="0" fontId="8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168" fontId="12" fillId="0" borderId="9" xfId="0" applyNumberFormat="1" applyFont="1" applyBorder="1" applyAlignment="1"/>
    <xf numFmtId="168" fontId="9" fillId="0" borderId="9" xfId="0" applyNumberFormat="1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68" fontId="11" fillId="0" borderId="9" xfId="0" applyNumberFormat="1" applyFont="1" applyBorder="1" applyAlignment="1">
      <alignment wrapText="1"/>
    </xf>
    <xf numFmtId="3" fontId="8" fillId="0" borderId="9" xfId="28" applyNumberFormat="1" applyFont="1" applyBorder="1" applyAlignment="1">
      <alignment horizontal="right"/>
    </xf>
    <xf numFmtId="1" fontId="8" fillId="0" borderId="9" xfId="0" applyNumberFormat="1" applyFont="1" applyBorder="1" applyAlignment="1">
      <alignment horizontal="right"/>
    </xf>
    <xf numFmtId="176" fontId="8" fillId="0" borderId="9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9" xfId="28" applyNumberFormat="1" applyFont="1" applyBorder="1" applyAlignment="1">
      <alignment horizontal="right"/>
    </xf>
    <xf numFmtId="176" fontId="10" fillId="0" borderId="9" xfId="41" applyNumberFormat="1" applyFont="1" applyBorder="1" applyAlignment="1">
      <alignment horizontal="right"/>
    </xf>
    <xf numFmtId="1" fontId="7" fillId="0" borderId="9" xfId="0" applyNumberFormat="1" applyFont="1" applyBorder="1" applyAlignment="1">
      <alignment horizontal="right"/>
    </xf>
    <xf numFmtId="37" fontId="10" fillId="0" borderId="9" xfId="28" applyNumberFormat="1" applyFont="1" applyBorder="1" applyAlignment="1">
      <alignment horizontal="right"/>
    </xf>
    <xf numFmtId="168" fontId="10" fillId="0" borderId="0" xfId="0" applyNumberFormat="1" applyFont="1" applyBorder="1" applyAlignment="1"/>
    <xf numFmtId="0" fontId="8" fillId="0" borderId="0" xfId="0" applyFont="1" applyBorder="1"/>
    <xf numFmtId="168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9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8" fontId="7" fillId="0" borderId="9" xfId="0" applyNumberFormat="1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168" fontId="7" fillId="0" borderId="9" xfId="0" applyNumberFormat="1" applyFont="1" applyBorder="1" applyAlignment="1"/>
    <xf numFmtId="168" fontId="12" fillId="0" borderId="9" xfId="0" applyNumberFormat="1" applyFont="1" applyBorder="1" applyAlignment="1">
      <alignment horizontal="center"/>
    </xf>
    <xf numFmtId="9" fontId="8" fillId="0" borderId="9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9" xfId="28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9" xfId="0" applyNumberFormat="1" applyFont="1" applyBorder="1" applyAlignment="1">
      <alignment horizontal="right"/>
    </xf>
    <xf numFmtId="3" fontId="11" fillId="0" borderId="9" xfId="28" applyNumberFormat="1" applyFont="1" applyBorder="1" applyAlignment="1">
      <alignment horizontal="right"/>
    </xf>
    <xf numFmtId="168" fontId="8" fillId="0" borderId="9" xfId="0" applyNumberFormat="1" applyFont="1" applyBorder="1" applyAlignment="1"/>
    <xf numFmtId="170" fontId="8" fillId="0" borderId="9" xfId="0" applyNumberFormat="1" applyFont="1" applyBorder="1" applyAlignment="1">
      <alignment horizontal="right"/>
    </xf>
    <xf numFmtId="170" fontId="8" fillId="0" borderId="9" xfId="28" applyNumberFormat="1" applyFont="1" applyBorder="1" applyAlignment="1">
      <alignment horizontal="right"/>
    </xf>
    <xf numFmtId="170" fontId="10" fillId="0" borderId="9" xfId="28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8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left"/>
      <protection locked="0"/>
    </xf>
    <xf numFmtId="0" fontId="17" fillId="0" borderId="22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0" fontId="19" fillId="0" borderId="22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71" fontId="17" fillId="0" borderId="0" xfId="0" applyNumberFormat="1" applyFont="1" applyFill="1" applyBorder="1" applyProtection="1">
      <protection locked="0"/>
    </xf>
    <xf numFmtId="172" fontId="17" fillId="0" borderId="0" xfId="0" applyNumberFormat="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4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5" fontId="17" fillId="0" borderId="0" xfId="28" applyNumberFormat="1" applyFont="1" applyFill="1" applyBorder="1" applyProtection="1">
      <protection locked="0"/>
    </xf>
    <xf numFmtId="169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17" xfId="0" applyFont="1" applyFill="1" applyBorder="1" applyAlignment="1" applyProtection="1">
      <alignment horizontal="center"/>
      <protection locked="0"/>
    </xf>
    <xf numFmtId="176" fontId="17" fillId="0" borderId="0" xfId="41" applyNumberFormat="1" applyFont="1" applyFill="1" applyBorder="1" applyProtection="1">
      <protection locked="0"/>
    </xf>
    <xf numFmtId="176" fontId="18" fillId="0" borderId="0" xfId="41" applyNumberFormat="1" applyFont="1" applyFill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7" fontId="18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8" fontId="17" fillId="0" borderId="0" xfId="28" applyNumberFormat="1" applyFont="1" applyFill="1" applyBorder="1" applyProtection="1">
      <protection locked="0"/>
    </xf>
    <xf numFmtId="178" fontId="18" fillId="0" borderId="0" xfId="28" applyNumberFormat="1" applyFont="1" applyFill="1" applyBorder="1" applyProtection="1">
      <protection locked="0"/>
    </xf>
    <xf numFmtId="178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72" fontId="17" fillId="0" borderId="0" xfId="28" applyNumberFormat="1" applyFont="1" applyFill="1" applyBorder="1" applyProtection="1">
      <protection locked="0"/>
    </xf>
    <xf numFmtId="179" fontId="18" fillId="0" borderId="0" xfId="28" applyNumberFormat="1" applyFont="1" applyFill="1" applyBorder="1" applyProtection="1">
      <protection locked="0"/>
    </xf>
    <xf numFmtId="179" fontId="17" fillId="0" borderId="0" xfId="28" applyNumberFormat="1" applyFont="1" applyFill="1" applyBorder="1" applyAlignment="1" applyProtection="1">
      <alignment horizontal="right"/>
      <protection locked="0"/>
    </xf>
    <xf numFmtId="178" fontId="17" fillId="0" borderId="0" xfId="41" applyNumberFormat="1" applyFont="1" applyFill="1" applyBorder="1" applyAlignment="1" applyProtection="1">
      <alignment horizontal="right"/>
      <protection locked="0"/>
    </xf>
    <xf numFmtId="178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80" fontId="17" fillId="0" borderId="0" xfId="28" applyNumberFormat="1" applyFont="1" applyFill="1" applyBorder="1" applyAlignment="1" applyProtection="1">
      <alignment horizontal="right"/>
      <protection locked="0"/>
    </xf>
    <xf numFmtId="181" fontId="18" fillId="0" borderId="0" xfId="28" applyNumberFormat="1" applyFont="1" applyFill="1" applyBorder="1" applyAlignment="1" applyProtection="1">
      <alignment horizontal="right"/>
      <protection locked="0"/>
    </xf>
    <xf numFmtId="181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8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left"/>
      <protection locked="0"/>
    </xf>
    <xf numFmtId="173" fontId="17" fillId="0" borderId="0" xfId="0" applyNumberFormat="1" applyFont="1" applyFill="1" applyBorder="1" applyProtection="1">
      <protection locked="0"/>
    </xf>
    <xf numFmtId="177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8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7" fontId="17" fillId="0" borderId="0" xfId="28" applyNumberFormat="1" applyFont="1" applyBorder="1" applyProtection="1">
      <protection locked="0"/>
    </xf>
    <xf numFmtId="176" fontId="17" fillId="0" borderId="0" xfId="41" applyNumberFormat="1" applyFont="1" applyFill="1" applyBorder="1" applyAlignment="1" applyProtection="1">
      <alignment horizontal="left"/>
      <protection locked="0"/>
    </xf>
    <xf numFmtId="168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8" fontId="19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9" xfId="0" applyFont="1" applyBorder="1" applyAlignment="1"/>
    <xf numFmtId="0" fontId="15" fillId="0" borderId="9" xfId="0" applyFont="1" applyBorder="1" applyAlignment="1">
      <alignment horizontal="center" vertical="top"/>
    </xf>
    <xf numFmtId="0" fontId="12" fillId="0" borderId="9" xfId="0" applyFont="1" applyBorder="1" applyAlignment="1"/>
    <xf numFmtId="0" fontId="17" fillId="0" borderId="9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9" xfId="0" applyFont="1" applyBorder="1" applyAlignment="1">
      <alignment horizontal="center"/>
    </xf>
    <xf numFmtId="0" fontId="13" fillId="0" borderId="9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9" xfId="0" applyFont="1" applyBorder="1" applyAlignment="1">
      <alignment horizontal="center" vertical="top"/>
    </xf>
    <xf numFmtId="0" fontId="20" fillId="0" borderId="9" xfId="0" applyFont="1" applyBorder="1" applyAlignment="1">
      <alignment vertical="top"/>
    </xf>
    <xf numFmtId="0" fontId="13" fillId="0" borderId="9" xfId="0" applyFont="1" applyBorder="1" applyProtection="1">
      <protection locked="0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6" fontId="13" fillId="0" borderId="9" xfId="0" applyNumberFormat="1" applyFont="1" applyBorder="1" applyAlignment="1">
      <alignment horizontal="right" vertical="top"/>
    </xf>
    <xf numFmtId="6" fontId="13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horizontal="right" vertical="top"/>
    </xf>
    <xf numFmtId="0" fontId="19" fillId="0" borderId="9" xfId="0" applyFont="1" applyBorder="1" applyAlignment="1">
      <alignment vertical="top" wrapText="1"/>
    </xf>
    <xf numFmtId="6" fontId="19" fillId="0" borderId="9" xfId="0" applyNumberFormat="1" applyFont="1" applyBorder="1" applyAlignment="1">
      <alignment vertical="top"/>
    </xf>
    <xf numFmtId="38" fontId="13" fillId="0" borderId="9" xfId="0" applyNumberFormat="1" applyFont="1" applyBorder="1" applyAlignment="1">
      <alignment vertical="top"/>
    </xf>
    <xf numFmtId="0" fontId="17" fillId="0" borderId="9" xfId="0" applyFont="1" applyBorder="1" applyAlignment="1" applyProtection="1">
      <alignment horizontal="left"/>
      <protection locked="0"/>
    </xf>
    <xf numFmtId="0" fontId="17" fillId="0" borderId="9" xfId="0" applyFont="1" applyBorder="1" applyProtection="1">
      <protection locked="0"/>
    </xf>
    <xf numFmtId="0" fontId="20" fillId="0" borderId="9" xfId="0" applyFont="1" applyBorder="1" applyProtection="1">
      <protection locked="0"/>
    </xf>
    <xf numFmtId="0" fontId="20" fillId="0" borderId="9" xfId="0" applyFont="1" applyBorder="1" applyAlignment="1"/>
    <xf numFmtId="10" fontId="13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>
      <alignment vertical="top"/>
    </xf>
    <xf numFmtId="10" fontId="19" fillId="0" borderId="9" xfId="41" applyNumberFormat="1" applyFont="1" applyBorder="1" applyAlignment="1">
      <alignment vertical="top"/>
    </xf>
    <xf numFmtId="10" fontId="19" fillId="0" borderId="9" xfId="0" applyNumberFormat="1" applyFont="1" applyBorder="1" applyAlignment="1" applyProtection="1">
      <alignment horizontal="center"/>
      <protection locked="0"/>
    </xf>
    <xf numFmtId="0" fontId="19" fillId="0" borderId="9" xfId="0" applyFont="1" applyBorder="1" applyProtection="1">
      <protection locked="0"/>
    </xf>
    <xf numFmtId="176" fontId="13" fillId="0" borderId="9" xfId="41" applyNumberFormat="1" applyFont="1" applyBorder="1" applyAlignment="1">
      <alignment vertical="top"/>
    </xf>
    <xf numFmtId="0" fontId="15" fillId="0" borderId="9" xfId="0" applyFont="1" applyBorder="1" applyAlignment="1" applyProtection="1">
      <alignment horizontal="center"/>
      <protection locked="0"/>
    </xf>
    <xf numFmtId="3" fontId="13" fillId="0" borderId="9" xfId="0" applyNumberFormat="1" applyFont="1" applyBorder="1" applyAlignment="1">
      <alignment horizontal="right" vertical="top"/>
    </xf>
    <xf numFmtId="178" fontId="13" fillId="0" borderId="9" xfId="28" applyNumberFormat="1" applyFont="1" applyBorder="1" applyAlignment="1">
      <alignment vertical="top"/>
    </xf>
    <xf numFmtId="3" fontId="19" fillId="0" borderId="9" xfId="0" applyNumberFormat="1" applyFont="1" applyBorder="1" applyAlignment="1">
      <alignment vertical="top"/>
    </xf>
    <xf numFmtId="178" fontId="19" fillId="0" borderId="9" xfId="28" applyNumberFormat="1" applyFont="1" applyBorder="1" applyAlignment="1">
      <alignment vertical="top"/>
    </xf>
    <xf numFmtId="3" fontId="13" fillId="0" borderId="9" xfId="0" applyNumberFormat="1" applyFont="1" applyBorder="1" applyAlignment="1">
      <alignment vertical="top"/>
    </xf>
    <xf numFmtId="3" fontId="13" fillId="0" borderId="9" xfId="0" applyNumberFormat="1" applyFont="1" applyFill="1" applyBorder="1" applyAlignment="1">
      <alignment vertical="top"/>
    </xf>
    <xf numFmtId="170" fontId="13" fillId="0" borderId="9" xfId="0" applyNumberFormat="1" applyFont="1" applyBorder="1" applyAlignment="1">
      <alignment vertical="top"/>
    </xf>
    <xf numFmtId="175" fontId="13" fillId="0" borderId="9" xfId="28" applyNumberFormat="1" applyFont="1" applyBorder="1" applyAlignment="1">
      <alignment vertical="top"/>
    </xf>
    <xf numFmtId="170" fontId="19" fillId="0" borderId="9" xfId="0" applyNumberFormat="1" applyFont="1" applyBorder="1" applyAlignment="1">
      <alignment vertical="top"/>
    </xf>
    <xf numFmtId="175" fontId="19" fillId="0" borderId="9" xfId="28" applyNumberFormat="1" applyFont="1" applyBorder="1" applyAlignment="1">
      <alignment vertical="top"/>
    </xf>
    <xf numFmtId="175" fontId="13" fillId="0" borderId="9" xfId="0" applyNumberFormat="1" applyFont="1" applyBorder="1" applyAlignment="1">
      <alignment vertical="top"/>
    </xf>
    <xf numFmtId="185" fontId="13" fillId="0" borderId="9" xfId="0" applyNumberFormat="1" applyFont="1" applyBorder="1" applyAlignment="1">
      <alignment horizontal="right" vertical="top"/>
    </xf>
    <xf numFmtId="172" fontId="13" fillId="0" borderId="9" xfId="28" applyNumberFormat="1" applyFont="1" applyBorder="1" applyAlignment="1">
      <alignment vertical="top"/>
    </xf>
    <xf numFmtId="185" fontId="19" fillId="0" borderId="9" xfId="0" applyNumberFormat="1" applyFont="1" applyBorder="1" applyAlignment="1">
      <alignment horizontal="right" vertical="top"/>
    </xf>
    <xf numFmtId="172" fontId="19" fillId="0" borderId="9" xfId="28" applyNumberFormat="1" applyFont="1" applyBorder="1" applyAlignment="1">
      <alignment vertical="top"/>
    </xf>
    <xf numFmtId="0" fontId="13" fillId="0" borderId="9" xfId="0" applyFont="1" applyBorder="1" applyAlignment="1">
      <alignment horizontal="right" vertical="top"/>
    </xf>
    <xf numFmtId="6" fontId="13" fillId="0" borderId="9" xfId="0" applyNumberFormat="1" applyFont="1" applyBorder="1" applyProtection="1">
      <protection locked="0"/>
    </xf>
    <xf numFmtId="10" fontId="13" fillId="0" borderId="9" xfId="41" applyNumberFormat="1" applyFont="1" applyBorder="1" applyProtection="1">
      <protection locked="0"/>
    </xf>
    <xf numFmtId="0" fontId="29" fillId="0" borderId="9" xfId="0" applyFont="1" applyFill="1" applyBorder="1" applyAlignment="1">
      <alignment vertical="top" wrapText="1"/>
    </xf>
    <xf numFmtId="6" fontId="13" fillId="0" borderId="9" xfId="0" applyNumberFormat="1" applyFont="1" applyFill="1" applyBorder="1" applyProtection="1">
      <protection locked="0"/>
    </xf>
    <xf numFmtId="0" fontId="12" fillId="0" borderId="9" xfId="0" applyFont="1" applyBorder="1" applyAlignment="1">
      <alignment vertical="top"/>
    </xf>
    <xf numFmtId="0" fontId="13" fillId="0" borderId="9" xfId="0" applyFont="1" applyBorder="1" applyAlignment="1" applyProtection="1">
      <alignment horizontal="left"/>
      <protection locked="0"/>
    </xf>
    <xf numFmtId="0" fontId="19" fillId="0" borderId="9" xfId="0" applyFont="1" applyBorder="1" applyAlignment="1" applyProtection="1">
      <alignment horizontal="left"/>
      <protection locked="0"/>
    </xf>
    <xf numFmtId="174" fontId="13" fillId="0" borderId="9" xfId="28" applyNumberFormat="1" applyFont="1" applyBorder="1" applyProtection="1">
      <protection locked="0"/>
    </xf>
    <xf numFmtId="174" fontId="13" fillId="0" borderId="9" xfId="0" applyNumberFormat="1" applyFont="1" applyBorder="1" applyProtection="1">
      <protection locked="0"/>
    </xf>
    <xf numFmtId="174" fontId="19" fillId="0" borderId="9" xfId="28" applyNumberFormat="1" applyFont="1" applyBorder="1" applyProtection="1">
      <protection locked="0"/>
    </xf>
    <xf numFmtId="174" fontId="19" fillId="0" borderId="9" xfId="0" applyNumberFormat="1" applyFont="1" applyBorder="1" applyProtection="1">
      <protection locked="0"/>
    </xf>
    <xf numFmtId="186" fontId="13" fillId="0" borderId="9" xfId="0" applyNumberFormat="1" applyFont="1" applyBorder="1" applyProtection="1">
      <protection locked="0"/>
    </xf>
    <xf numFmtId="186" fontId="19" fillId="0" borderId="9" xfId="0" applyNumberFormat="1" applyFont="1" applyBorder="1" applyProtection="1">
      <protection locked="0"/>
    </xf>
    <xf numFmtId="187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Protection="1">
      <protection locked="0"/>
    </xf>
    <xf numFmtId="8" fontId="19" fillId="0" borderId="9" xfId="0" applyNumberFormat="1" applyFont="1" applyBorder="1" applyProtection="1">
      <protection locked="0"/>
    </xf>
    <xf numFmtId="8" fontId="13" fillId="0" borderId="9" xfId="0" applyNumberFormat="1" applyFont="1" applyBorder="1" applyAlignment="1" applyProtection="1">
      <alignment horizontal="right"/>
      <protection locked="0"/>
    </xf>
    <xf numFmtId="8" fontId="19" fillId="0" borderId="9" xfId="0" applyNumberFormat="1" applyFont="1" applyBorder="1" applyAlignment="1" applyProtection="1">
      <alignment horizontal="right"/>
      <protection locked="0"/>
    </xf>
    <xf numFmtId="6" fontId="19" fillId="0" borderId="9" xfId="0" applyNumberFormat="1" applyFont="1" applyBorder="1" applyProtection="1">
      <protection locked="0"/>
    </xf>
    <xf numFmtId="6" fontId="31" fillId="0" borderId="9" xfId="0" applyNumberFormat="1" applyFont="1" applyBorder="1" applyProtection="1">
      <protection locked="0"/>
    </xf>
    <xf numFmtId="188" fontId="13" fillId="0" borderId="9" xfId="28" applyNumberFormat="1" applyFont="1" applyBorder="1" applyProtection="1">
      <protection locked="0"/>
    </xf>
    <xf numFmtId="189" fontId="13" fillId="0" borderId="9" xfId="0" applyNumberFormat="1" applyFont="1" applyBorder="1" applyProtection="1">
      <protection locked="0"/>
    </xf>
    <xf numFmtId="6" fontId="13" fillId="0" borderId="13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6" fontId="31" fillId="0" borderId="9" xfId="0" applyNumberFormat="1" applyFont="1" applyFill="1" applyBorder="1" applyProtection="1">
      <protection locked="0"/>
    </xf>
    <xf numFmtId="0" fontId="10" fillId="0" borderId="9" xfId="0" applyFont="1" applyBorder="1" applyAlignment="1">
      <alignment vertical="top"/>
    </xf>
    <xf numFmtId="10" fontId="13" fillId="0" borderId="9" xfId="0" applyNumberFormat="1" applyFont="1" applyBorder="1" applyProtection="1">
      <protection locked="0"/>
    </xf>
    <xf numFmtId="10" fontId="19" fillId="0" borderId="9" xfId="41" applyNumberFormat="1" applyFont="1" applyBorder="1" applyProtection="1">
      <protection locked="0"/>
    </xf>
    <xf numFmtId="10" fontId="19" fillId="0" borderId="9" xfId="0" applyNumberFormat="1" applyFont="1" applyBorder="1" applyProtection="1">
      <protection locked="0"/>
    </xf>
    <xf numFmtId="0" fontId="10" fillId="0" borderId="9" xfId="0" applyFont="1" applyBorder="1" applyAlignment="1"/>
    <xf numFmtId="6" fontId="13" fillId="0" borderId="9" xfId="0" applyNumberFormat="1" applyFont="1" applyFill="1" applyBorder="1" applyAlignment="1">
      <alignment horizontal="right" vertical="top"/>
    </xf>
    <xf numFmtId="6" fontId="13" fillId="0" borderId="9" xfId="0" applyNumberFormat="1" applyFont="1" applyFill="1" applyBorder="1" applyAlignment="1">
      <alignment vertical="top"/>
    </xf>
    <xf numFmtId="6" fontId="19" fillId="0" borderId="9" xfId="0" applyNumberFormat="1" applyFont="1" applyFill="1" applyBorder="1" applyAlignment="1">
      <alignment vertical="top"/>
    </xf>
    <xf numFmtId="6" fontId="19" fillId="0" borderId="9" xfId="0" applyNumberFormat="1" applyFont="1" applyBorder="1" applyAlignment="1">
      <alignment horizontal="right" vertical="top"/>
    </xf>
    <xf numFmtId="6" fontId="19" fillId="0" borderId="9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8" fontId="10" fillId="0" borderId="9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9" xfId="0" applyNumberFormat="1" applyFont="1" applyBorder="1" applyAlignment="1">
      <alignment horizontal="right" vertical="top"/>
    </xf>
    <xf numFmtId="10" fontId="13" fillId="0" borderId="9" xfId="0" applyNumberFormat="1" applyFont="1" applyBorder="1" applyAlignment="1">
      <alignment horizontal="right" vertical="top"/>
    </xf>
    <xf numFmtId="190" fontId="13" fillId="0" borderId="9" xfId="0" applyNumberFormat="1" applyFont="1" applyBorder="1" applyProtection="1">
      <protection locked="0"/>
    </xf>
    <xf numFmtId="6" fontId="13" fillId="0" borderId="17" xfId="0" applyNumberFormat="1" applyFont="1" applyBorder="1" applyAlignment="1">
      <alignment horizontal="right" vertical="top"/>
    </xf>
    <xf numFmtId="6" fontId="13" fillId="0" borderId="17" xfId="0" applyNumberFormat="1" applyFont="1" applyBorder="1" applyAlignment="1">
      <alignment vertical="top"/>
    </xf>
    <xf numFmtId="6" fontId="19" fillId="0" borderId="1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8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6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91" fontId="34" fillId="0" borderId="0" xfId="0" applyNumberFormat="1" applyFont="1" applyBorder="1" applyAlignment="1">
      <alignment horizontal="right" wrapText="1"/>
    </xf>
    <xf numFmtId="172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9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9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92" fontId="33" fillId="0" borderId="0" xfId="0" applyNumberFormat="1" applyFont="1" applyBorder="1" applyAlignment="1">
      <alignment horizontal="right" wrapText="1"/>
    </xf>
    <xf numFmtId="192" fontId="34" fillId="0" borderId="0" xfId="0" applyNumberFormat="1" applyFont="1" applyBorder="1" applyAlignment="1">
      <alignment horizontal="right" wrapText="1"/>
    </xf>
    <xf numFmtId="169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8" fontId="1" fillId="0" borderId="2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168" fontId="2" fillId="0" borderId="22" xfId="0" applyNumberFormat="1" applyFont="1" applyBorder="1" applyAlignment="1">
      <alignment horizontal="left"/>
    </xf>
    <xf numFmtId="168" fontId="2" fillId="0" borderId="8" xfId="0" applyNumberFormat="1" applyFont="1" applyBorder="1" applyAlignment="1">
      <alignment horizontal="left"/>
    </xf>
    <xf numFmtId="5" fontId="3" fillId="0" borderId="23" xfId="0" applyNumberFormat="1" applyFont="1" applyBorder="1" applyAlignment="1">
      <alignment horizontal="center"/>
    </xf>
    <xf numFmtId="5" fontId="3" fillId="0" borderId="24" xfId="0" applyNumberFormat="1" applyFont="1" applyBorder="1" applyAlignment="1">
      <alignment horizontal="center"/>
    </xf>
    <xf numFmtId="5" fontId="3" fillId="0" borderId="25" xfId="0" applyNumberFormat="1" applyFont="1" applyBorder="1" applyAlignment="1">
      <alignment horizontal="center"/>
    </xf>
    <xf numFmtId="5" fontId="3" fillId="0" borderId="19" xfId="0" applyNumberFormat="1" applyFont="1" applyBorder="1" applyAlignment="1">
      <alignment horizontal="center"/>
    </xf>
    <xf numFmtId="5" fontId="3" fillId="0" borderId="20" xfId="0" applyNumberFormat="1" applyFont="1" applyBorder="1" applyAlignment="1">
      <alignment horizontal="center"/>
    </xf>
    <xf numFmtId="5" fontId="3" fillId="0" borderId="1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8" fontId="1" fillId="33" borderId="19" xfId="0" applyNumberFormat="1" applyFont="1" applyFill="1" applyBorder="1" applyAlignment="1"/>
    <xf numFmtId="168" fontId="1" fillId="33" borderId="20" xfId="0" applyNumberFormat="1" applyFont="1" applyFill="1" applyBorder="1" applyAlignment="1"/>
    <xf numFmtId="168" fontId="1" fillId="33" borderId="18" xfId="0" applyNumberFormat="1" applyFont="1" applyFill="1" applyBorder="1" applyAlignment="1"/>
    <xf numFmtId="0" fontId="6" fillId="0" borderId="0" xfId="0" applyFont="1" applyBorder="1" applyAlignment="1">
      <alignment horizontal="center"/>
    </xf>
    <xf numFmtId="168" fontId="6" fillId="33" borderId="27" xfId="0" applyNumberFormat="1" applyFont="1" applyFill="1" applyBorder="1" applyAlignment="1">
      <alignment horizontal="center" wrapText="1"/>
    </xf>
    <xf numFmtId="168" fontId="6" fillId="33" borderId="28" xfId="0" applyNumberFormat="1" applyFont="1" applyFill="1" applyBorder="1" applyAlignment="1">
      <alignment horizontal="center" wrapText="1"/>
    </xf>
    <xf numFmtId="168" fontId="6" fillId="33" borderId="29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3" xfId="0" applyFont="1" applyBorder="1" applyAlignment="1"/>
    <xf numFmtId="0" fontId="5" fillId="0" borderId="8" xfId="0" applyFont="1" applyBorder="1" applyAlignment="1"/>
    <xf numFmtId="168" fontId="6" fillId="0" borderId="17" xfId="0" applyNumberFormat="1" applyFont="1" applyBorder="1" applyAlignment="1">
      <alignment horizontal="center" wrapText="1"/>
    </xf>
    <xf numFmtId="168" fontId="6" fillId="0" borderId="0" xfId="0" applyNumberFormat="1" applyFont="1" applyBorder="1" applyAlignment="1">
      <alignment horizontal="center" wrapText="1"/>
    </xf>
    <xf numFmtId="168" fontId="6" fillId="0" borderId="26" xfId="0" applyNumberFormat="1" applyFont="1" applyBorder="1" applyAlignment="1">
      <alignment horizontal="center" wrapText="1"/>
    </xf>
    <xf numFmtId="168" fontId="6" fillId="0" borderId="19" xfId="0" applyNumberFormat="1" applyFont="1" applyBorder="1" applyAlignment="1">
      <alignment horizontal="center" wrapText="1"/>
    </xf>
    <xf numFmtId="168" fontId="6" fillId="0" borderId="20" xfId="0" applyNumberFormat="1" applyFont="1" applyBorder="1" applyAlignment="1">
      <alignment horizontal="center" wrapText="1"/>
    </xf>
    <xf numFmtId="168" fontId="6" fillId="0" borderId="18" xfId="0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8" fontId="6" fillId="0" borderId="23" xfId="0" applyNumberFormat="1" applyFont="1" applyBorder="1" applyAlignment="1">
      <alignment horizontal="center" wrapText="1"/>
    </xf>
    <xf numFmtId="168" fontId="6" fillId="0" borderId="24" xfId="0" applyNumberFormat="1" applyFont="1" applyBorder="1" applyAlignment="1">
      <alignment horizontal="center" wrapText="1"/>
    </xf>
    <xf numFmtId="168" fontId="6" fillId="0" borderId="25" xfId="0" applyNumberFormat="1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8" fontId="10" fillId="0" borderId="21" xfId="0" applyNumberFormat="1" applyFont="1" applyBorder="1" applyAlignment="1"/>
    <xf numFmtId="168" fontId="10" fillId="0" borderId="30" xfId="0" applyNumberFormat="1" applyFont="1" applyBorder="1" applyAlignment="1"/>
    <xf numFmtId="168" fontId="10" fillId="0" borderId="31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6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6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4272881</v>
      </c>
      <c r="D13" s="23">
        <v>9376449</v>
      </c>
      <c r="E13" s="23">
        <f t="shared" ref="E13:E22" si="0">D13-C13</f>
        <v>5103568</v>
      </c>
      <c r="F13" s="24">
        <f t="shared" ref="F13:F22" si="1">IF(C13=0,0,E13/C13)</f>
        <v>1.1944091117913183</v>
      </c>
    </row>
    <row r="14" spans="1:8" ht="24" customHeight="1" x14ac:dyDescent="0.2">
      <c r="A14" s="21">
        <v>2</v>
      </c>
      <c r="B14" s="22" t="s">
        <v>17</v>
      </c>
      <c r="C14" s="23">
        <v>96343</v>
      </c>
      <c r="D14" s="23">
        <v>96452</v>
      </c>
      <c r="E14" s="23">
        <f t="shared" si="0"/>
        <v>109</v>
      </c>
      <c r="F14" s="24">
        <f t="shared" si="1"/>
        <v>1.1313743603583032E-3</v>
      </c>
    </row>
    <row r="15" spans="1:8" ht="32.25" customHeight="1" x14ac:dyDescent="0.2">
      <c r="A15" s="21">
        <v>3</v>
      </c>
      <c r="B15" s="22" t="s">
        <v>18</v>
      </c>
      <c r="C15" s="23">
        <v>20427829</v>
      </c>
      <c r="D15" s="23">
        <v>16562143</v>
      </c>
      <c r="E15" s="23">
        <f t="shared" si="0"/>
        <v>-3865686</v>
      </c>
      <c r="F15" s="24">
        <f t="shared" si="1"/>
        <v>-0.18923626196400997</v>
      </c>
    </row>
    <row r="16" spans="1:8" ht="24" customHeight="1" x14ac:dyDescent="0.2">
      <c r="A16" s="21">
        <v>4</v>
      </c>
      <c r="B16" s="22" t="s">
        <v>19</v>
      </c>
      <c r="C16" s="23">
        <v>462954</v>
      </c>
      <c r="D16" s="23">
        <v>458932</v>
      </c>
      <c r="E16" s="23">
        <f t="shared" si="0"/>
        <v>-4022</v>
      </c>
      <c r="F16" s="24">
        <f t="shared" si="1"/>
        <v>-8.6876881936434284E-3</v>
      </c>
    </row>
    <row r="17" spans="1:11" ht="24" customHeight="1" x14ac:dyDescent="0.2">
      <c r="A17" s="21">
        <v>5</v>
      </c>
      <c r="B17" s="22" t="s">
        <v>20</v>
      </c>
      <c r="C17" s="23">
        <v>2258921</v>
      </c>
      <c r="D17" s="23">
        <v>3142097</v>
      </c>
      <c r="E17" s="23">
        <f t="shared" si="0"/>
        <v>883176</v>
      </c>
      <c r="F17" s="24">
        <f t="shared" si="1"/>
        <v>0.39097250412918377</v>
      </c>
    </row>
    <row r="18" spans="1:11" ht="24" customHeight="1" x14ac:dyDescent="0.2">
      <c r="A18" s="21">
        <v>6</v>
      </c>
      <c r="B18" s="22" t="s">
        <v>21</v>
      </c>
      <c r="C18" s="23">
        <v>2379937</v>
      </c>
      <c r="D18" s="23">
        <v>1964075</v>
      </c>
      <c r="E18" s="23">
        <f t="shared" si="0"/>
        <v>-415862</v>
      </c>
      <c r="F18" s="24">
        <f t="shared" si="1"/>
        <v>-0.17473655815258976</v>
      </c>
    </row>
    <row r="19" spans="1:11" ht="24" customHeight="1" x14ac:dyDescent="0.2">
      <c r="A19" s="21">
        <v>7</v>
      </c>
      <c r="B19" s="22" t="s">
        <v>22</v>
      </c>
      <c r="C19" s="23">
        <v>1696559</v>
      </c>
      <c r="D19" s="23">
        <v>1592222</v>
      </c>
      <c r="E19" s="23">
        <f t="shared" si="0"/>
        <v>-104337</v>
      </c>
      <c r="F19" s="24">
        <f t="shared" si="1"/>
        <v>-6.1499187472996812E-2</v>
      </c>
    </row>
    <row r="20" spans="1:11" ht="24" customHeight="1" x14ac:dyDescent="0.2">
      <c r="A20" s="21">
        <v>8</v>
      </c>
      <c r="B20" s="22" t="s">
        <v>23</v>
      </c>
      <c r="C20" s="23">
        <v>467593</v>
      </c>
      <c r="D20" s="23">
        <v>811642</v>
      </c>
      <c r="E20" s="23">
        <f t="shared" si="0"/>
        <v>344049</v>
      </c>
      <c r="F20" s="24">
        <f t="shared" si="1"/>
        <v>0.73578731931401886</v>
      </c>
    </row>
    <row r="21" spans="1:11" ht="24" customHeight="1" x14ac:dyDescent="0.2">
      <c r="A21" s="21">
        <v>9</v>
      </c>
      <c r="B21" s="22" t="s">
        <v>24</v>
      </c>
      <c r="C21" s="23">
        <v>677818</v>
      </c>
      <c r="D21" s="23">
        <v>4999472</v>
      </c>
      <c r="E21" s="23">
        <f t="shared" si="0"/>
        <v>4321654</v>
      </c>
      <c r="F21" s="24">
        <f t="shared" si="1"/>
        <v>6.3758324505988337</v>
      </c>
    </row>
    <row r="22" spans="1:11" ht="24" customHeight="1" x14ac:dyDescent="0.25">
      <c r="A22" s="25"/>
      <c r="B22" s="26" t="s">
        <v>25</v>
      </c>
      <c r="C22" s="27">
        <f>SUM(C13:C21)</f>
        <v>32740835</v>
      </c>
      <c r="D22" s="27">
        <f>SUM(D13:D21)</f>
        <v>39003484</v>
      </c>
      <c r="E22" s="27">
        <f t="shared" si="0"/>
        <v>6262649</v>
      </c>
      <c r="F22" s="28">
        <f t="shared" si="1"/>
        <v>0.19127945270791047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5602380</v>
      </c>
      <c r="D26" s="23">
        <v>6662023</v>
      </c>
      <c r="E26" s="23">
        <f>D26-C26</f>
        <v>1059643</v>
      </c>
      <c r="F26" s="24">
        <f>IF(C26=0,0,E26/C26)</f>
        <v>0.18914157911459059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12050699</v>
      </c>
      <c r="D28" s="23">
        <v>12919018</v>
      </c>
      <c r="E28" s="23">
        <f>D28-C28</f>
        <v>868319</v>
      </c>
      <c r="F28" s="24">
        <f>IF(C28=0,0,E28/C28)</f>
        <v>7.2055488233504134E-2</v>
      </c>
    </row>
    <row r="29" spans="1:11" ht="24" customHeight="1" x14ac:dyDescent="0.25">
      <c r="A29" s="25"/>
      <c r="B29" s="26" t="s">
        <v>32</v>
      </c>
      <c r="C29" s="27">
        <f>SUM(C25:C28)</f>
        <v>17653079</v>
      </c>
      <c r="D29" s="27">
        <f>SUM(D25:D28)</f>
        <v>19581041</v>
      </c>
      <c r="E29" s="27">
        <f>D29-C29</f>
        <v>1927962</v>
      </c>
      <c r="F29" s="28">
        <f>IF(C29=0,0,E29/C29)</f>
        <v>0.10921392239846658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4332419</v>
      </c>
      <c r="D31" s="23">
        <v>6708565</v>
      </c>
      <c r="E31" s="23">
        <f>D31-C31</f>
        <v>2376146</v>
      </c>
      <c r="F31" s="24">
        <f>IF(C31=0,0,E31/C31)</f>
        <v>0.54845710906539746</v>
      </c>
    </row>
    <row r="32" spans="1:11" ht="24" customHeight="1" x14ac:dyDescent="0.2">
      <c r="A32" s="21">
        <v>6</v>
      </c>
      <c r="B32" s="22" t="s">
        <v>34</v>
      </c>
      <c r="C32" s="23">
        <v>6015999</v>
      </c>
      <c r="D32" s="23">
        <v>7231860</v>
      </c>
      <c r="E32" s="23">
        <f>D32-C32</f>
        <v>1215861</v>
      </c>
      <c r="F32" s="24">
        <f>IF(C32=0,0,E32/C32)</f>
        <v>0.20210458811578924</v>
      </c>
    </row>
    <row r="33" spans="1:8" ht="24" customHeight="1" x14ac:dyDescent="0.2">
      <c r="A33" s="21">
        <v>7</v>
      </c>
      <c r="B33" s="22" t="s">
        <v>35</v>
      </c>
      <c r="C33" s="23">
        <v>2353151</v>
      </c>
      <c r="D33" s="23">
        <v>2364559</v>
      </c>
      <c r="E33" s="23">
        <f>D33-C33</f>
        <v>11408</v>
      </c>
      <c r="F33" s="24">
        <f>IF(C33=0,0,E33/C33)</f>
        <v>4.8479676824819146E-3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139095619</v>
      </c>
      <c r="D36" s="23">
        <v>141381699</v>
      </c>
      <c r="E36" s="23">
        <f>D36-C36</f>
        <v>2286080</v>
      </c>
      <c r="F36" s="24">
        <f>IF(C36=0,0,E36/C36)</f>
        <v>1.643531274698163E-2</v>
      </c>
    </row>
    <row r="37" spans="1:8" ht="24" customHeight="1" x14ac:dyDescent="0.2">
      <c r="A37" s="21">
        <v>2</v>
      </c>
      <c r="B37" s="22" t="s">
        <v>39</v>
      </c>
      <c r="C37" s="23">
        <v>99185736</v>
      </c>
      <c r="D37" s="23">
        <v>105453829</v>
      </c>
      <c r="E37" s="23">
        <f>D37-C37</f>
        <v>6268093</v>
      </c>
      <c r="F37" s="24">
        <f>IF(C37=0,0,E37/C37)</f>
        <v>6.3195508273488035E-2</v>
      </c>
    </row>
    <row r="38" spans="1:8" ht="24" customHeight="1" x14ac:dyDescent="0.25">
      <c r="A38" s="25"/>
      <c r="B38" s="26" t="s">
        <v>40</v>
      </c>
      <c r="C38" s="27">
        <f>C36-C37</f>
        <v>39909883</v>
      </c>
      <c r="D38" s="27">
        <f>D36-D37</f>
        <v>35927870</v>
      </c>
      <c r="E38" s="27">
        <f>D38-C38</f>
        <v>-3982013</v>
      </c>
      <c r="F38" s="28">
        <f>IF(C38=0,0,E38/C38)</f>
        <v>-9.9775110841592796E-2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120375</v>
      </c>
      <c r="D40" s="23">
        <v>1836659</v>
      </c>
      <c r="E40" s="23">
        <f>D40-C40</f>
        <v>1716284</v>
      </c>
      <c r="F40" s="24">
        <f>IF(C40=0,0,E40/C40)</f>
        <v>14.257811007268952</v>
      </c>
    </row>
    <row r="41" spans="1:8" ht="24" customHeight="1" x14ac:dyDescent="0.25">
      <c r="A41" s="25"/>
      <c r="B41" s="26" t="s">
        <v>42</v>
      </c>
      <c r="C41" s="27">
        <f>+C38+C40</f>
        <v>40030258</v>
      </c>
      <c r="D41" s="27">
        <f>+D38+D40</f>
        <v>37764529</v>
      </c>
      <c r="E41" s="27">
        <f>D41-C41</f>
        <v>-2265729</v>
      </c>
      <c r="F41" s="28">
        <f>IF(C41=0,0,E41/C41)</f>
        <v>-5.6600409620142844E-2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103125741</v>
      </c>
      <c r="D43" s="27">
        <f>D22+D29+D31+D32+D33+D41</f>
        <v>112654038</v>
      </c>
      <c r="E43" s="27">
        <f>D43-C43</f>
        <v>9528297</v>
      </c>
      <c r="F43" s="28">
        <f>IF(C43=0,0,E43/C43)</f>
        <v>9.2394943373061436E-2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11772566</v>
      </c>
      <c r="D49" s="23">
        <v>9975800</v>
      </c>
      <c r="E49" s="23">
        <f t="shared" ref="E49:E56" si="2">D49-C49</f>
        <v>-1796766</v>
      </c>
      <c r="F49" s="24">
        <f t="shared" ref="F49:F56" si="3">IF(C49=0,0,E49/C49)</f>
        <v>-0.15262314095329768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11466850</v>
      </c>
      <c r="D50" s="23">
        <v>12922514</v>
      </c>
      <c r="E50" s="23">
        <f t="shared" si="2"/>
        <v>1455664</v>
      </c>
      <c r="F50" s="24">
        <f t="shared" si="3"/>
        <v>0.12694541220997921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757385</v>
      </c>
      <c r="D53" s="23">
        <v>489222</v>
      </c>
      <c r="E53" s="23">
        <f t="shared" si="2"/>
        <v>-268163</v>
      </c>
      <c r="F53" s="24">
        <f t="shared" si="3"/>
        <v>-0.35406431339411265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7444</v>
      </c>
      <c r="D54" s="23">
        <v>7826</v>
      </c>
      <c r="E54" s="23">
        <f t="shared" si="2"/>
        <v>382</v>
      </c>
      <c r="F54" s="24">
        <f t="shared" si="3"/>
        <v>5.1316496507254165E-2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3541944</v>
      </c>
      <c r="D55" s="23">
        <v>3375000</v>
      </c>
      <c r="E55" s="23">
        <f t="shared" si="2"/>
        <v>-166944</v>
      </c>
      <c r="F55" s="24">
        <f t="shared" si="3"/>
        <v>-4.7133438586267881E-2</v>
      </c>
    </row>
    <row r="56" spans="1:6" ht="24" customHeight="1" x14ac:dyDescent="0.25">
      <c r="A56" s="25"/>
      <c r="B56" s="26" t="s">
        <v>54</v>
      </c>
      <c r="C56" s="27">
        <f>SUM(C49:C55)</f>
        <v>27546189</v>
      </c>
      <c r="D56" s="27">
        <f>SUM(D49:D55)</f>
        <v>26770362</v>
      </c>
      <c r="E56" s="27">
        <f t="shared" si="2"/>
        <v>-775827</v>
      </c>
      <c r="F56" s="28">
        <f t="shared" si="3"/>
        <v>-2.8164585670997902E-2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26252085</v>
      </c>
      <c r="D59" s="23">
        <v>25729951</v>
      </c>
      <c r="E59" s="23">
        <f>D59-C59</f>
        <v>-522134</v>
      </c>
      <c r="F59" s="24">
        <f>IF(C59=0,0,E59/C59)</f>
        <v>-1.9889239273756732E-2</v>
      </c>
    </row>
    <row r="60" spans="1:6" ht="24" customHeight="1" x14ac:dyDescent="0.2">
      <c r="A60" s="21">
        <v>2</v>
      </c>
      <c r="B60" s="22" t="s">
        <v>57</v>
      </c>
      <c r="C60" s="23">
        <v>297963</v>
      </c>
      <c r="D60" s="23">
        <v>290135</v>
      </c>
      <c r="E60" s="23">
        <f>D60-C60</f>
        <v>-7828</v>
      </c>
      <c r="F60" s="24">
        <f>IF(C60=0,0,E60/C60)</f>
        <v>-2.6271718300594368E-2</v>
      </c>
    </row>
    <row r="61" spans="1:6" ht="24" customHeight="1" x14ac:dyDescent="0.25">
      <c r="A61" s="25"/>
      <c r="B61" s="26" t="s">
        <v>58</v>
      </c>
      <c r="C61" s="27">
        <f>SUM(C59:C60)</f>
        <v>26550048</v>
      </c>
      <c r="D61" s="27">
        <f>SUM(D59:D60)</f>
        <v>26020086</v>
      </c>
      <c r="E61" s="27">
        <f>D61-C61</f>
        <v>-529962</v>
      </c>
      <c r="F61" s="28">
        <f>IF(C61=0,0,E61/C61)</f>
        <v>-1.9960867867357526E-2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25622329</v>
      </c>
      <c r="D63" s="23">
        <v>30446134</v>
      </c>
      <c r="E63" s="23">
        <f>D63-C63</f>
        <v>4823805</v>
      </c>
      <c r="F63" s="24">
        <f>IF(C63=0,0,E63/C63)</f>
        <v>0.18826567249214543</v>
      </c>
    </row>
    <row r="64" spans="1:6" ht="24" customHeight="1" x14ac:dyDescent="0.2">
      <c r="A64" s="21">
        <v>4</v>
      </c>
      <c r="B64" s="22" t="s">
        <v>60</v>
      </c>
      <c r="C64" s="23">
        <v>15391487</v>
      </c>
      <c r="D64" s="23">
        <v>18786121</v>
      </c>
      <c r="E64" s="23">
        <f>D64-C64</f>
        <v>3394634</v>
      </c>
      <c r="F64" s="24">
        <f>IF(C64=0,0,E64/C64)</f>
        <v>0.22055269903421287</v>
      </c>
    </row>
    <row r="65" spans="1:6" ht="24" customHeight="1" x14ac:dyDescent="0.25">
      <c r="A65" s="25"/>
      <c r="B65" s="26" t="s">
        <v>61</v>
      </c>
      <c r="C65" s="27">
        <f>SUM(C61:C64)</f>
        <v>67563864</v>
      </c>
      <c r="D65" s="27">
        <f>SUM(D61:D64)</f>
        <v>75252341</v>
      </c>
      <c r="E65" s="27">
        <f>D65-C65</f>
        <v>7688477</v>
      </c>
      <c r="F65" s="28">
        <f>IF(C65=0,0,E65/C65)</f>
        <v>0.11379569706078385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427122</v>
      </c>
      <c r="D70" s="23">
        <v>-376115</v>
      </c>
      <c r="E70" s="23">
        <f>D70-C70</f>
        <v>-803237</v>
      </c>
      <c r="F70" s="24">
        <f>IF(C70=0,0,E70/C70)</f>
        <v>-1.8805797875080188</v>
      </c>
    </row>
    <row r="71" spans="1:6" ht="24" customHeight="1" x14ac:dyDescent="0.2">
      <c r="A71" s="21">
        <v>2</v>
      </c>
      <c r="B71" s="22" t="s">
        <v>65</v>
      </c>
      <c r="C71" s="23">
        <v>1021495</v>
      </c>
      <c r="D71" s="23">
        <v>4079847</v>
      </c>
      <c r="E71" s="23">
        <f>D71-C71</f>
        <v>3058352</v>
      </c>
      <c r="F71" s="24">
        <f>IF(C71=0,0,E71/C71)</f>
        <v>2.9939960548020306</v>
      </c>
    </row>
    <row r="72" spans="1:6" ht="24" customHeight="1" x14ac:dyDescent="0.2">
      <c r="A72" s="21">
        <v>3</v>
      </c>
      <c r="B72" s="22" t="s">
        <v>66</v>
      </c>
      <c r="C72" s="23">
        <v>6567071</v>
      </c>
      <c r="D72" s="23">
        <v>6927603</v>
      </c>
      <c r="E72" s="23">
        <f>D72-C72</f>
        <v>360532</v>
      </c>
      <c r="F72" s="24">
        <f>IF(C72=0,0,E72/C72)</f>
        <v>5.4899969864799697E-2</v>
      </c>
    </row>
    <row r="73" spans="1:6" ht="24" customHeight="1" x14ac:dyDescent="0.25">
      <c r="A73" s="21"/>
      <c r="B73" s="26" t="s">
        <v>67</v>
      </c>
      <c r="C73" s="27">
        <f>SUM(C70:C72)</f>
        <v>8015688</v>
      </c>
      <c r="D73" s="27">
        <f>SUM(D70:D72)</f>
        <v>10631335</v>
      </c>
      <c r="E73" s="27">
        <f>D73-C73</f>
        <v>2615647</v>
      </c>
      <c r="F73" s="28">
        <f>IF(C73=0,0,E73/C73)</f>
        <v>0.3263159693840379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103125741</v>
      </c>
      <c r="D75" s="27">
        <f>D56+D65+D67+D73</f>
        <v>112654038</v>
      </c>
      <c r="E75" s="27">
        <f>D75-C75</f>
        <v>9528297</v>
      </c>
      <c r="F75" s="28">
        <f>IF(C75=0,0,E75/C75)</f>
        <v>9.2394943373061436E-2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FILING&amp;RBRISTOL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491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494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319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495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496</v>
      </c>
      <c r="C11" s="51">
        <v>154305654</v>
      </c>
      <c r="D11" s="51">
        <v>155158705</v>
      </c>
      <c r="E11" s="51">
        <v>160223250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7156743</v>
      </c>
      <c r="D12" s="49">
        <v>8394129</v>
      </c>
      <c r="E12" s="49">
        <v>7071296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161462397</v>
      </c>
      <c r="D13" s="51">
        <f>+D11+D12</f>
        <v>163552834</v>
      </c>
      <c r="E13" s="51">
        <f>+E11+E12</f>
        <v>167294546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160538371</v>
      </c>
      <c r="D14" s="49">
        <v>164004899</v>
      </c>
      <c r="E14" s="49">
        <v>167392904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924026</v>
      </c>
      <c r="D15" s="51">
        <f>+D13-D14</f>
        <v>-452065</v>
      </c>
      <c r="E15" s="51">
        <f>+E13-E14</f>
        <v>-98358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646372</v>
      </c>
      <c r="D16" s="49">
        <v>2170216</v>
      </c>
      <c r="E16" s="49">
        <v>1298723</v>
      </c>
      <c r="F16" s="70"/>
    </row>
    <row r="17" spans="1:14" s="56" customFormat="1" ht="24" customHeight="1" x14ac:dyDescent="0.2">
      <c r="A17" s="44">
        <v>7</v>
      </c>
      <c r="B17" s="45" t="s">
        <v>322</v>
      </c>
      <c r="C17" s="51">
        <f>C15+C16</f>
        <v>1570398</v>
      </c>
      <c r="D17" s="51">
        <f>D15+D16</f>
        <v>1718151</v>
      </c>
      <c r="E17" s="51">
        <f>E15+E16</f>
        <v>1200365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497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498</v>
      </c>
      <c r="C20" s="169">
        <f>IF(+C27=0,0,+C24/+C27)</f>
        <v>5.7000371152038046E-3</v>
      </c>
      <c r="D20" s="169">
        <f>IF(+D27=0,0,+D24/+D27)</f>
        <v>-2.7278341787699417E-3</v>
      </c>
      <c r="E20" s="169">
        <f>IF(+E27=0,0,+E24/+E27)</f>
        <v>-5.8340407409740653E-4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499</v>
      </c>
      <c r="C21" s="169">
        <f>IF(+C27=0,0,+C26/+C27)</f>
        <v>3.9872735077027205E-3</v>
      </c>
      <c r="D21" s="169">
        <f>IF(+D27=0,0,+D26/+D27)</f>
        <v>1.3095438443837475E-2</v>
      </c>
      <c r="E21" s="169">
        <f>IF(+E27=0,0,+E26/+E27)</f>
        <v>7.7032909303158476E-3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500</v>
      </c>
      <c r="C22" s="169">
        <f>IF(+C27=0,0,+C28/+C27)</f>
        <v>9.687310622906526E-3</v>
      </c>
      <c r="D22" s="169">
        <f>IF(+D27=0,0,+D28/+D27)</f>
        <v>1.0367604265067533E-2</v>
      </c>
      <c r="E22" s="169">
        <f>IF(+E27=0,0,+E28/+E27)</f>
        <v>7.1198868562184414E-3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924026</v>
      </c>
      <c r="D24" s="51">
        <f>+D15</f>
        <v>-452065</v>
      </c>
      <c r="E24" s="51">
        <f>+E15</f>
        <v>-98358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161462397</v>
      </c>
      <c r="D25" s="51">
        <f>+D13</f>
        <v>163552834</v>
      </c>
      <c r="E25" s="51">
        <f>+E13</f>
        <v>167294546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646372</v>
      </c>
      <c r="D26" s="51">
        <f>+D16</f>
        <v>2170216</v>
      </c>
      <c r="E26" s="51">
        <f>+E16</f>
        <v>1298723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327</v>
      </c>
      <c r="C27" s="51">
        <f>SUM(C25:C26)</f>
        <v>162108769</v>
      </c>
      <c r="D27" s="51">
        <f>SUM(D25:D26)</f>
        <v>165723050</v>
      </c>
      <c r="E27" s="51">
        <f>SUM(E25:E26)</f>
        <v>168593269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322</v>
      </c>
      <c r="C28" s="51">
        <f>+C17</f>
        <v>1570398</v>
      </c>
      <c r="D28" s="51">
        <f>+D17</f>
        <v>1718151</v>
      </c>
      <c r="E28" s="51">
        <f>+E17</f>
        <v>1200365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501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502</v>
      </c>
      <c r="C31" s="51">
        <v>2731601</v>
      </c>
      <c r="D31" s="51">
        <v>2677931</v>
      </c>
      <c r="E31" s="52">
        <v>1127653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503</v>
      </c>
      <c r="C32" s="51">
        <v>11328776</v>
      </c>
      <c r="D32" s="51">
        <v>11495414</v>
      </c>
      <c r="E32" s="51">
        <v>11405827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504</v>
      </c>
      <c r="C33" s="51">
        <v>2617961</v>
      </c>
      <c r="D33" s="51">
        <f>+D32-C32</f>
        <v>166638</v>
      </c>
      <c r="E33" s="51">
        <f>+E32-D32</f>
        <v>-89587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505</v>
      </c>
      <c r="C34" s="171">
        <v>1.3005</v>
      </c>
      <c r="D34" s="171">
        <f>IF(C32=0,0,+D33/C32)</f>
        <v>1.4709267797333092E-2</v>
      </c>
      <c r="E34" s="171">
        <f>IF(D32=0,0,+E33/D32)</f>
        <v>-7.7932817382653638E-3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333</v>
      </c>
      <c r="B36" s="16" t="s">
        <v>355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356</v>
      </c>
      <c r="C38" s="269">
        <f>IF(+C40=0,0,+C39/+C40)</f>
        <v>1.4786110793524716</v>
      </c>
      <c r="D38" s="269">
        <f>IF(+D40=0,0,+D39/+D40)</f>
        <v>1.2948155503330325</v>
      </c>
      <c r="E38" s="269">
        <f>IF(+E40=0,0,+E39/+E40)</f>
        <v>1.4812989374392491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36043465</v>
      </c>
      <c r="D39" s="270">
        <v>40184352</v>
      </c>
      <c r="E39" s="270">
        <v>44529831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24376569</v>
      </c>
      <c r="D40" s="270">
        <v>31034808</v>
      </c>
      <c r="E40" s="270">
        <v>30061340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357</v>
      </c>
      <c r="C42" s="271">
        <f>IF((C48/365)=0,0,+C45/(C48/365))</f>
        <v>28.532142442137186</v>
      </c>
      <c r="D42" s="271">
        <f>IF((D48/365)=0,0,+D45/(D48/365))</f>
        <v>21.197783353509475</v>
      </c>
      <c r="E42" s="271">
        <f>IF((E48/365)=0,0,+E45/(E48/365))</f>
        <v>29.641726050842021</v>
      </c>
    </row>
    <row r="43" spans="1:14" ht="24" customHeight="1" x14ac:dyDescent="0.2">
      <c r="A43" s="17">
        <v>5</v>
      </c>
      <c r="B43" s="188" t="s">
        <v>16</v>
      </c>
      <c r="C43" s="272">
        <v>11995841</v>
      </c>
      <c r="D43" s="272">
        <v>9063284</v>
      </c>
      <c r="E43" s="272">
        <v>12928177</v>
      </c>
    </row>
    <row r="44" spans="1:14" ht="24" customHeight="1" x14ac:dyDescent="0.2">
      <c r="A44" s="17">
        <v>6</v>
      </c>
      <c r="B44" s="273" t="s">
        <v>17</v>
      </c>
      <c r="C44" s="274">
        <v>96165</v>
      </c>
      <c r="D44" s="274">
        <v>96343</v>
      </c>
      <c r="E44" s="274">
        <v>96452</v>
      </c>
    </row>
    <row r="45" spans="1:14" ht="24" customHeight="1" x14ac:dyDescent="0.2">
      <c r="A45" s="17">
        <v>7</v>
      </c>
      <c r="B45" s="45" t="s">
        <v>358</v>
      </c>
      <c r="C45" s="270">
        <f>+C43+C44</f>
        <v>12092006</v>
      </c>
      <c r="D45" s="270">
        <f>+D43+D44</f>
        <v>9159627</v>
      </c>
      <c r="E45" s="270">
        <f>+E43+E44</f>
        <v>13024629</v>
      </c>
    </row>
    <row r="46" spans="1:14" ht="24" customHeight="1" x14ac:dyDescent="0.2">
      <c r="A46" s="17">
        <v>8</v>
      </c>
      <c r="B46" s="45" t="s">
        <v>336</v>
      </c>
      <c r="C46" s="270">
        <f>+C14</f>
        <v>160538371</v>
      </c>
      <c r="D46" s="270">
        <f>+D14</f>
        <v>164004899</v>
      </c>
      <c r="E46" s="270">
        <f>+E14</f>
        <v>167392904</v>
      </c>
    </row>
    <row r="47" spans="1:14" ht="24" customHeight="1" x14ac:dyDescent="0.2">
      <c r="A47" s="17">
        <v>9</v>
      </c>
      <c r="B47" s="45" t="s">
        <v>359</v>
      </c>
      <c r="C47" s="270">
        <v>5850296</v>
      </c>
      <c r="D47" s="270">
        <v>6287283</v>
      </c>
      <c r="E47" s="270">
        <v>7011232</v>
      </c>
    </row>
    <row r="48" spans="1:14" ht="24" customHeight="1" x14ac:dyDescent="0.2">
      <c r="A48" s="17">
        <v>10</v>
      </c>
      <c r="B48" s="45" t="s">
        <v>360</v>
      </c>
      <c r="C48" s="270">
        <f>+C46-C47</f>
        <v>154688075</v>
      </c>
      <c r="D48" s="270">
        <f>+D46-D47</f>
        <v>157717616</v>
      </c>
      <c r="E48" s="270">
        <f>+E46-E47</f>
        <v>160381672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361</v>
      </c>
      <c r="C50" s="278">
        <f>IF((C55/365)=0,0,+C54/(C55/365))</f>
        <v>43.949387914197885</v>
      </c>
      <c r="D50" s="278">
        <f>IF((D55/365)=0,0,+D54/(D55/365))</f>
        <v>62.342527381882952</v>
      </c>
      <c r="E50" s="278">
        <f>IF((E55/365)=0,0,+E54/(E55/365))</f>
        <v>51.120534535406073</v>
      </c>
    </row>
    <row r="51" spans="1:5" ht="24" customHeight="1" x14ac:dyDescent="0.2">
      <c r="A51" s="17">
        <v>12</v>
      </c>
      <c r="B51" s="188" t="s">
        <v>362</v>
      </c>
      <c r="C51" s="279">
        <v>18907341</v>
      </c>
      <c r="D51" s="279">
        <v>24121394</v>
      </c>
      <c r="E51" s="279">
        <v>20476194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2379937</v>
      </c>
      <c r="E52" s="270">
        <v>1964075</v>
      </c>
    </row>
    <row r="53" spans="1:5" ht="24" customHeight="1" x14ac:dyDescent="0.2">
      <c r="A53" s="17">
        <v>14</v>
      </c>
      <c r="B53" s="188" t="s">
        <v>49</v>
      </c>
      <c r="C53" s="270">
        <v>327508</v>
      </c>
      <c r="D53" s="270">
        <v>0</v>
      </c>
      <c r="E53" s="270">
        <v>0</v>
      </c>
    </row>
    <row r="54" spans="1:5" ht="32.25" customHeight="1" x14ac:dyDescent="0.2">
      <c r="A54" s="17">
        <v>15</v>
      </c>
      <c r="B54" s="45" t="s">
        <v>363</v>
      </c>
      <c r="C54" s="280">
        <f>+C51+C52-C53</f>
        <v>18579833</v>
      </c>
      <c r="D54" s="280">
        <f>+D51+D52-D53</f>
        <v>26501331</v>
      </c>
      <c r="E54" s="280">
        <f>+E51+E52-E53</f>
        <v>22440269</v>
      </c>
    </row>
    <row r="55" spans="1:5" ht="24" customHeight="1" x14ac:dyDescent="0.2">
      <c r="A55" s="17">
        <v>16</v>
      </c>
      <c r="B55" s="45" t="s">
        <v>75</v>
      </c>
      <c r="C55" s="270">
        <f>+C11</f>
        <v>154305654</v>
      </c>
      <c r="D55" s="270">
        <f>+D11</f>
        <v>155158705</v>
      </c>
      <c r="E55" s="270">
        <f>+E11</f>
        <v>160223250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364</v>
      </c>
      <c r="C57" s="283">
        <f>IF((C61/365)=0,0,+C58/(C61/365))</f>
        <v>57.518639914550619</v>
      </c>
      <c r="D57" s="283">
        <f>IF((D61/365)=0,0,+D58/(D61/365))</f>
        <v>71.82269937430452</v>
      </c>
      <c r="E57" s="283">
        <f>IF((E61/365)=0,0,+E58/(E61/365))</f>
        <v>68.414233142550103</v>
      </c>
    </row>
    <row r="58" spans="1:5" ht="24" customHeight="1" x14ac:dyDescent="0.2">
      <c r="A58" s="17">
        <v>18</v>
      </c>
      <c r="B58" s="45" t="s">
        <v>54</v>
      </c>
      <c r="C58" s="281">
        <f>+C40</f>
        <v>24376569</v>
      </c>
      <c r="D58" s="281">
        <f>+D40</f>
        <v>31034808</v>
      </c>
      <c r="E58" s="281">
        <f>+E40</f>
        <v>30061340</v>
      </c>
    </row>
    <row r="59" spans="1:5" ht="24" customHeight="1" x14ac:dyDescent="0.2">
      <c r="A59" s="17">
        <v>19</v>
      </c>
      <c r="B59" s="45" t="s">
        <v>336</v>
      </c>
      <c r="C59" s="281">
        <f t="shared" ref="C59:E60" si="0">+C46</f>
        <v>160538371</v>
      </c>
      <c r="D59" s="281">
        <f t="shared" si="0"/>
        <v>164004899</v>
      </c>
      <c r="E59" s="281">
        <f t="shared" si="0"/>
        <v>167392904</v>
      </c>
    </row>
    <row r="60" spans="1:5" ht="24" customHeight="1" x14ac:dyDescent="0.2">
      <c r="A60" s="17">
        <v>20</v>
      </c>
      <c r="B60" s="45" t="s">
        <v>359</v>
      </c>
      <c r="C60" s="176">
        <f t="shared" si="0"/>
        <v>5850296</v>
      </c>
      <c r="D60" s="176">
        <f t="shared" si="0"/>
        <v>6287283</v>
      </c>
      <c r="E60" s="176">
        <f t="shared" si="0"/>
        <v>7011232</v>
      </c>
    </row>
    <row r="61" spans="1:5" ht="24" customHeight="1" x14ac:dyDescent="0.2">
      <c r="A61" s="17">
        <v>21</v>
      </c>
      <c r="B61" s="45" t="s">
        <v>365</v>
      </c>
      <c r="C61" s="281">
        <f>+C59-C60</f>
        <v>154688075</v>
      </c>
      <c r="D61" s="281">
        <f>+D59-D60</f>
        <v>157717616</v>
      </c>
      <c r="E61" s="281">
        <f>+E59-E60</f>
        <v>160381672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354</v>
      </c>
      <c r="B63" s="16" t="s">
        <v>367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368</v>
      </c>
      <c r="C65" s="284">
        <f>IF(C67=0,0,(C66/C67)*100)</f>
        <v>10.252660450113817</v>
      </c>
      <c r="D65" s="284">
        <f>IF(D67=0,0,(D66/D67)*100)</f>
        <v>9.8450076488115652</v>
      </c>
      <c r="E65" s="284">
        <f>IF(E67=0,0,(E66/E67)*100)</f>
        <v>9.3010632591085649</v>
      </c>
    </row>
    <row r="66" spans="1:5" ht="24" customHeight="1" x14ac:dyDescent="0.2">
      <c r="A66" s="17">
        <v>2</v>
      </c>
      <c r="B66" s="45" t="s">
        <v>67</v>
      </c>
      <c r="C66" s="281">
        <f>+C32</f>
        <v>11328776</v>
      </c>
      <c r="D66" s="281">
        <f>+D32</f>
        <v>11495414</v>
      </c>
      <c r="E66" s="281">
        <f>+E32</f>
        <v>11405827</v>
      </c>
    </row>
    <row r="67" spans="1:5" ht="24" customHeight="1" x14ac:dyDescent="0.2">
      <c r="A67" s="17">
        <v>3</v>
      </c>
      <c r="B67" s="45" t="s">
        <v>43</v>
      </c>
      <c r="C67" s="281">
        <v>110495964</v>
      </c>
      <c r="D67" s="281">
        <v>116763891</v>
      </c>
      <c r="E67" s="281">
        <v>122629281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369</v>
      </c>
      <c r="C69" s="284">
        <f>IF(C75=0,0,(C72/C75)*100)</f>
        <v>13.015117855515431</v>
      </c>
      <c r="D69" s="284">
        <f>IF(D75=0,0,(D72/D75)*100)</f>
        <v>12.829571294229392</v>
      </c>
      <c r="E69" s="284">
        <f>IF(E75=0,0,(E72/E75)*100)</f>
        <v>13.59439528485091</v>
      </c>
    </row>
    <row r="70" spans="1:5" ht="24" customHeight="1" x14ac:dyDescent="0.2">
      <c r="A70" s="17">
        <v>5</v>
      </c>
      <c r="B70" s="45" t="s">
        <v>370</v>
      </c>
      <c r="C70" s="281">
        <f>+C28</f>
        <v>1570398</v>
      </c>
      <c r="D70" s="281">
        <f>+D28</f>
        <v>1718151</v>
      </c>
      <c r="E70" s="281">
        <f>+E28</f>
        <v>1200365</v>
      </c>
    </row>
    <row r="71" spans="1:5" ht="24" customHeight="1" x14ac:dyDescent="0.2">
      <c r="A71" s="17">
        <v>6</v>
      </c>
      <c r="B71" s="45" t="s">
        <v>359</v>
      </c>
      <c r="C71" s="176">
        <f>+C47</f>
        <v>5850296</v>
      </c>
      <c r="D71" s="176">
        <f>+D47</f>
        <v>6287283</v>
      </c>
      <c r="E71" s="176">
        <f>+E47</f>
        <v>7011232</v>
      </c>
    </row>
    <row r="72" spans="1:5" ht="24" customHeight="1" x14ac:dyDescent="0.2">
      <c r="A72" s="17">
        <v>7</v>
      </c>
      <c r="B72" s="45" t="s">
        <v>371</v>
      </c>
      <c r="C72" s="281">
        <f>+C70+C71</f>
        <v>7420694</v>
      </c>
      <c r="D72" s="281">
        <f>+D70+D71</f>
        <v>8005434</v>
      </c>
      <c r="E72" s="281">
        <f>+E70+E71</f>
        <v>8211597</v>
      </c>
    </row>
    <row r="73" spans="1:5" ht="24" customHeight="1" x14ac:dyDescent="0.2">
      <c r="A73" s="17">
        <v>8</v>
      </c>
      <c r="B73" s="45" t="s">
        <v>54</v>
      </c>
      <c r="C73" s="270">
        <f>+C40</f>
        <v>24376569</v>
      </c>
      <c r="D73" s="270">
        <f>+D40</f>
        <v>31034808</v>
      </c>
      <c r="E73" s="270">
        <f>+E40</f>
        <v>30061340</v>
      </c>
    </row>
    <row r="74" spans="1:5" ht="24" customHeight="1" x14ac:dyDescent="0.2">
      <c r="A74" s="17">
        <v>9</v>
      </c>
      <c r="B74" s="45" t="s">
        <v>58</v>
      </c>
      <c r="C74" s="281">
        <v>32639388</v>
      </c>
      <c r="D74" s="281">
        <v>31363489</v>
      </c>
      <c r="E74" s="281">
        <v>30342943</v>
      </c>
    </row>
    <row r="75" spans="1:5" ht="24" customHeight="1" x14ac:dyDescent="0.2">
      <c r="A75" s="17">
        <v>10</v>
      </c>
      <c r="B75" s="285" t="s">
        <v>372</v>
      </c>
      <c r="C75" s="270">
        <f>+C73+C74</f>
        <v>57015957</v>
      </c>
      <c r="D75" s="270">
        <f>+D73+D74</f>
        <v>62398297</v>
      </c>
      <c r="E75" s="270">
        <f>+E73+E74</f>
        <v>60404283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373</v>
      </c>
      <c r="C77" s="286">
        <f>IF(C80=0,0,(C78/C80)*100)</f>
        <v>74.234139046606543</v>
      </c>
      <c r="D77" s="286">
        <f>IF(D80=0,0,(D78/D80)*100)</f>
        <v>73.178468893615872</v>
      </c>
      <c r="E77" s="286">
        <f>IF(E80=0,0,(E78/E80)*100)</f>
        <v>72.679849011120567</v>
      </c>
    </row>
    <row r="78" spans="1:5" ht="24" customHeight="1" x14ac:dyDescent="0.2">
      <c r="A78" s="17">
        <v>12</v>
      </c>
      <c r="B78" s="45" t="s">
        <v>58</v>
      </c>
      <c r="C78" s="270">
        <f>+C74</f>
        <v>32639388</v>
      </c>
      <c r="D78" s="270">
        <f>+D74</f>
        <v>31363489</v>
      </c>
      <c r="E78" s="270">
        <f>+E74</f>
        <v>30342943</v>
      </c>
    </row>
    <row r="79" spans="1:5" ht="24" customHeight="1" x14ac:dyDescent="0.2">
      <c r="A79" s="17">
        <v>13</v>
      </c>
      <c r="B79" s="45" t="s">
        <v>67</v>
      </c>
      <c r="C79" s="270">
        <f>+C32</f>
        <v>11328776</v>
      </c>
      <c r="D79" s="270">
        <f>+D32</f>
        <v>11495414</v>
      </c>
      <c r="E79" s="270">
        <f>+E32</f>
        <v>11405827</v>
      </c>
    </row>
    <row r="80" spans="1:5" ht="24" customHeight="1" x14ac:dyDescent="0.2">
      <c r="A80" s="17">
        <v>14</v>
      </c>
      <c r="B80" s="45" t="s">
        <v>374</v>
      </c>
      <c r="C80" s="270">
        <f>+C78+C79</f>
        <v>43968164</v>
      </c>
      <c r="D80" s="270">
        <f>+D78+D79</f>
        <v>42858903</v>
      </c>
      <c r="E80" s="270">
        <f>+E78+E79</f>
        <v>41748770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/>
  <headerFooter>
    <oddHeader>&amp;L&amp;8OFFICE OF HEALTH CARE ACCESS&amp;C&amp;8TWELVE MONTHS ACTUAL FILING&amp;R&amp;8BRISTOL HOSPITAL &amp;AMP; HEALTH CARE GROUP,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506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507</v>
      </c>
      <c r="E6" s="126" t="s">
        <v>508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509</v>
      </c>
      <c r="I7" s="126" t="s">
        <v>509</v>
      </c>
      <c r="J7" s="125"/>
      <c r="K7" s="289"/>
    </row>
    <row r="8" spans="1:11" ht="15.75" customHeight="1" x14ac:dyDescent="0.25">
      <c r="A8" s="287"/>
      <c r="B8" s="126"/>
      <c r="C8" s="126" t="s">
        <v>510</v>
      </c>
      <c r="D8" s="126" t="s">
        <v>511</v>
      </c>
      <c r="E8" s="126" t="s">
        <v>512</v>
      </c>
      <c r="F8" s="126" t="s">
        <v>513</v>
      </c>
      <c r="G8" s="126" t="s">
        <v>514</v>
      </c>
      <c r="H8" s="126" t="s">
        <v>515</v>
      </c>
      <c r="I8" s="126" t="s">
        <v>516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517</v>
      </c>
      <c r="D9" s="292" t="s">
        <v>518</v>
      </c>
      <c r="E9" s="292" t="s">
        <v>519</v>
      </c>
      <c r="F9" s="292" t="s">
        <v>520</v>
      </c>
      <c r="G9" s="292" t="s">
        <v>521</v>
      </c>
      <c r="H9" s="292" t="s">
        <v>520</v>
      </c>
      <c r="I9" s="292" t="s">
        <v>521</v>
      </c>
      <c r="J9" s="125"/>
      <c r="K9" s="56"/>
    </row>
    <row r="10" spans="1:11" ht="15.75" customHeight="1" x14ac:dyDescent="0.25">
      <c r="A10" s="293" t="s">
        <v>519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522</v>
      </c>
      <c r="C11" s="296">
        <v>19079</v>
      </c>
      <c r="D11" s="296">
        <v>5237</v>
      </c>
      <c r="E11" s="296">
        <v>5246</v>
      </c>
      <c r="F11" s="297">
        <v>78</v>
      </c>
      <c r="G11" s="297">
        <v>86</v>
      </c>
      <c r="H11" s="298">
        <f>IF(F11=0,0,$C11/(F11*365))</f>
        <v>0.67014401123990164</v>
      </c>
      <c r="I11" s="298">
        <f>IF(G11=0,0,$C11/(G11*365))</f>
        <v>0.60780503345014336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523</v>
      </c>
      <c r="C13" s="296">
        <v>2471</v>
      </c>
      <c r="D13" s="296">
        <v>240</v>
      </c>
      <c r="E13" s="296">
        <v>0</v>
      </c>
      <c r="F13" s="297">
        <v>14</v>
      </c>
      <c r="G13" s="297">
        <v>14</v>
      </c>
      <c r="H13" s="298">
        <f>IF(F13=0,0,$C13/(F13*365))</f>
        <v>0.48356164383561645</v>
      </c>
      <c r="I13" s="298">
        <f>IF(G13=0,0,$C13/(G13*365))</f>
        <v>0.48356164383561645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524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525</v>
      </c>
      <c r="C16" s="296">
        <v>4604</v>
      </c>
      <c r="D16" s="296">
        <v>1028</v>
      </c>
      <c r="E16" s="296">
        <v>1026</v>
      </c>
      <c r="F16" s="297">
        <v>14</v>
      </c>
      <c r="G16" s="297">
        <v>16</v>
      </c>
      <c r="H16" s="298">
        <f t="shared" si="0"/>
        <v>0.9009784735812133</v>
      </c>
      <c r="I16" s="298">
        <f t="shared" si="0"/>
        <v>0.7883561643835616</v>
      </c>
      <c r="J16" s="125"/>
      <c r="K16" s="299"/>
    </row>
    <row r="17" spans="1:11" ht="15.75" customHeight="1" x14ac:dyDescent="0.25">
      <c r="A17" s="293"/>
      <c r="B17" s="135" t="s">
        <v>526</v>
      </c>
      <c r="C17" s="300">
        <f>SUM(C15:C16)</f>
        <v>4604</v>
      </c>
      <c r="D17" s="300">
        <f>SUM(D15:D16)</f>
        <v>1028</v>
      </c>
      <c r="E17" s="300">
        <f>SUM(E15:E16)</f>
        <v>1026</v>
      </c>
      <c r="F17" s="300">
        <f>SUM(F15:F16)</f>
        <v>14</v>
      </c>
      <c r="G17" s="300">
        <f>SUM(G15:G16)</f>
        <v>16</v>
      </c>
      <c r="H17" s="301">
        <f t="shared" si="0"/>
        <v>0.9009784735812133</v>
      </c>
      <c r="I17" s="301">
        <f t="shared" si="0"/>
        <v>0.7883561643835616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527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528</v>
      </c>
      <c r="C21" s="296">
        <v>1616</v>
      </c>
      <c r="D21" s="296">
        <v>645</v>
      </c>
      <c r="E21" s="296">
        <v>645</v>
      </c>
      <c r="F21" s="297">
        <v>15</v>
      </c>
      <c r="G21" s="297">
        <v>15</v>
      </c>
      <c r="H21" s="298">
        <f>IF(F21=0,0,$C21/(F21*365))</f>
        <v>0.29515981735159819</v>
      </c>
      <c r="I21" s="298">
        <f>IF(G21=0,0,$C21/(G21*365))</f>
        <v>0.29515981735159819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529</v>
      </c>
      <c r="C23" s="296">
        <v>1519</v>
      </c>
      <c r="D23" s="296">
        <v>612</v>
      </c>
      <c r="E23" s="296">
        <v>604</v>
      </c>
      <c r="F23" s="297">
        <v>8</v>
      </c>
      <c r="G23" s="297">
        <v>20</v>
      </c>
      <c r="H23" s="298">
        <f>IF(F23=0,0,$C23/(F23*365))</f>
        <v>0.52020547945205475</v>
      </c>
      <c r="I23" s="298">
        <f>IF(G23=0,0,$C23/(G23*365))</f>
        <v>0.20808219178082191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307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530</v>
      </c>
      <c r="C27" s="296">
        <v>94</v>
      </c>
      <c r="D27" s="296">
        <v>43</v>
      </c>
      <c r="E27" s="296">
        <v>42</v>
      </c>
      <c r="F27" s="297">
        <v>3</v>
      </c>
      <c r="G27" s="297">
        <v>3</v>
      </c>
      <c r="H27" s="298">
        <f>IF(F27=0,0,$C27/(F27*365))</f>
        <v>8.5844748858447492E-2</v>
      </c>
      <c r="I27" s="298">
        <f>IF(G27=0,0,$C27/(G27*365))</f>
        <v>8.5844748858447492E-2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531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532</v>
      </c>
      <c r="C31" s="300">
        <f>SUM(C10:C29)-C17-C23</f>
        <v>27864</v>
      </c>
      <c r="D31" s="300">
        <f>SUM(D10:D29)-D13-D17-D23</f>
        <v>6953</v>
      </c>
      <c r="E31" s="300">
        <f>SUM(E10:E29)-E17-E23</f>
        <v>6959</v>
      </c>
      <c r="F31" s="300">
        <f>SUM(F10:F29)-F17-F23</f>
        <v>124</v>
      </c>
      <c r="G31" s="300">
        <f>SUM(G10:G29)-G17-G23</f>
        <v>134</v>
      </c>
      <c r="H31" s="301">
        <f>IF(F31=0,0,$C31/(F31*365))</f>
        <v>0.61564295183384887</v>
      </c>
      <c r="I31" s="301">
        <f>IF(G31=0,0,$C31/(G31*365))</f>
        <v>0.5696994479656512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533</v>
      </c>
      <c r="C33" s="300">
        <f>SUM(C10:C29)-C17</f>
        <v>29383</v>
      </c>
      <c r="D33" s="300">
        <f>SUM(D10:D29)-D13-D17</f>
        <v>7565</v>
      </c>
      <c r="E33" s="300">
        <f>SUM(E10:E29)-E17</f>
        <v>7563</v>
      </c>
      <c r="F33" s="300">
        <f>SUM(F10:F29)-F17</f>
        <v>132</v>
      </c>
      <c r="G33" s="300">
        <f>SUM(G10:G29)-G17</f>
        <v>154</v>
      </c>
      <c r="H33" s="301">
        <f>IF(F33=0,0,$C33/(F33*365))</f>
        <v>0.60985886259858868</v>
      </c>
      <c r="I33" s="301">
        <f>IF(G33=0,0,$C33/(G33*365))</f>
        <v>0.52273616794164735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534</v>
      </c>
      <c r="C36" s="300">
        <f t="shared" ref="C36:I36" si="1">+C33</f>
        <v>29383</v>
      </c>
      <c r="D36" s="300">
        <f t="shared" si="1"/>
        <v>7565</v>
      </c>
      <c r="E36" s="300">
        <f t="shared" si="1"/>
        <v>7563</v>
      </c>
      <c r="F36" s="300">
        <f t="shared" si="1"/>
        <v>132</v>
      </c>
      <c r="G36" s="300">
        <f t="shared" si="1"/>
        <v>154</v>
      </c>
      <c r="H36" s="301">
        <f t="shared" si="1"/>
        <v>0.60985886259858868</v>
      </c>
      <c r="I36" s="301">
        <f t="shared" si="1"/>
        <v>0.52273616794164735</v>
      </c>
      <c r="J36" s="125"/>
      <c r="K36" s="299"/>
    </row>
    <row r="37" spans="1:11" ht="15.75" customHeight="1" x14ac:dyDescent="0.25">
      <c r="A37" s="293"/>
      <c r="B37" s="135" t="s">
        <v>535</v>
      </c>
      <c r="C37" s="300">
        <v>28670</v>
      </c>
      <c r="D37" s="300">
        <v>7316</v>
      </c>
      <c r="E37" s="300">
        <v>6617</v>
      </c>
      <c r="F37" s="302">
        <v>132</v>
      </c>
      <c r="G37" s="302">
        <v>154</v>
      </c>
      <c r="H37" s="301">
        <f>IF(F37=0,0,$C37/(F37*365))</f>
        <v>0.59506019095060192</v>
      </c>
      <c r="I37" s="301">
        <f>IF(G37=0,0,$C37/(G37*365))</f>
        <v>0.51005159224337304</v>
      </c>
      <c r="J37" s="125"/>
      <c r="K37" s="299"/>
    </row>
    <row r="38" spans="1:11" ht="15.75" customHeight="1" x14ac:dyDescent="0.25">
      <c r="A38" s="293"/>
      <c r="B38" s="135" t="s">
        <v>536</v>
      </c>
      <c r="C38" s="300">
        <f t="shared" ref="C38:I38" si="2">+C36-C37</f>
        <v>713</v>
      </c>
      <c r="D38" s="300">
        <f t="shared" si="2"/>
        <v>249</v>
      </c>
      <c r="E38" s="300">
        <f t="shared" si="2"/>
        <v>946</v>
      </c>
      <c r="F38" s="300">
        <f t="shared" si="2"/>
        <v>0</v>
      </c>
      <c r="G38" s="300">
        <f t="shared" si="2"/>
        <v>0</v>
      </c>
      <c r="H38" s="301">
        <f t="shared" si="2"/>
        <v>1.4798671647986761E-2</v>
      </c>
      <c r="I38" s="301">
        <f t="shared" si="2"/>
        <v>1.2684575698274303E-2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537</v>
      </c>
      <c r="C40" s="148">
        <f t="shared" ref="C40:I40" si="3">IF(C37=0,0,C38/C37)</f>
        <v>2.4869201255667946E-2</v>
      </c>
      <c r="D40" s="148">
        <f t="shared" si="3"/>
        <v>3.4034991798797154E-2</v>
      </c>
      <c r="E40" s="148">
        <f t="shared" si="3"/>
        <v>0.14296508991990328</v>
      </c>
      <c r="F40" s="148">
        <f t="shared" si="3"/>
        <v>0</v>
      </c>
      <c r="G40" s="148">
        <f t="shared" si="3"/>
        <v>0</v>
      </c>
      <c r="H40" s="148">
        <f t="shared" si="3"/>
        <v>2.4869201255668019E-2</v>
      </c>
      <c r="I40" s="148">
        <f t="shared" si="3"/>
        <v>2.4869201255667897E-2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538</v>
      </c>
      <c r="C42" s="295">
        <v>154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539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519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4" t="s">
        <v>540</v>
      </c>
      <c r="B46" s="305"/>
      <c r="C46" s="125"/>
      <c r="D46" s="125"/>
      <c r="E46" s="125"/>
      <c r="F46" s="125"/>
      <c r="G46" s="125"/>
      <c r="H46" s="125"/>
      <c r="I46" s="125"/>
      <c r="J46" s="125"/>
      <c r="K46" s="299"/>
    </row>
    <row r="47" spans="1:11" ht="15.75" customHeight="1" x14ac:dyDescent="0.25">
      <c r="A47" s="306"/>
      <c r="B47" s="305"/>
      <c r="C47" s="305"/>
      <c r="D47" s="305"/>
      <c r="E47" s="305"/>
      <c r="F47" s="305"/>
      <c r="G47" s="305"/>
      <c r="H47" s="305"/>
      <c r="I47" s="305"/>
    </row>
    <row r="48" spans="1:11" ht="15" customHeight="1" x14ac:dyDescent="0.25">
      <c r="B48" s="26"/>
      <c r="C48" s="48"/>
    </row>
  </sheetData>
  <printOptions horizontalCentered="1" gridLines="1"/>
  <pageMargins left="0.5" right="0.5" top="0.5" bottom="0.5" header="0.25" footer="0.25"/>
  <pageSetup paperSize="9" scale="74" orientation="landscape" horizontalDpi="1200" verticalDpi="1200" r:id="rId1"/>
  <headerFooter>
    <oddHeader>&amp;LOFFICE OF HEALTH CARE ACCESS&amp;CTWELVE MONTHS ACTUAL FILING&amp;RBRISTOL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541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542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543</v>
      </c>
      <c r="C12" s="296">
        <v>3173</v>
      </c>
      <c r="D12" s="296">
        <v>3489</v>
      </c>
      <c r="E12" s="296">
        <f>+D12-C12</f>
        <v>316</v>
      </c>
      <c r="F12" s="316">
        <f>IF(C12=0,0,+E12/C12)</f>
        <v>9.9590293098014496E-2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544</v>
      </c>
      <c r="C13" s="296">
        <v>3297</v>
      </c>
      <c r="D13" s="296">
        <v>2792</v>
      </c>
      <c r="E13" s="296">
        <f>+D13-C13</f>
        <v>-505</v>
      </c>
      <c r="F13" s="316">
        <f>IF(C13=0,0,+E13/C13)</f>
        <v>-0.15316954807400668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545</v>
      </c>
      <c r="C14" s="296">
        <v>9630</v>
      </c>
      <c r="D14" s="296">
        <v>4028</v>
      </c>
      <c r="E14" s="296">
        <f>+D14-C14</f>
        <v>-5602</v>
      </c>
      <c r="F14" s="316">
        <f>IF(C14=0,0,+E14/C14)</f>
        <v>-0.58172377985462098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546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547</v>
      </c>
      <c r="C16" s="300">
        <f>SUM(C12:C15)</f>
        <v>16100</v>
      </c>
      <c r="D16" s="300">
        <f>SUM(D12:D15)</f>
        <v>10309</v>
      </c>
      <c r="E16" s="300">
        <f>+D16-C16</f>
        <v>-5791</v>
      </c>
      <c r="F16" s="309">
        <f>IF(C16=0,0,+E16/C16)</f>
        <v>-0.3596894409937888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548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543</v>
      </c>
      <c r="C19" s="296">
        <v>343</v>
      </c>
      <c r="D19" s="296">
        <v>314</v>
      </c>
      <c r="E19" s="296">
        <f>+D19-C19</f>
        <v>-29</v>
      </c>
      <c r="F19" s="316">
        <f>IF(C19=0,0,+E19/C19)</f>
        <v>-8.4548104956268216E-2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544</v>
      </c>
      <c r="C20" s="296">
        <v>2660</v>
      </c>
      <c r="D20" s="296">
        <v>2675</v>
      </c>
      <c r="E20" s="296">
        <f>+D20-C20</f>
        <v>15</v>
      </c>
      <c r="F20" s="316">
        <f>IF(C20=0,0,+E20/C20)</f>
        <v>5.6390977443609019E-3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545</v>
      </c>
      <c r="C21" s="296">
        <v>229</v>
      </c>
      <c r="D21" s="296">
        <v>143</v>
      </c>
      <c r="E21" s="296">
        <f>+D21-C21</f>
        <v>-86</v>
      </c>
      <c r="F21" s="316">
        <f>IF(C21=0,0,+E21/C21)</f>
        <v>-0.37554585152838427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546</v>
      </c>
      <c r="C22" s="296">
        <v>0</v>
      </c>
      <c r="D22" s="296">
        <v>0</v>
      </c>
      <c r="E22" s="296">
        <f>+D22-C22</f>
        <v>0</v>
      </c>
      <c r="F22" s="316">
        <f>IF(C22=0,0,+E22/C22)</f>
        <v>0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549</v>
      </c>
      <c r="C23" s="300">
        <f>SUM(C19:C22)</f>
        <v>3232</v>
      </c>
      <c r="D23" s="300">
        <f>SUM(D19:D22)</f>
        <v>3132</v>
      </c>
      <c r="E23" s="300">
        <f>+D23-C23</f>
        <v>-100</v>
      </c>
      <c r="F23" s="309">
        <f>IF(C23=0,0,+E23/C23)</f>
        <v>-3.094059405940594E-2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550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543</v>
      </c>
      <c r="C26" s="296">
        <v>0</v>
      </c>
      <c r="D26" s="296">
        <v>1</v>
      </c>
      <c r="E26" s="296">
        <f>+D26-C26</f>
        <v>1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544</v>
      </c>
      <c r="C27" s="296">
        <v>181</v>
      </c>
      <c r="D27" s="296">
        <v>191</v>
      </c>
      <c r="E27" s="296">
        <f>+D27-C27</f>
        <v>10</v>
      </c>
      <c r="F27" s="316">
        <f>IF(C27=0,0,+E27/C27)</f>
        <v>5.5248618784530384E-2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545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546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551</v>
      </c>
      <c r="C30" s="300">
        <f>SUM(C26:C29)</f>
        <v>181</v>
      </c>
      <c r="D30" s="300">
        <f>SUM(D26:D29)</f>
        <v>192</v>
      </c>
      <c r="E30" s="300">
        <f>+D30-C30</f>
        <v>11</v>
      </c>
      <c r="F30" s="309">
        <f>IF(C30=0,0,+E30/C30)</f>
        <v>6.0773480662983423E-2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333</v>
      </c>
      <c r="B32" s="291" t="s">
        <v>552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543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544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545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546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553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554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555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354</v>
      </c>
      <c r="B42" s="291" t="s">
        <v>556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557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558</v>
      </c>
      <c r="C44" s="296">
        <v>0</v>
      </c>
      <c r="D44" s="296">
        <v>0</v>
      </c>
      <c r="E44" s="296">
        <f>+D44-C44</f>
        <v>0</v>
      </c>
      <c r="F44" s="316">
        <f>IF(C44=0,0,+E44/C44)</f>
        <v>0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559</v>
      </c>
      <c r="C45" s="300">
        <f>SUM(C43:C44)</f>
        <v>0</v>
      </c>
      <c r="D45" s="300">
        <f>SUM(D43:D44)</f>
        <v>0</v>
      </c>
      <c r="E45" s="300">
        <f>+D45-C45</f>
        <v>0</v>
      </c>
      <c r="F45" s="309">
        <f>IF(C45=0,0,+E45/C45)</f>
        <v>0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366</v>
      </c>
      <c r="B47" s="291" t="s">
        <v>560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557</v>
      </c>
      <c r="C48" s="296">
        <v>0</v>
      </c>
      <c r="D48" s="296">
        <v>0</v>
      </c>
      <c r="E48" s="296">
        <f>+D48-C48</f>
        <v>0</v>
      </c>
      <c r="F48" s="316">
        <f>IF(C48=0,0,+E48/C48)</f>
        <v>0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558</v>
      </c>
      <c r="C49" s="296">
        <v>0</v>
      </c>
      <c r="D49" s="296">
        <v>0</v>
      </c>
      <c r="E49" s="296">
        <f>+D49-C49</f>
        <v>0</v>
      </c>
      <c r="F49" s="316">
        <f>IF(C49=0,0,+E49/C49)</f>
        <v>0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561</v>
      </c>
      <c r="C50" s="300">
        <f>SUM(C48:C49)</f>
        <v>0</v>
      </c>
      <c r="D50" s="300">
        <f>SUM(D48:D49)</f>
        <v>0</v>
      </c>
      <c r="E50" s="300">
        <f>+D50-C50</f>
        <v>0</v>
      </c>
      <c r="F50" s="309">
        <f>IF(C50=0,0,+E50/C50)</f>
        <v>0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378</v>
      </c>
      <c r="B52" s="291" t="s">
        <v>562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563</v>
      </c>
      <c r="C53" s="296">
        <v>0</v>
      </c>
      <c r="D53" s="296">
        <v>0</v>
      </c>
      <c r="E53" s="296">
        <f>+D53-C53</f>
        <v>0</v>
      </c>
      <c r="F53" s="316">
        <f>IF(C53=0,0,+E53/C53)</f>
        <v>0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564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565</v>
      </c>
      <c r="C55" s="300">
        <f>SUM(C53:C54)</f>
        <v>0</v>
      </c>
      <c r="D55" s="300">
        <f>SUM(D53:D54)</f>
        <v>0</v>
      </c>
      <c r="E55" s="300">
        <f>+D55-C55</f>
        <v>0</v>
      </c>
      <c r="F55" s="309">
        <f>IF(C55=0,0,+E55/C55)</f>
        <v>0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382</v>
      </c>
      <c r="B57" s="291" t="s">
        <v>566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567</v>
      </c>
      <c r="C58" s="296">
        <v>0</v>
      </c>
      <c r="D58" s="296">
        <v>0</v>
      </c>
      <c r="E58" s="296">
        <f>+D58-C58</f>
        <v>0</v>
      </c>
      <c r="F58" s="316">
        <f>IF(C58=0,0,+E58/C58)</f>
        <v>0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568</v>
      </c>
      <c r="C59" s="296">
        <v>0</v>
      </c>
      <c r="D59" s="296">
        <v>0</v>
      </c>
      <c r="E59" s="296">
        <f>+D59-C59</f>
        <v>0</v>
      </c>
      <c r="F59" s="316">
        <f>IF(C59=0,0,+E59/C59)</f>
        <v>0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569</v>
      </c>
      <c r="C60" s="300">
        <f>SUM(C58:C59)</f>
        <v>0</v>
      </c>
      <c r="D60" s="300">
        <f>SUM(D58:D59)</f>
        <v>0</v>
      </c>
      <c r="E60" s="300">
        <f>SUM(E58:E59)</f>
        <v>0</v>
      </c>
      <c r="F60" s="309">
        <f>IF(C60=0,0,+E60/C60)</f>
        <v>0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570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571</v>
      </c>
      <c r="C63" s="296">
        <v>1334</v>
      </c>
      <c r="D63" s="296">
        <v>1219</v>
      </c>
      <c r="E63" s="296">
        <f>+D63-C63</f>
        <v>-115</v>
      </c>
      <c r="F63" s="316">
        <f>IF(C63=0,0,+E63/C63)</f>
        <v>-8.6206896551724144E-2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572</v>
      </c>
      <c r="C64" s="296">
        <v>3319</v>
      </c>
      <c r="D64" s="296">
        <v>3412</v>
      </c>
      <c r="E64" s="296">
        <f>+D64-C64</f>
        <v>93</v>
      </c>
      <c r="F64" s="316">
        <f>IF(C64=0,0,+E64/C64)</f>
        <v>2.8020488098824948E-2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573</v>
      </c>
      <c r="C65" s="300">
        <f>SUM(C63:C64)</f>
        <v>4653</v>
      </c>
      <c r="D65" s="300">
        <f>SUM(D63:D64)</f>
        <v>4631</v>
      </c>
      <c r="E65" s="300">
        <f>+D65-C65</f>
        <v>-22</v>
      </c>
      <c r="F65" s="309">
        <f>IF(C65=0,0,+E65/C65)</f>
        <v>-4.7281323877068557E-3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408</v>
      </c>
      <c r="B67" s="291" t="s">
        <v>574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575</v>
      </c>
      <c r="C68" s="296">
        <v>498</v>
      </c>
      <c r="D68" s="296">
        <v>490</v>
      </c>
      <c r="E68" s="296">
        <f>+D68-C68</f>
        <v>-8</v>
      </c>
      <c r="F68" s="316">
        <f>IF(C68=0,0,+E68/C68)</f>
        <v>-1.6064257028112448E-2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576</v>
      </c>
      <c r="C69" s="296">
        <v>1950</v>
      </c>
      <c r="D69" s="296">
        <v>1701</v>
      </c>
      <c r="E69" s="296">
        <f>+D69-C69</f>
        <v>-249</v>
      </c>
      <c r="F69" s="318">
        <f>IF(C69=0,0,+E69/C69)</f>
        <v>-0.12769230769230769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577</v>
      </c>
      <c r="C70" s="300">
        <f>SUM(C68:C69)</f>
        <v>2448</v>
      </c>
      <c r="D70" s="300">
        <f>SUM(D68:D69)</f>
        <v>2191</v>
      </c>
      <c r="E70" s="300">
        <f>+D70-C70</f>
        <v>-257</v>
      </c>
      <c r="F70" s="309">
        <f>IF(C70=0,0,+E70/C70)</f>
        <v>-0.10498366013071896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424</v>
      </c>
      <c r="B72" s="291" t="s">
        <v>578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579</v>
      </c>
      <c r="C73" s="319">
        <v>5363</v>
      </c>
      <c r="D73" s="319">
        <v>5787</v>
      </c>
      <c r="E73" s="296">
        <f>+D73-C73</f>
        <v>424</v>
      </c>
      <c r="F73" s="316">
        <f>IF(C73=0,0,+E73/C73)</f>
        <v>7.9060227484616816E-2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580</v>
      </c>
      <c r="C74" s="319">
        <v>34497</v>
      </c>
      <c r="D74" s="319">
        <v>32242</v>
      </c>
      <c r="E74" s="296">
        <f>+D74-C74</f>
        <v>-2255</v>
      </c>
      <c r="F74" s="316">
        <f>IF(C74=0,0,+E74/C74)</f>
        <v>-6.53680030147549E-2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440</v>
      </c>
      <c r="C75" s="300">
        <f>SUM(C73:C74)</f>
        <v>39860</v>
      </c>
      <c r="D75" s="300">
        <f>SUM(D73:D74)</f>
        <v>38029</v>
      </c>
      <c r="E75" s="300">
        <f>SUM(E73:E74)</f>
        <v>-1831</v>
      </c>
      <c r="F75" s="309">
        <f>IF(C75=0,0,+E75/C75)</f>
        <v>-4.5935775213246363E-2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433</v>
      </c>
      <c r="B78" s="291" t="s">
        <v>581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582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583</v>
      </c>
      <c r="C80" s="319">
        <v>0</v>
      </c>
      <c r="D80" s="319">
        <v>0</v>
      </c>
      <c r="E80" s="296">
        <f t="shared" si="0"/>
        <v>0</v>
      </c>
      <c r="F80" s="316">
        <f t="shared" si="1"/>
        <v>0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584</v>
      </c>
      <c r="C81" s="319">
        <v>22116</v>
      </c>
      <c r="D81" s="319">
        <v>26892</v>
      </c>
      <c r="E81" s="296">
        <f t="shared" si="0"/>
        <v>4776</v>
      </c>
      <c r="F81" s="316">
        <f t="shared" si="1"/>
        <v>0.21595225176342919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585</v>
      </c>
      <c r="C82" s="319">
        <v>0</v>
      </c>
      <c r="D82" s="319">
        <v>0</v>
      </c>
      <c r="E82" s="296">
        <f t="shared" si="0"/>
        <v>0</v>
      </c>
      <c r="F82" s="316">
        <f t="shared" si="1"/>
        <v>0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586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587</v>
      </c>
      <c r="C84" s="320">
        <f>SUM(C79:C83)</f>
        <v>22116</v>
      </c>
      <c r="D84" s="320">
        <f>SUM(D79:D83)</f>
        <v>26892</v>
      </c>
      <c r="E84" s="300">
        <f t="shared" si="0"/>
        <v>4776</v>
      </c>
      <c r="F84" s="309">
        <f t="shared" si="1"/>
        <v>0.21595225176342919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436</v>
      </c>
      <c r="B86" s="291" t="s">
        <v>588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589</v>
      </c>
      <c r="C87" s="322">
        <v>85137</v>
      </c>
      <c r="D87" s="322">
        <v>91757</v>
      </c>
      <c r="E87" s="323">
        <f t="shared" ref="E87:E92" si="2">+D87-C87</f>
        <v>6620</v>
      </c>
      <c r="F87" s="318">
        <f t="shared" ref="F87:F92" si="3">IF(C87=0,0,+E87/C87)</f>
        <v>7.7757026909569288E-2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275</v>
      </c>
      <c r="C88" s="322">
        <v>3337</v>
      </c>
      <c r="D88" s="322">
        <v>3487</v>
      </c>
      <c r="E88" s="296">
        <f t="shared" si="2"/>
        <v>150</v>
      </c>
      <c r="F88" s="316">
        <f t="shared" si="3"/>
        <v>4.4950554390170809E-2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590</v>
      </c>
      <c r="C89" s="322">
        <v>8697</v>
      </c>
      <c r="D89" s="322">
        <v>8982</v>
      </c>
      <c r="E89" s="296">
        <f t="shared" si="2"/>
        <v>285</v>
      </c>
      <c r="F89" s="316">
        <f t="shared" si="3"/>
        <v>3.2769920662297343E-2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591</v>
      </c>
      <c r="C90" s="322">
        <v>1100</v>
      </c>
      <c r="D90" s="322">
        <v>1131</v>
      </c>
      <c r="E90" s="296">
        <f t="shared" si="2"/>
        <v>31</v>
      </c>
      <c r="F90" s="316">
        <f t="shared" si="3"/>
        <v>2.8181818181818183E-2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592</v>
      </c>
      <c r="C91" s="322">
        <v>3416</v>
      </c>
      <c r="D91" s="322">
        <v>3039</v>
      </c>
      <c r="E91" s="296">
        <f t="shared" si="2"/>
        <v>-377</v>
      </c>
      <c r="F91" s="316">
        <f t="shared" si="3"/>
        <v>-0.11036299765807962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593</v>
      </c>
      <c r="C92" s="320">
        <f>SUM(C87:C91)</f>
        <v>101687</v>
      </c>
      <c r="D92" s="320">
        <f>SUM(D87:D91)</f>
        <v>108396</v>
      </c>
      <c r="E92" s="300">
        <f t="shared" si="2"/>
        <v>6709</v>
      </c>
      <c r="F92" s="309">
        <f t="shared" si="3"/>
        <v>6.5976968540718092E-2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594</v>
      </c>
      <c r="B95" s="291" t="s">
        <v>595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596</v>
      </c>
      <c r="C96" s="325">
        <v>278.2</v>
      </c>
      <c r="D96" s="325">
        <v>281.39999999999998</v>
      </c>
      <c r="E96" s="326">
        <f>+D96-C96</f>
        <v>3.1999999999999886</v>
      </c>
      <c r="F96" s="316">
        <f>IF(C96=0,0,+E96/C96)</f>
        <v>1.1502516175413331E-2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597</v>
      </c>
      <c r="C97" s="325">
        <v>1.9</v>
      </c>
      <c r="D97" s="325">
        <v>1.4</v>
      </c>
      <c r="E97" s="326">
        <f>+D97-C97</f>
        <v>-0.5</v>
      </c>
      <c r="F97" s="316">
        <f>IF(C97=0,0,+E97/C97)</f>
        <v>-0.26315789473684209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598</v>
      </c>
      <c r="C98" s="325">
        <v>580.70000000000005</v>
      </c>
      <c r="D98" s="325">
        <v>580.9</v>
      </c>
      <c r="E98" s="326">
        <f>+D98-C98</f>
        <v>0.19999999999993179</v>
      </c>
      <c r="F98" s="316">
        <f>IF(C98=0,0,+E98/C98)</f>
        <v>3.4441191665219868E-4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599</v>
      </c>
      <c r="C99" s="327">
        <f>SUM(C96:C98)</f>
        <v>860.8</v>
      </c>
      <c r="D99" s="327">
        <f>SUM(D96:D98)</f>
        <v>863.69999999999993</v>
      </c>
      <c r="E99" s="327">
        <f>+D99-C99</f>
        <v>2.8999999999999773</v>
      </c>
      <c r="F99" s="309">
        <f>IF(C99=0,0,+E99/C99)</f>
        <v>3.368959107806665E-3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/>
  <headerFooter>
    <oddHeader>&amp;LOFFICE OF HEALTH CARE ACCESS&amp;CTWELVE MONTHS ACTUAL FILING&amp;RBRISTOL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600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572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601</v>
      </c>
      <c r="C12" s="296">
        <v>3319</v>
      </c>
      <c r="D12" s="296">
        <v>3412</v>
      </c>
      <c r="E12" s="296">
        <f>+D12-C12</f>
        <v>93</v>
      </c>
      <c r="F12" s="316">
        <f>IF(C12=0,0,+E12/C12)</f>
        <v>2.8020488098824948E-2</v>
      </c>
    </row>
    <row r="13" spans="1:16" ht="15.75" customHeight="1" x14ac:dyDescent="0.25">
      <c r="A13" s="294"/>
      <c r="B13" s="135" t="s">
        <v>602</v>
      </c>
      <c r="C13" s="300">
        <f>SUM(C11:C12)</f>
        <v>3319</v>
      </c>
      <c r="D13" s="300">
        <f>SUM(D11:D12)</f>
        <v>3412</v>
      </c>
      <c r="E13" s="300">
        <f>+D13-C13</f>
        <v>93</v>
      </c>
      <c r="F13" s="309">
        <f>IF(C13=0,0,+E13/C13)</f>
        <v>2.8020488098824948E-2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576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601</v>
      </c>
      <c r="C16" s="296">
        <v>1950</v>
      </c>
      <c r="D16" s="296">
        <v>1701</v>
      </c>
      <c r="E16" s="296">
        <f>+D16-C16</f>
        <v>-249</v>
      </c>
      <c r="F16" s="316">
        <f>IF(C16=0,0,+E16/C16)</f>
        <v>-0.12769230769230769</v>
      </c>
    </row>
    <row r="17" spans="1:6" ht="15.75" customHeight="1" x14ac:dyDescent="0.25">
      <c r="A17" s="294"/>
      <c r="B17" s="135" t="s">
        <v>603</v>
      </c>
      <c r="C17" s="300">
        <f>SUM(C15:C16)</f>
        <v>1950</v>
      </c>
      <c r="D17" s="300">
        <f>SUM(D15:D16)</f>
        <v>1701</v>
      </c>
      <c r="E17" s="300">
        <f>+D17-C17</f>
        <v>-249</v>
      </c>
      <c r="F17" s="309">
        <f>IF(C17=0,0,+E17/C17)</f>
        <v>-0.12769230769230769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604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601</v>
      </c>
      <c r="C20" s="296">
        <v>34497</v>
      </c>
      <c r="D20" s="296">
        <v>32242</v>
      </c>
      <c r="E20" s="296">
        <f>+D20-C20</f>
        <v>-2255</v>
      </c>
      <c r="F20" s="316">
        <f>IF(C20=0,0,+E20/C20)</f>
        <v>-6.53680030147549E-2</v>
      </c>
    </row>
    <row r="21" spans="1:6" ht="15.75" customHeight="1" x14ac:dyDescent="0.25">
      <c r="A21" s="294"/>
      <c r="B21" s="135" t="s">
        <v>605</v>
      </c>
      <c r="C21" s="300">
        <f>SUM(C19:C20)</f>
        <v>34497</v>
      </c>
      <c r="D21" s="300">
        <f>SUM(D19:D20)</f>
        <v>32242</v>
      </c>
      <c r="E21" s="300">
        <f>+D21-C21</f>
        <v>-2255</v>
      </c>
      <c r="F21" s="309">
        <f>IF(C21=0,0,+E21/C21)</f>
        <v>-6.53680030147549E-2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606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607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608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FILING&amp;RBRISTOL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609</v>
      </c>
      <c r="B2" s="704"/>
      <c r="C2" s="704"/>
      <c r="D2" s="704"/>
      <c r="E2" s="704"/>
      <c r="F2" s="705"/>
    </row>
    <row r="3" spans="1:21" ht="15.75" customHeight="1" x14ac:dyDescent="0.25">
      <c r="A3" s="703" t="s">
        <v>610</v>
      </c>
      <c r="B3" s="704"/>
      <c r="C3" s="704"/>
      <c r="D3" s="704"/>
      <c r="E3" s="704"/>
      <c r="F3" s="705"/>
    </row>
    <row r="4" spans="1:21" ht="15.75" customHeight="1" x14ac:dyDescent="0.25">
      <c r="A4" s="706" t="s">
        <v>611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612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613</v>
      </c>
      <c r="D7" s="341" t="s">
        <v>613</v>
      </c>
      <c r="E7" s="341" t="s">
        <v>614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615</v>
      </c>
      <c r="D8" s="344" t="s">
        <v>616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617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618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619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620</v>
      </c>
      <c r="C15" s="361">
        <v>73322938</v>
      </c>
      <c r="D15" s="361">
        <v>79117811</v>
      </c>
      <c r="E15" s="361">
        <f t="shared" ref="E15:E24" si="0">D15-C15</f>
        <v>5794873</v>
      </c>
      <c r="F15" s="362">
        <f t="shared" ref="F15:F24" si="1">IF(C15=0,0,E15/C15)</f>
        <v>7.9032198627938227E-2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621</v>
      </c>
      <c r="C16" s="361">
        <v>29190396</v>
      </c>
      <c r="D16" s="361">
        <v>31448123</v>
      </c>
      <c r="E16" s="361">
        <f t="shared" si="0"/>
        <v>2257727</v>
      </c>
      <c r="F16" s="362">
        <f t="shared" si="1"/>
        <v>7.7344856849492549E-2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622</v>
      </c>
      <c r="C17" s="366">
        <f>IF(C15=0,0,C16/C15)</f>
        <v>0.39810728806311607</v>
      </c>
      <c r="D17" s="366">
        <f>IF(LN_IA1=0,0,LN_IA2/LN_IA1)</f>
        <v>0.39748474588105071</v>
      </c>
      <c r="E17" s="367">
        <f t="shared" si="0"/>
        <v>-6.2254218206536649E-4</v>
      </c>
      <c r="F17" s="362">
        <f t="shared" si="1"/>
        <v>-1.5637547985975792E-3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3378</v>
      </c>
      <c r="D18" s="369">
        <v>3565</v>
      </c>
      <c r="E18" s="369">
        <f t="shared" si="0"/>
        <v>187</v>
      </c>
      <c r="F18" s="362">
        <f t="shared" si="1"/>
        <v>5.5358200118413262E-2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623</v>
      </c>
      <c r="C19" s="372">
        <v>1.2924</v>
      </c>
      <c r="D19" s="372">
        <v>1.2996000000000001</v>
      </c>
      <c r="E19" s="373">
        <f t="shared" si="0"/>
        <v>7.2000000000000952E-3</v>
      </c>
      <c r="F19" s="362">
        <f t="shared" si="1"/>
        <v>5.5710306406685974E-3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624</v>
      </c>
      <c r="C20" s="376">
        <f>C18*C19</f>
        <v>4365.7272000000003</v>
      </c>
      <c r="D20" s="376">
        <f>LN_IA4*LN_IA5</f>
        <v>4633.0740000000005</v>
      </c>
      <c r="E20" s="376">
        <f t="shared" si="0"/>
        <v>267.34680000000026</v>
      </c>
      <c r="F20" s="362">
        <f t="shared" si="1"/>
        <v>6.1237632988153781E-2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625</v>
      </c>
      <c r="C21" s="378">
        <f>IF(C20=0,0,C16/C20)</f>
        <v>6686.2620275494992</v>
      </c>
      <c r="D21" s="378">
        <f>IF(LN_IA6=0,0,LN_IA2/LN_IA6)</f>
        <v>6787.7445946255111</v>
      </c>
      <c r="E21" s="378">
        <f t="shared" si="0"/>
        <v>101.48256707601195</v>
      </c>
      <c r="F21" s="362">
        <f t="shared" si="1"/>
        <v>1.5177772970588334E-2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15650</v>
      </c>
      <c r="D22" s="369">
        <v>15919</v>
      </c>
      <c r="E22" s="369">
        <f t="shared" si="0"/>
        <v>269</v>
      </c>
      <c r="F22" s="362">
        <f t="shared" si="1"/>
        <v>1.7188498402555912E-2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626</v>
      </c>
      <c r="C23" s="378">
        <f>IF(C22=0,0,C16/C22)</f>
        <v>1865.2010223642174</v>
      </c>
      <c r="D23" s="378">
        <f>IF(LN_IA8=0,0,LN_IA2/LN_IA8)</f>
        <v>1975.5087002952446</v>
      </c>
      <c r="E23" s="378">
        <f t="shared" si="0"/>
        <v>110.30767793102723</v>
      </c>
      <c r="F23" s="362">
        <f t="shared" si="1"/>
        <v>5.9139833513069708E-2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627</v>
      </c>
      <c r="C24" s="379">
        <f>IF(C18=0,0,C22/C18)</f>
        <v>4.6329188869153342</v>
      </c>
      <c r="D24" s="379">
        <f>IF(LN_IA4=0,0,LN_IA8/LN_IA4)</f>
        <v>4.4653576437587654</v>
      </c>
      <c r="E24" s="379">
        <f t="shared" si="0"/>
        <v>-0.16756124315656873</v>
      </c>
      <c r="F24" s="362">
        <f t="shared" si="1"/>
        <v>-3.6167532228938606E-2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628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629</v>
      </c>
      <c r="C27" s="361">
        <v>74174392</v>
      </c>
      <c r="D27" s="361">
        <v>92144018</v>
      </c>
      <c r="E27" s="361">
        <f t="shared" ref="E27:E32" si="2">D27-C27</f>
        <v>17969626</v>
      </c>
      <c r="F27" s="362">
        <f t="shared" ref="F27:F32" si="3">IF(C27=0,0,E27/C27)</f>
        <v>0.24226185770420605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630</v>
      </c>
      <c r="C28" s="361">
        <v>17879302</v>
      </c>
      <c r="D28" s="361">
        <v>17962168</v>
      </c>
      <c r="E28" s="361">
        <f t="shared" si="2"/>
        <v>82866</v>
      </c>
      <c r="F28" s="362">
        <f t="shared" si="3"/>
        <v>4.6347446896976181E-3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631</v>
      </c>
      <c r="C29" s="366">
        <f>IF(C27=0,0,C28/C27)</f>
        <v>0.24104413285922183</v>
      </c>
      <c r="D29" s="366">
        <f>IF(LN_IA11=0,0,LN_IA12/LN_IA11)</f>
        <v>0.19493580147546855</v>
      </c>
      <c r="E29" s="367">
        <f t="shared" si="2"/>
        <v>-4.6108331383753282E-2</v>
      </c>
      <c r="F29" s="362">
        <f t="shared" si="3"/>
        <v>-0.19128584810102867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632</v>
      </c>
      <c r="C30" s="366">
        <f>IF(C15=0,0,C27/C15)</f>
        <v>1.0116123824716352</v>
      </c>
      <c r="D30" s="366">
        <f>IF(LN_IA1=0,0,LN_IA11/LN_IA1)</f>
        <v>1.1646431673899573</v>
      </c>
      <c r="E30" s="367">
        <f t="shared" si="2"/>
        <v>0.15303078491832212</v>
      </c>
      <c r="F30" s="362">
        <f t="shared" si="3"/>
        <v>0.15127413184131619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633</v>
      </c>
      <c r="C31" s="376">
        <f>C30*C18</f>
        <v>3417.2266279891837</v>
      </c>
      <c r="D31" s="376">
        <f>LN_IA14*LN_IA4</f>
        <v>4151.952891745198</v>
      </c>
      <c r="E31" s="376">
        <f t="shared" si="2"/>
        <v>734.7262637560143</v>
      </c>
      <c r="F31" s="362">
        <f t="shared" si="3"/>
        <v>0.21500659562294031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634</v>
      </c>
      <c r="C32" s="378">
        <f>IF(C31=0,0,C28/C31)</f>
        <v>5232.1089428361411</v>
      </c>
      <c r="D32" s="378">
        <f>IF(LN_IA15=0,0,LN_IA12/LN_IA15)</f>
        <v>4326.1974469199549</v>
      </c>
      <c r="E32" s="378">
        <f t="shared" si="2"/>
        <v>-905.91149591618614</v>
      </c>
      <c r="F32" s="362">
        <f t="shared" si="3"/>
        <v>-0.17314461640875611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635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636</v>
      </c>
      <c r="C35" s="361">
        <f>C15+C27</f>
        <v>147497330</v>
      </c>
      <c r="D35" s="361">
        <f>LN_IA1+LN_IA11</f>
        <v>171261829</v>
      </c>
      <c r="E35" s="361">
        <f>D35-C35</f>
        <v>23764499</v>
      </c>
      <c r="F35" s="362">
        <f>IF(C35=0,0,E35/C35)</f>
        <v>0.16111816396947659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637</v>
      </c>
      <c r="C36" s="361">
        <f>C16+C28</f>
        <v>47069698</v>
      </c>
      <c r="D36" s="361">
        <f>LN_IA2+LN_IA12</f>
        <v>49410291</v>
      </c>
      <c r="E36" s="361">
        <f>D36-C36</f>
        <v>2340593</v>
      </c>
      <c r="F36" s="362">
        <f>IF(C36=0,0,E36/C36)</f>
        <v>4.9726110416089771E-2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638</v>
      </c>
      <c r="C37" s="361">
        <f>C35-C36</f>
        <v>100427632</v>
      </c>
      <c r="D37" s="361">
        <f>LN_IA17-LN_IA18</f>
        <v>121851538</v>
      </c>
      <c r="E37" s="361">
        <f>D37-C37</f>
        <v>21423906</v>
      </c>
      <c r="F37" s="362">
        <f>IF(C37=0,0,E37/C37)</f>
        <v>0.21332680631163345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639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640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620</v>
      </c>
      <c r="C42" s="361">
        <v>36465574</v>
      </c>
      <c r="D42" s="361">
        <v>39512803</v>
      </c>
      <c r="E42" s="361">
        <f t="shared" ref="E42:E53" si="4">D42-C42</f>
        <v>3047229</v>
      </c>
      <c r="F42" s="362">
        <f t="shared" ref="F42:F53" si="5">IF(C42=0,0,E42/C42)</f>
        <v>8.356454227211671E-2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621</v>
      </c>
      <c r="C43" s="361">
        <v>17006157</v>
      </c>
      <c r="D43" s="361">
        <v>23201211</v>
      </c>
      <c r="E43" s="361">
        <f t="shared" si="4"/>
        <v>6195054</v>
      </c>
      <c r="F43" s="362">
        <f t="shared" si="5"/>
        <v>0.36428300644290185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622</v>
      </c>
      <c r="C44" s="366">
        <f>IF(C42=0,0,C43/C42)</f>
        <v>0.46636197197937979</v>
      </c>
      <c r="D44" s="366">
        <f>IF(LN_IB1=0,0,LN_IB2/LN_IB1)</f>
        <v>0.58718210904956558</v>
      </c>
      <c r="E44" s="367">
        <f t="shared" si="4"/>
        <v>0.1208201370701858</v>
      </c>
      <c r="F44" s="362">
        <f t="shared" si="5"/>
        <v>0.25906944461485348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2320</v>
      </c>
      <c r="D45" s="369">
        <v>2350</v>
      </c>
      <c r="E45" s="369">
        <f t="shared" si="4"/>
        <v>30</v>
      </c>
      <c r="F45" s="362">
        <f t="shared" si="5"/>
        <v>1.2931034482758621E-2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623</v>
      </c>
      <c r="C46" s="372">
        <v>0.97450000000000003</v>
      </c>
      <c r="D46" s="372">
        <v>0.96519999999999995</v>
      </c>
      <c r="E46" s="373">
        <f t="shared" si="4"/>
        <v>-9.300000000000086E-3</v>
      </c>
      <c r="F46" s="362">
        <f t="shared" si="5"/>
        <v>-9.5433555669575017E-3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624</v>
      </c>
      <c r="C47" s="376">
        <f>C45*C46</f>
        <v>2260.84</v>
      </c>
      <c r="D47" s="376">
        <f>LN_IB4*LN_IB5</f>
        <v>2268.2199999999998</v>
      </c>
      <c r="E47" s="376">
        <f t="shared" si="4"/>
        <v>7.3799999999996544</v>
      </c>
      <c r="F47" s="362">
        <f t="shared" si="5"/>
        <v>3.2642734558835009E-3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625</v>
      </c>
      <c r="C48" s="378">
        <f>IF(C47=0,0,C43/C47)</f>
        <v>7522.0524229932234</v>
      </c>
      <c r="D48" s="378">
        <f>IF(LN_IB6=0,0,LN_IB2/LN_IB6)</f>
        <v>10228.818633113191</v>
      </c>
      <c r="E48" s="378">
        <f t="shared" si="4"/>
        <v>2706.7662101199676</v>
      </c>
      <c r="F48" s="362">
        <f t="shared" si="5"/>
        <v>0.35984410343192924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641</v>
      </c>
      <c r="C49" s="378">
        <f>C21-C48</f>
        <v>-835.79039544372426</v>
      </c>
      <c r="D49" s="378">
        <f>LN_IA7-LN_IB7</f>
        <v>-3441.0740384876799</v>
      </c>
      <c r="E49" s="378">
        <f t="shared" si="4"/>
        <v>-2605.2836430439556</v>
      </c>
      <c r="F49" s="362">
        <f t="shared" si="5"/>
        <v>3.1171495356330348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642</v>
      </c>
      <c r="C50" s="391">
        <f>C49*C47</f>
        <v>-1889588.3576349898</v>
      </c>
      <c r="D50" s="391">
        <f>LN_IB8*LN_IB6</f>
        <v>-7805112.9555785246</v>
      </c>
      <c r="E50" s="391">
        <f t="shared" si="4"/>
        <v>-5915524.5979435351</v>
      </c>
      <c r="F50" s="362">
        <f t="shared" si="5"/>
        <v>3.130589037576105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7286</v>
      </c>
      <c r="D51" s="369">
        <v>7290</v>
      </c>
      <c r="E51" s="369">
        <f t="shared" si="4"/>
        <v>4</v>
      </c>
      <c r="F51" s="362">
        <f t="shared" si="5"/>
        <v>5.4899807850672519E-4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626</v>
      </c>
      <c r="C52" s="378">
        <f>IF(C51=0,0,C43/C51)</f>
        <v>2334.0868789459237</v>
      </c>
      <c r="D52" s="378">
        <f>IF(LN_IB10=0,0,LN_IB2/LN_IB10)</f>
        <v>3182.607818930041</v>
      </c>
      <c r="E52" s="378">
        <f t="shared" si="4"/>
        <v>848.52093998411738</v>
      </c>
      <c r="F52" s="362">
        <f t="shared" si="5"/>
        <v>0.3635344286615888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627</v>
      </c>
      <c r="C53" s="379">
        <f>IF(C45=0,0,C51/C45)</f>
        <v>3.1405172413793103</v>
      </c>
      <c r="D53" s="379">
        <f>IF(LN_IB4=0,0,LN_IB10/LN_IB4)</f>
        <v>3.1021276595744682</v>
      </c>
      <c r="E53" s="379">
        <f t="shared" si="4"/>
        <v>-3.8389581804842088E-2</v>
      </c>
      <c r="F53" s="362">
        <f t="shared" si="5"/>
        <v>-1.2223967854410328E-2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643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629</v>
      </c>
      <c r="C56" s="361">
        <v>92946271</v>
      </c>
      <c r="D56" s="361">
        <v>102526901</v>
      </c>
      <c r="E56" s="361">
        <f t="shared" ref="E56:E63" si="6">D56-C56</f>
        <v>9580630</v>
      </c>
      <c r="F56" s="362">
        <f t="shared" ref="F56:F63" si="7">IF(C56=0,0,E56/C56)</f>
        <v>0.10307707772375289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630</v>
      </c>
      <c r="C57" s="361">
        <v>33067146</v>
      </c>
      <c r="D57" s="361">
        <v>34947784</v>
      </c>
      <c r="E57" s="361">
        <f t="shared" si="6"/>
        <v>1880638</v>
      </c>
      <c r="F57" s="362">
        <f t="shared" si="7"/>
        <v>5.6873308630868841E-2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631</v>
      </c>
      <c r="C58" s="366">
        <f>IF(C56=0,0,C57/C56)</f>
        <v>0.35576624693205822</v>
      </c>
      <c r="D58" s="366">
        <f>IF(LN_IB13=0,0,LN_IB14/LN_IB13)</f>
        <v>0.34086453076349199</v>
      </c>
      <c r="E58" s="367">
        <f t="shared" si="6"/>
        <v>-1.4901716168566226E-2</v>
      </c>
      <c r="F58" s="362">
        <f t="shared" si="7"/>
        <v>-4.1886256206345659E-2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632</v>
      </c>
      <c r="C59" s="366">
        <f>IF(C42=0,0,C56/C42)</f>
        <v>2.5488772232133243</v>
      </c>
      <c r="D59" s="366">
        <f>IF(LN_IB1=0,0,LN_IB13/LN_IB1)</f>
        <v>2.5947767107284188</v>
      </c>
      <c r="E59" s="367">
        <f t="shared" si="6"/>
        <v>4.5899487515094428E-2</v>
      </c>
      <c r="F59" s="362">
        <f t="shared" si="7"/>
        <v>1.8007727911362383E-2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633</v>
      </c>
      <c r="C60" s="376">
        <f>C59*C45</f>
        <v>5913.3951578549122</v>
      </c>
      <c r="D60" s="376">
        <f>LN_IB16*LN_IB4</f>
        <v>6097.7252702117839</v>
      </c>
      <c r="E60" s="376">
        <f t="shared" si="6"/>
        <v>184.33011235687172</v>
      </c>
      <c r="F60" s="362">
        <f t="shared" si="7"/>
        <v>3.1171620944698983E-2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634</v>
      </c>
      <c r="C61" s="378">
        <f>IF(C60=0,0,C57/C60)</f>
        <v>5591.9053466393289</v>
      </c>
      <c r="D61" s="378">
        <f>IF(LN_IB17=0,0,LN_IB14/LN_IB17)</f>
        <v>5731.2821505299153</v>
      </c>
      <c r="E61" s="378">
        <f t="shared" si="6"/>
        <v>139.37680389058642</v>
      </c>
      <c r="F61" s="362">
        <f t="shared" si="7"/>
        <v>2.4924743043862552E-2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644</v>
      </c>
      <c r="C62" s="378">
        <f>C32-C61</f>
        <v>-359.79640380318779</v>
      </c>
      <c r="D62" s="378">
        <f>LN_IA16-LN_IB18</f>
        <v>-1405.0847036099603</v>
      </c>
      <c r="E62" s="378">
        <f t="shared" si="6"/>
        <v>-1045.2882998067726</v>
      </c>
      <c r="F62" s="362">
        <f t="shared" si="7"/>
        <v>2.9052216441233685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645</v>
      </c>
      <c r="C63" s="361">
        <f>C62*C60</f>
        <v>-2127618.3120633815</v>
      </c>
      <c r="D63" s="361">
        <f>LN_IB19*LN_IB17</f>
        <v>-8567820.50399049</v>
      </c>
      <c r="E63" s="361">
        <f t="shared" si="6"/>
        <v>-6440202.1919271089</v>
      </c>
      <c r="F63" s="362">
        <f t="shared" si="7"/>
        <v>3.0269537329190159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646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636</v>
      </c>
      <c r="C66" s="361">
        <f>C42+C56</f>
        <v>129411845</v>
      </c>
      <c r="D66" s="361">
        <f>LN_IB1+LN_IB13</f>
        <v>142039704</v>
      </c>
      <c r="E66" s="361">
        <f>D66-C66</f>
        <v>12627859</v>
      </c>
      <c r="F66" s="362">
        <f>IF(C66=0,0,E66/C66)</f>
        <v>9.7578849911304485E-2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637</v>
      </c>
      <c r="C67" s="361">
        <f>C43+C57</f>
        <v>50073303</v>
      </c>
      <c r="D67" s="361">
        <f>LN_IB2+LN_IB14</f>
        <v>58148995</v>
      </c>
      <c r="E67" s="361">
        <f>D67-C67</f>
        <v>8075692</v>
      </c>
      <c r="F67" s="362">
        <f>IF(C67=0,0,E67/C67)</f>
        <v>0.16127739765838894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638</v>
      </c>
      <c r="C68" s="361">
        <f>C66-C67</f>
        <v>79338542</v>
      </c>
      <c r="D68" s="361">
        <f>LN_IB21-LN_IB22</f>
        <v>83890709</v>
      </c>
      <c r="E68" s="361">
        <f>D68-C68</f>
        <v>4552167</v>
      </c>
      <c r="F68" s="362">
        <f>IF(C68=0,0,E68/C68)</f>
        <v>5.737648922260255E-2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647</v>
      </c>
      <c r="C70" s="353">
        <f>C50+C63</f>
        <v>-4017206.6696983716</v>
      </c>
      <c r="D70" s="353">
        <f>LN_IB9+LN_IB20</f>
        <v>-16372933.459569015</v>
      </c>
      <c r="E70" s="361">
        <f>D70-C70</f>
        <v>-12355726.789870642</v>
      </c>
      <c r="F70" s="362">
        <f>IF(C70=0,0,E70/C70)</f>
        <v>3.0757010544340155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648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649</v>
      </c>
      <c r="C73" s="400">
        <v>122450596</v>
      </c>
      <c r="D73" s="400">
        <v>128985172</v>
      </c>
      <c r="E73" s="400">
        <f>D73-C73</f>
        <v>6534576</v>
      </c>
      <c r="F73" s="401">
        <f>IF(C73=0,0,E73/C73)</f>
        <v>5.3364999546429322E-2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650</v>
      </c>
      <c r="C74" s="400">
        <v>58072723</v>
      </c>
      <c r="D74" s="400">
        <v>61783743</v>
      </c>
      <c r="E74" s="400">
        <f>D74-C74</f>
        <v>3711020</v>
      </c>
      <c r="F74" s="401">
        <f>IF(C74=0,0,E74/C74)</f>
        <v>6.3902979028553561E-2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651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652</v>
      </c>
      <c r="C76" s="353">
        <f>C73-C74</f>
        <v>64377873</v>
      </c>
      <c r="D76" s="353">
        <f>LN_IB32-LN_IB33</f>
        <v>67201429</v>
      </c>
      <c r="E76" s="400">
        <f>D76-C76</f>
        <v>2823556</v>
      </c>
      <c r="F76" s="401">
        <f>IF(C76=0,0,E76/C76)</f>
        <v>4.3859106684062087E-2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653</v>
      </c>
      <c r="C77" s="366">
        <f>IF(C73=0,0,C76/C73)</f>
        <v>0.52574568930640397</v>
      </c>
      <c r="D77" s="366">
        <f>IF(LN_IB1=0,0,LN_IB34/LN_IB32)</f>
        <v>0.52100119694378511</v>
      </c>
      <c r="E77" s="405">
        <f>D77-C77</f>
        <v>-4.7444923626188684E-3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654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655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620</v>
      </c>
      <c r="C83" s="361">
        <v>814154</v>
      </c>
      <c r="D83" s="361">
        <v>1720349</v>
      </c>
      <c r="E83" s="361">
        <f t="shared" ref="E83:E95" si="8">D83-C83</f>
        <v>906195</v>
      </c>
      <c r="F83" s="362">
        <f t="shared" ref="F83:F95" si="9">IF(C83=0,0,E83/C83)</f>
        <v>1.11305109352776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621</v>
      </c>
      <c r="C84" s="361">
        <v>20077</v>
      </c>
      <c r="D84" s="361">
        <v>13248</v>
      </c>
      <c r="E84" s="361">
        <f t="shared" si="8"/>
        <v>-6829</v>
      </c>
      <c r="F84" s="362">
        <f t="shared" si="9"/>
        <v>-0.34014045923195696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622</v>
      </c>
      <c r="C85" s="366">
        <f>IF(C83=0,0,C84/C83)</f>
        <v>2.465995376796036E-2</v>
      </c>
      <c r="D85" s="366">
        <f>IF(LN_IC1=0,0,LN_IC2/LN_IC1)</f>
        <v>7.7007630428477013E-3</v>
      </c>
      <c r="E85" s="367">
        <f t="shared" si="8"/>
        <v>-1.695919072511266E-2</v>
      </c>
      <c r="F85" s="362">
        <f t="shared" si="9"/>
        <v>-0.68772191889293088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38</v>
      </c>
      <c r="D86" s="369">
        <v>119</v>
      </c>
      <c r="E86" s="369">
        <f t="shared" si="8"/>
        <v>81</v>
      </c>
      <c r="F86" s="362">
        <f t="shared" si="9"/>
        <v>2.1315789473684212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623</v>
      </c>
      <c r="C87" s="372">
        <v>0.8296</v>
      </c>
      <c r="D87" s="372">
        <v>0.94</v>
      </c>
      <c r="E87" s="373">
        <f t="shared" si="8"/>
        <v>0.11039999999999994</v>
      </c>
      <c r="F87" s="362">
        <f t="shared" si="9"/>
        <v>0.13307618129218893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624</v>
      </c>
      <c r="C88" s="376">
        <f>C86*C87</f>
        <v>31.524799999999999</v>
      </c>
      <c r="D88" s="376">
        <f>LN_IC4*LN_IC5</f>
        <v>111.86</v>
      </c>
      <c r="E88" s="376">
        <f t="shared" si="8"/>
        <v>80.3352</v>
      </c>
      <c r="F88" s="362">
        <f t="shared" si="9"/>
        <v>2.5483175150992237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625</v>
      </c>
      <c r="C89" s="378">
        <f>IF(C88=0,0,C84/C88)</f>
        <v>636.86367558239863</v>
      </c>
      <c r="D89" s="378">
        <f>IF(LN_IC6=0,0,LN_IC2/LN_IC6)</f>
        <v>118.43375648131592</v>
      </c>
      <c r="E89" s="378">
        <f t="shared" si="8"/>
        <v>-518.42991910108276</v>
      </c>
      <c r="F89" s="362">
        <f t="shared" si="9"/>
        <v>-0.81403593732518875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656</v>
      </c>
      <c r="C90" s="378">
        <f>C48-C89</f>
        <v>6885.1887474108244</v>
      </c>
      <c r="D90" s="378">
        <f>LN_IB7-LN_IC7</f>
        <v>10110.384876631875</v>
      </c>
      <c r="E90" s="378">
        <f t="shared" si="8"/>
        <v>3225.1961292210508</v>
      </c>
      <c r="F90" s="362">
        <f t="shared" si="9"/>
        <v>0.4684252309617345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657</v>
      </c>
      <c r="C91" s="378">
        <f>C21-C89</f>
        <v>6049.3983519671001</v>
      </c>
      <c r="D91" s="378">
        <f>LN_IA7-LN_IC7</f>
        <v>6669.3108381441953</v>
      </c>
      <c r="E91" s="378">
        <f t="shared" si="8"/>
        <v>619.91248617709516</v>
      </c>
      <c r="F91" s="362">
        <f t="shared" si="9"/>
        <v>0.10247506447901822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642</v>
      </c>
      <c r="C92" s="353">
        <f>C91*C88</f>
        <v>190706.07316609242</v>
      </c>
      <c r="D92" s="353">
        <f>LN_IC9*LN_IC6</f>
        <v>746029.11035480967</v>
      </c>
      <c r="E92" s="353">
        <f t="shared" si="8"/>
        <v>555323.03718871728</v>
      </c>
      <c r="F92" s="362">
        <f t="shared" si="9"/>
        <v>2.9119315812510465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157</v>
      </c>
      <c r="D93" s="369">
        <v>370</v>
      </c>
      <c r="E93" s="369">
        <f t="shared" si="8"/>
        <v>213</v>
      </c>
      <c r="F93" s="362">
        <f t="shared" si="9"/>
        <v>1.3566878980891719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626</v>
      </c>
      <c r="C94" s="411">
        <f>IF(C93=0,0,C84/C93)</f>
        <v>127.87898089171975</v>
      </c>
      <c r="D94" s="411">
        <f>IF(LN_IC11=0,0,LN_IC2/LN_IC11)</f>
        <v>35.805405405405402</v>
      </c>
      <c r="E94" s="411">
        <f t="shared" si="8"/>
        <v>-92.073575486314354</v>
      </c>
      <c r="F94" s="362">
        <f t="shared" si="9"/>
        <v>-0.7200055462146413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627</v>
      </c>
      <c r="C95" s="379">
        <f>IF(C86=0,0,C93/C86)</f>
        <v>4.1315789473684212</v>
      </c>
      <c r="D95" s="379">
        <f>IF(LN_IC4=0,0,LN_IC11/LN_IC4)</f>
        <v>3.1092436974789917</v>
      </c>
      <c r="E95" s="379">
        <f t="shared" si="8"/>
        <v>-1.0223352498894296</v>
      </c>
      <c r="F95" s="362">
        <f t="shared" si="9"/>
        <v>-0.24744420061018041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658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629</v>
      </c>
      <c r="C98" s="361">
        <v>5148409</v>
      </c>
      <c r="D98" s="361">
        <v>5636956</v>
      </c>
      <c r="E98" s="361">
        <f t="shared" ref="E98:E106" si="10">D98-C98</f>
        <v>488547</v>
      </c>
      <c r="F98" s="362">
        <f t="shared" ref="F98:F106" si="11">IF(C98=0,0,E98/C98)</f>
        <v>9.4892810575072803E-2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630</v>
      </c>
      <c r="C99" s="361">
        <v>267960</v>
      </c>
      <c r="D99" s="361">
        <v>36556</v>
      </c>
      <c r="E99" s="361">
        <f t="shared" si="10"/>
        <v>-231404</v>
      </c>
      <c r="F99" s="362">
        <f t="shared" si="11"/>
        <v>-0.86357665323182564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631</v>
      </c>
      <c r="C100" s="366">
        <f>IF(C98=0,0,C99/C98)</f>
        <v>5.2047146992400956E-2</v>
      </c>
      <c r="D100" s="366">
        <f>IF(LN_IC14=0,0,LN_IC15/LN_IC14)</f>
        <v>6.4850603765578448E-3</v>
      </c>
      <c r="E100" s="367">
        <f t="shared" si="10"/>
        <v>-4.5562086615843114E-2</v>
      </c>
      <c r="F100" s="362">
        <f t="shared" si="11"/>
        <v>-0.87540027165168766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632</v>
      </c>
      <c r="C101" s="366">
        <f>IF(C83=0,0,C98/C83)</f>
        <v>6.3236304188151138</v>
      </c>
      <c r="D101" s="366">
        <f>IF(LN_IC1=0,0,LN_IC14/LN_IC1)</f>
        <v>3.2766351478682525</v>
      </c>
      <c r="E101" s="367">
        <f t="shared" si="10"/>
        <v>-3.0469952709468613</v>
      </c>
      <c r="F101" s="362">
        <f t="shared" si="11"/>
        <v>-0.48184271836648385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633</v>
      </c>
      <c r="C102" s="376">
        <f>C101*C86</f>
        <v>240.29795591497432</v>
      </c>
      <c r="D102" s="376">
        <f>LN_IC17*LN_IC4</f>
        <v>389.91958259632207</v>
      </c>
      <c r="E102" s="376">
        <f t="shared" si="10"/>
        <v>149.62162668134775</v>
      </c>
      <c r="F102" s="362">
        <f t="shared" si="11"/>
        <v>0.62265043458916902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634</v>
      </c>
      <c r="C103" s="378">
        <f>IF(C102=0,0,C99/C102)</f>
        <v>1115.1156029592423</v>
      </c>
      <c r="D103" s="378">
        <f>IF(LN_IC18=0,0,LN_IC15/LN_IC18)</f>
        <v>93.752664989503444</v>
      </c>
      <c r="E103" s="378">
        <f t="shared" si="10"/>
        <v>-1021.3629379697388</v>
      </c>
      <c r="F103" s="362">
        <f t="shared" si="11"/>
        <v>-0.9159256092007797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659</v>
      </c>
      <c r="C104" s="378">
        <f>C61-C103</f>
        <v>4476.7897436800868</v>
      </c>
      <c r="D104" s="378">
        <f>LN_IB18-LN_IC19</f>
        <v>5637.5294855404118</v>
      </c>
      <c r="E104" s="378">
        <f t="shared" si="10"/>
        <v>1160.739741860325</v>
      </c>
      <c r="F104" s="362">
        <f t="shared" si="11"/>
        <v>0.25927948559544234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660</v>
      </c>
      <c r="C105" s="378">
        <f>C32-C103</f>
        <v>4116.993339876899</v>
      </c>
      <c r="D105" s="378">
        <f>LN_IA16-LN_IC19</f>
        <v>4232.4447819304514</v>
      </c>
      <c r="E105" s="378">
        <f t="shared" si="10"/>
        <v>115.45144205355246</v>
      </c>
      <c r="F105" s="362">
        <f t="shared" si="11"/>
        <v>2.8042659417322383E-2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645</v>
      </c>
      <c r="C106" s="361">
        <f>C105*C102</f>
        <v>989305.08408798196</v>
      </c>
      <c r="D106" s="361">
        <f>LN_IC21*LN_IC18</f>
        <v>1650313.1027323031</v>
      </c>
      <c r="E106" s="361">
        <f t="shared" si="10"/>
        <v>661008.01864432113</v>
      </c>
      <c r="F106" s="362">
        <f t="shared" si="11"/>
        <v>0.66815386807972332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661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636</v>
      </c>
      <c r="C109" s="361">
        <f>C83+C98</f>
        <v>5962563</v>
      </c>
      <c r="D109" s="361">
        <f>LN_IC1+LN_IC14</f>
        <v>7357305</v>
      </c>
      <c r="E109" s="361">
        <f>D109-C109</f>
        <v>1394742</v>
      </c>
      <c r="F109" s="362">
        <f>IF(C109=0,0,E109/C109)</f>
        <v>0.23391652213989186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637</v>
      </c>
      <c r="C110" s="361">
        <f>C84+C99</f>
        <v>288037</v>
      </c>
      <c r="D110" s="361">
        <f>LN_IC2+LN_IC15</f>
        <v>49804</v>
      </c>
      <c r="E110" s="361">
        <f>D110-C110</f>
        <v>-238233</v>
      </c>
      <c r="F110" s="362">
        <f>IF(C110=0,0,E110/C110)</f>
        <v>-0.82709165836333531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638</v>
      </c>
      <c r="C111" s="361">
        <f>C109-C110</f>
        <v>5674526</v>
      </c>
      <c r="D111" s="361">
        <f>LN_IC23-LN_IC24</f>
        <v>7307501</v>
      </c>
      <c r="E111" s="361">
        <f>D111-C111</f>
        <v>1632975</v>
      </c>
      <c r="F111" s="362">
        <f>IF(C111=0,0,E111/C111)</f>
        <v>0.28777293469093279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647</v>
      </c>
      <c r="C113" s="361">
        <f>C92+C106</f>
        <v>1180011.1572540745</v>
      </c>
      <c r="D113" s="361">
        <f>LN_IC10+LN_IC22</f>
        <v>2396342.2130871126</v>
      </c>
      <c r="E113" s="361">
        <f>D113-C113</f>
        <v>1216331.0558330382</v>
      </c>
      <c r="F113" s="362">
        <f>IF(C113=0,0,E113/C113)</f>
        <v>1.030779284039552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333</v>
      </c>
      <c r="B115" s="356" t="s">
        <v>662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663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620</v>
      </c>
      <c r="C118" s="361">
        <v>21507928</v>
      </c>
      <c r="D118" s="361">
        <v>23778114</v>
      </c>
      <c r="E118" s="361">
        <f t="shared" ref="E118:E130" si="12">D118-C118</f>
        <v>2270186</v>
      </c>
      <c r="F118" s="362">
        <f t="shared" ref="F118:F130" si="13">IF(C118=0,0,E118/C118)</f>
        <v>0.10555112514789895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621</v>
      </c>
      <c r="C119" s="361">
        <v>6632224</v>
      </c>
      <c r="D119" s="361">
        <v>6283677</v>
      </c>
      <c r="E119" s="361">
        <f t="shared" si="12"/>
        <v>-348547</v>
      </c>
      <c r="F119" s="362">
        <f t="shared" si="13"/>
        <v>-5.2553562726470035E-2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622</v>
      </c>
      <c r="C120" s="366">
        <f>IF(C118=0,0,C119/C118)</f>
        <v>0.3083618282523542</v>
      </c>
      <c r="D120" s="366">
        <f>IF(LN_ID1=0,0,LN_1D2/LN_ID1)</f>
        <v>0.26426305299066194</v>
      </c>
      <c r="E120" s="367">
        <f t="shared" si="12"/>
        <v>-4.4098775261692258E-2</v>
      </c>
      <c r="F120" s="362">
        <f t="shared" si="13"/>
        <v>-0.1430098385121881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1593</v>
      </c>
      <c r="D121" s="369">
        <v>1625</v>
      </c>
      <c r="E121" s="369">
        <f t="shared" si="12"/>
        <v>32</v>
      </c>
      <c r="F121" s="362">
        <f t="shared" si="13"/>
        <v>2.0087884494664157E-2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623</v>
      </c>
      <c r="C122" s="372">
        <v>0.93069999999999997</v>
      </c>
      <c r="D122" s="372">
        <v>0.9425</v>
      </c>
      <c r="E122" s="373">
        <f t="shared" si="12"/>
        <v>1.1800000000000033E-2</v>
      </c>
      <c r="F122" s="362">
        <f t="shared" si="13"/>
        <v>1.2678628988933096E-2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624</v>
      </c>
      <c r="C123" s="376">
        <f>C121*C122</f>
        <v>1482.6051</v>
      </c>
      <c r="D123" s="376">
        <f>LN_ID4*LN_ID5</f>
        <v>1531.5625</v>
      </c>
      <c r="E123" s="376">
        <f t="shared" si="12"/>
        <v>48.957400000000007</v>
      </c>
      <c r="F123" s="362">
        <f t="shared" si="13"/>
        <v>3.3021200318277606E-2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625</v>
      </c>
      <c r="C124" s="378">
        <f>IF(C123=0,0,C119/C123)</f>
        <v>4473.3584148604368</v>
      </c>
      <c r="D124" s="378">
        <f>IF(LN_ID6=0,0,LN_1D2/LN_ID6)</f>
        <v>4102.7884921444602</v>
      </c>
      <c r="E124" s="378">
        <f t="shared" si="12"/>
        <v>-370.56992271597665</v>
      </c>
      <c r="F124" s="362">
        <f t="shared" si="13"/>
        <v>-8.2839309607955477E-2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664</v>
      </c>
      <c r="C125" s="378">
        <f>C48-C124</f>
        <v>3048.6940081327866</v>
      </c>
      <c r="D125" s="378">
        <f>LN_IB7-LN_ID7</f>
        <v>6126.0301409687308</v>
      </c>
      <c r="E125" s="378">
        <f t="shared" si="12"/>
        <v>3077.3361328359442</v>
      </c>
      <c r="F125" s="362">
        <f t="shared" si="13"/>
        <v>1.0093948833916264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665</v>
      </c>
      <c r="C126" s="378">
        <f>C21-C124</f>
        <v>2212.9036126890624</v>
      </c>
      <c r="D126" s="378">
        <f>LN_IA7-LN_ID7</f>
        <v>2684.9561024810509</v>
      </c>
      <c r="E126" s="378">
        <f t="shared" si="12"/>
        <v>472.05248979198859</v>
      </c>
      <c r="F126" s="362">
        <f t="shared" si="13"/>
        <v>0.21331814322376327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642</v>
      </c>
      <c r="C127" s="391">
        <f>C126*C123</f>
        <v>3280862.1819812288</v>
      </c>
      <c r="D127" s="391">
        <f>LN_ID9*LN_ID6</f>
        <v>4112178.0807061344</v>
      </c>
      <c r="E127" s="391">
        <f t="shared" si="12"/>
        <v>831315.89872490568</v>
      </c>
      <c r="F127" s="362">
        <f t="shared" si="13"/>
        <v>0.25338336468095568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5653</v>
      </c>
      <c r="D128" s="369">
        <v>6109</v>
      </c>
      <c r="E128" s="369">
        <f t="shared" si="12"/>
        <v>456</v>
      </c>
      <c r="F128" s="362">
        <f t="shared" si="13"/>
        <v>8.0665133557403151E-2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626</v>
      </c>
      <c r="C129" s="378">
        <f>IF(C128=0,0,C119/C128)</f>
        <v>1173.2220060145055</v>
      </c>
      <c r="D129" s="378">
        <f>IF(LN_ID11=0,0,LN_1D2/LN_ID11)</f>
        <v>1028.5933868063512</v>
      </c>
      <c r="E129" s="378">
        <f t="shared" si="12"/>
        <v>-144.6286192081543</v>
      </c>
      <c r="F129" s="362">
        <f t="shared" si="13"/>
        <v>-0.12327472419262323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627</v>
      </c>
      <c r="C130" s="379">
        <f>IF(C121=0,0,C128/C121)</f>
        <v>3.5486503452605147</v>
      </c>
      <c r="D130" s="379">
        <f>IF(LN_ID4=0,0,LN_ID11/LN_ID4)</f>
        <v>3.7593846153846155</v>
      </c>
      <c r="E130" s="379">
        <f t="shared" si="12"/>
        <v>0.21073427012410084</v>
      </c>
      <c r="F130" s="362">
        <f t="shared" si="13"/>
        <v>5.9384343235042041E-2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666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629</v>
      </c>
      <c r="C133" s="361">
        <v>45610048</v>
      </c>
      <c r="D133" s="361">
        <v>48026683</v>
      </c>
      <c r="E133" s="361">
        <f t="shared" ref="E133:E141" si="14">D133-C133</f>
        <v>2416635</v>
      </c>
      <c r="F133" s="362">
        <f t="shared" ref="F133:F141" si="15">IF(C133=0,0,E133/C133)</f>
        <v>5.2984706352424797E-2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630</v>
      </c>
      <c r="C134" s="361">
        <v>11612683</v>
      </c>
      <c r="D134" s="361">
        <v>10048174</v>
      </c>
      <c r="E134" s="361">
        <f t="shared" si="14"/>
        <v>-1564509</v>
      </c>
      <c r="F134" s="362">
        <f t="shared" si="15"/>
        <v>-0.13472416322739542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631</v>
      </c>
      <c r="C135" s="366">
        <f>IF(C133=0,0,C134/C133)</f>
        <v>0.25460799778154147</v>
      </c>
      <c r="D135" s="366">
        <f>IF(LN_ID14=0,0,LN_ID15/LN_ID14)</f>
        <v>0.20922065344383664</v>
      </c>
      <c r="E135" s="367">
        <f t="shared" si="14"/>
        <v>-4.5387344337704832E-2</v>
      </c>
      <c r="F135" s="362">
        <f t="shared" si="15"/>
        <v>-0.17826362381847896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632</v>
      </c>
      <c r="C136" s="366">
        <f>IF(C118=0,0,C133/C118)</f>
        <v>2.1206156167158454</v>
      </c>
      <c r="D136" s="366">
        <f>IF(LN_ID1=0,0,LN_ID14/LN_ID1)</f>
        <v>2.0197852108876253</v>
      </c>
      <c r="E136" s="367">
        <f t="shared" si="14"/>
        <v>-0.10083040582822012</v>
      </c>
      <c r="F136" s="362">
        <f t="shared" si="15"/>
        <v>-4.7547705031227738E-2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633</v>
      </c>
      <c r="C137" s="376">
        <f>C136*C121</f>
        <v>3378.1406774283419</v>
      </c>
      <c r="D137" s="376">
        <f>LN_ID17*LN_ID4</f>
        <v>3282.1509676923911</v>
      </c>
      <c r="E137" s="376">
        <f t="shared" si="14"/>
        <v>-95.989709735950782</v>
      </c>
      <c r="F137" s="362">
        <f t="shared" si="15"/>
        <v>-2.8414953343217291E-2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634</v>
      </c>
      <c r="C138" s="378">
        <f>IF(C137=0,0,C134/C137)</f>
        <v>3437.5960354736681</v>
      </c>
      <c r="D138" s="378">
        <f>IF(LN_ID18=0,0,LN_ID15/LN_ID18)</f>
        <v>3061.4600299951016</v>
      </c>
      <c r="E138" s="378">
        <f t="shared" si="14"/>
        <v>-376.1360054785664</v>
      </c>
      <c r="F138" s="362">
        <f t="shared" si="15"/>
        <v>-0.10941832652734557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667</v>
      </c>
      <c r="C139" s="378">
        <f>C61-C138</f>
        <v>2154.3093111656608</v>
      </c>
      <c r="D139" s="378">
        <f>LN_IB18-LN_ID19</f>
        <v>2669.8221205348136</v>
      </c>
      <c r="E139" s="378">
        <f t="shared" si="14"/>
        <v>515.51280936915282</v>
      </c>
      <c r="F139" s="362">
        <f t="shared" si="15"/>
        <v>0.23929377582749128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668</v>
      </c>
      <c r="C140" s="378">
        <f>C32-C138</f>
        <v>1794.512907362473</v>
      </c>
      <c r="D140" s="378">
        <f>LN_IA16-LN_ID19</f>
        <v>1264.7374169248533</v>
      </c>
      <c r="E140" s="378">
        <f t="shared" si="14"/>
        <v>-529.77549043761974</v>
      </c>
      <c r="F140" s="362">
        <f t="shared" si="15"/>
        <v>-0.29521966003369099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645</v>
      </c>
      <c r="C141" s="353">
        <f>C140*C137</f>
        <v>6062117.0485313674</v>
      </c>
      <c r="D141" s="353">
        <f>LN_ID21*LN_ID18</f>
        <v>4151059.1368366824</v>
      </c>
      <c r="E141" s="353">
        <f t="shared" si="14"/>
        <v>-1911057.911694685</v>
      </c>
      <c r="F141" s="362">
        <f t="shared" si="15"/>
        <v>-0.31524596051105042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669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636</v>
      </c>
      <c r="C144" s="361">
        <f>C118+C133</f>
        <v>67117976</v>
      </c>
      <c r="D144" s="361">
        <f>LN_ID1+LN_ID14</f>
        <v>71804797</v>
      </c>
      <c r="E144" s="361">
        <f>D144-C144</f>
        <v>4686821</v>
      </c>
      <c r="F144" s="362">
        <f>IF(C144=0,0,E144/C144)</f>
        <v>6.9829593788704236E-2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637</v>
      </c>
      <c r="C145" s="361">
        <f>C119+C134</f>
        <v>18244907</v>
      </c>
      <c r="D145" s="361">
        <f>LN_1D2+LN_ID15</f>
        <v>16331851</v>
      </c>
      <c r="E145" s="361">
        <f>D145-C145</f>
        <v>-1913056</v>
      </c>
      <c r="F145" s="362">
        <f>IF(C145=0,0,E145/C145)</f>
        <v>-0.10485424781830897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638</v>
      </c>
      <c r="C146" s="361">
        <f>C144-C145</f>
        <v>48873069</v>
      </c>
      <c r="D146" s="361">
        <f>LN_ID23-LN_ID24</f>
        <v>55472946</v>
      </c>
      <c r="E146" s="361">
        <f>D146-C146</f>
        <v>6599877</v>
      </c>
      <c r="F146" s="362">
        <f>IF(C146=0,0,E146/C146)</f>
        <v>0.13504118188280748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647</v>
      </c>
      <c r="C148" s="361">
        <f>C127+C141</f>
        <v>9342979.2305125967</v>
      </c>
      <c r="D148" s="361">
        <f>LN_ID10+LN_ID22</f>
        <v>8263237.2175428169</v>
      </c>
      <c r="E148" s="361">
        <f>D148-C148</f>
        <v>-1079742.0129697798</v>
      </c>
      <c r="F148" s="415">
        <f>IF(C148=0,0,E148/C148)</f>
        <v>-0.11556720681166927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354</v>
      </c>
      <c r="B150" s="356" t="s">
        <v>670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671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620</v>
      </c>
      <c r="C153" s="361">
        <v>0</v>
      </c>
      <c r="D153" s="361">
        <v>0</v>
      </c>
      <c r="E153" s="361">
        <f t="shared" ref="E153:E165" si="16">D153-C153</f>
        <v>0</v>
      </c>
      <c r="F153" s="362">
        <f t="shared" ref="F153:F165" si="17">IF(C153=0,0,E153/C153)</f>
        <v>0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621</v>
      </c>
      <c r="C154" s="361">
        <v>0</v>
      </c>
      <c r="D154" s="361">
        <v>0</v>
      </c>
      <c r="E154" s="361">
        <f t="shared" si="16"/>
        <v>0</v>
      </c>
      <c r="F154" s="362">
        <f t="shared" si="17"/>
        <v>0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622</v>
      </c>
      <c r="C155" s="366">
        <f>IF(C153=0,0,C154/C153)</f>
        <v>0</v>
      </c>
      <c r="D155" s="366">
        <f>IF(LN_IE1=0,0,LN_IE2/LN_IE1)</f>
        <v>0</v>
      </c>
      <c r="E155" s="367">
        <f t="shared" si="16"/>
        <v>0</v>
      </c>
      <c r="F155" s="362">
        <f t="shared" si="17"/>
        <v>0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0</v>
      </c>
      <c r="D156" s="419">
        <v>0</v>
      </c>
      <c r="E156" s="419">
        <f t="shared" si="16"/>
        <v>0</v>
      </c>
      <c r="F156" s="362">
        <f t="shared" si="17"/>
        <v>0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623</v>
      </c>
      <c r="C157" s="372">
        <v>0</v>
      </c>
      <c r="D157" s="372">
        <v>0</v>
      </c>
      <c r="E157" s="373">
        <f t="shared" si="16"/>
        <v>0</v>
      </c>
      <c r="F157" s="362">
        <f t="shared" si="17"/>
        <v>0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624</v>
      </c>
      <c r="C158" s="376">
        <f>C156*C157</f>
        <v>0</v>
      </c>
      <c r="D158" s="376">
        <f>LN_IE4*LN_IE5</f>
        <v>0</v>
      </c>
      <c r="E158" s="376">
        <f t="shared" si="16"/>
        <v>0</v>
      </c>
      <c r="F158" s="362">
        <f t="shared" si="17"/>
        <v>0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625</v>
      </c>
      <c r="C159" s="378">
        <f>IF(C158=0,0,C154/C158)</f>
        <v>0</v>
      </c>
      <c r="D159" s="378">
        <f>IF(LN_IE6=0,0,LN_IE2/LN_IE6)</f>
        <v>0</v>
      </c>
      <c r="E159" s="378">
        <f t="shared" si="16"/>
        <v>0</v>
      </c>
      <c r="F159" s="362">
        <f t="shared" si="17"/>
        <v>0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672</v>
      </c>
      <c r="C160" s="378">
        <f>C48-C159</f>
        <v>7522.0524229932234</v>
      </c>
      <c r="D160" s="378">
        <f>LN_IB7-LN_IE7</f>
        <v>10228.818633113191</v>
      </c>
      <c r="E160" s="378">
        <f t="shared" si="16"/>
        <v>2706.7662101199676</v>
      </c>
      <c r="F160" s="362">
        <f t="shared" si="17"/>
        <v>0.35984410343192924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673</v>
      </c>
      <c r="C161" s="378">
        <f>C21-C159</f>
        <v>6686.2620275494992</v>
      </c>
      <c r="D161" s="378">
        <f>LN_IA7-LN_IE7</f>
        <v>6787.7445946255111</v>
      </c>
      <c r="E161" s="378">
        <f t="shared" si="16"/>
        <v>101.48256707601195</v>
      </c>
      <c r="F161" s="362">
        <f t="shared" si="17"/>
        <v>1.5177772970588334E-2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642</v>
      </c>
      <c r="C162" s="391">
        <f>C161*C158</f>
        <v>0</v>
      </c>
      <c r="D162" s="391">
        <f>LN_IE9*LN_IE6</f>
        <v>0</v>
      </c>
      <c r="E162" s="391">
        <f t="shared" si="16"/>
        <v>0</v>
      </c>
      <c r="F162" s="362">
        <f t="shared" si="17"/>
        <v>0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0</v>
      </c>
      <c r="D163" s="369">
        <v>0</v>
      </c>
      <c r="E163" s="419">
        <f t="shared" si="16"/>
        <v>0</v>
      </c>
      <c r="F163" s="362">
        <f t="shared" si="17"/>
        <v>0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626</v>
      </c>
      <c r="C164" s="378">
        <f>IF(C163=0,0,C154/C163)</f>
        <v>0</v>
      </c>
      <c r="D164" s="378">
        <f>IF(LN_IE11=0,0,LN_IE2/LN_IE11)</f>
        <v>0</v>
      </c>
      <c r="E164" s="378">
        <f t="shared" si="16"/>
        <v>0</v>
      </c>
      <c r="F164" s="362">
        <f t="shared" si="17"/>
        <v>0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627</v>
      </c>
      <c r="C165" s="379">
        <f>IF(C156=0,0,C163/C156)</f>
        <v>0</v>
      </c>
      <c r="D165" s="379">
        <f>IF(LN_IE4=0,0,LN_IE11/LN_IE4)</f>
        <v>0</v>
      </c>
      <c r="E165" s="379">
        <f t="shared" si="16"/>
        <v>0</v>
      </c>
      <c r="F165" s="362">
        <f t="shared" si="17"/>
        <v>0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674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629</v>
      </c>
      <c r="C168" s="424">
        <v>0</v>
      </c>
      <c r="D168" s="424">
        <v>0</v>
      </c>
      <c r="E168" s="424">
        <f t="shared" ref="E168:E176" si="18">D168-C168</f>
        <v>0</v>
      </c>
      <c r="F168" s="362">
        <f t="shared" ref="F168:F176" si="19">IF(C168=0,0,E168/C168)</f>
        <v>0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630</v>
      </c>
      <c r="C169" s="424">
        <v>0</v>
      </c>
      <c r="D169" s="424">
        <v>0</v>
      </c>
      <c r="E169" s="424">
        <f t="shared" si="18"/>
        <v>0</v>
      </c>
      <c r="F169" s="362">
        <f t="shared" si="19"/>
        <v>0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631</v>
      </c>
      <c r="C170" s="366">
        <f>IF(C168=0,0,C169/C168)</f>
        <v>0</v>
      </c>
      <c r="D170" s="366">
        <f>IF(LN_IE14=0,0,LN_IE15/LN_IE14)</f>
        <v>0</v>
      </c>
      <c r="E170" s="367">
        <f t="shared" si="18"/>
        <v>0</v>
      </c>
      <c r="F170" s="362">
        <f t="shared" si="19"/>
        <v>0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632</v>
      </c>
      <c r="C171" s="366">
        <f>IF(C153=0,0,C168/C153)</f>
        <v>0</v>
      </c>
      <c r="D171" s="366">
        <f>IF(LN_IE1=0,0,LN_IE14/LN_IE1)</f>
        <v>0</v>
      </c>
      <c r="E171" s="367">
        <f t="shared" si="18"/>
        <v>0</v>
      </c>
      <c r="F171" s="362">
        <f t="shared" si="19"/>
        <v>0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633</v>
      </c>
      <c r="C172" s="376">
        <f>C171*C156</f>
        <v>0</v>
      </c>
      <c r="D172" s="376">
        <f>LN_IE17*LN_IE4</f>
        <v>0</v>
      </c>
      <c r="E172" s="376">
        <f t="shared" si="18"/>
        <v>0</v>
      </c>
      <c r="F172" s="362">
        <f t="shared" si="19"/>
        <v>0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634</v>
      </c>
      <c r="C173" s="378">
        <f>IF(C172=0,0,C169/C172)</f>
        <v>0</v>
      </c>
      <c r="D173" s="378">
        <f>IF(LN_IE18=0,0,LN_IE15/LN_IE18)</f>
        <v>0</v>
      </c>
      <c r="E173" s="378">
        <f t="shared" si="18"/>
        <v>0</v>
      </c>
      <c r="F173" s="362">
        <f t="shared" si="19"/>
        <v>0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675</v>
      </c>
      <c r="C174" s="378">
        <f>C61-C173</f>
        <v>5591.9053466393289</v>
      </c>
      <c r="D174" s="378">
        <f>LN_IB18-LN_IE19</f>
        <v>5731.2821505299153</v>
      </c>
      <c r="E174" s="378">
        <f t="shared" si="18"/>
        <v>139.37680389058642</v>
      </c>
      <c r="F174" s="362">
        <f t="shared" si="19"/>
        <v>2.4924743043862552E-2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676</v>
      </c>
      <c r="C175" s="378">
        <f>C32-C173</f>
        <v>5232.1089428361411</v>
      </c>
      <c r="D175" s="378">
        <f>LN_IA16-LN_IE19</f>
        <v>4326.1974469199549</v>
      </c>
      <c r="E175" s="378">
        <f t="shared" si="18"/>
        <v>-905.91149591618614</v>
      </c>
      <c r="F175" s="362">
        <f t="shared" si="19"/>
        <v>-0.17314461640875611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645</v>
      </c>
      <c r="C176" s="353">
        <f>C175*C172</f>
        <v>0</v>
      </c>
      <c r="D176" s="353">
        <f>LN_IE21*LN_IE18</f>
        <v>0</v>
      </c>
      <c r="E176" s="353">
        <f t="shared" si="18"/>
        <v>0</v>
      </c>
      <c r="F176" s="362">
        <f t="shared" si="19"/>
        <v>0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677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636</v>
      </c>
      <c r="C179" s="361">
        <f>C153+C168</f>
        <v>0</v>
      </c>
      <c r="D179" s="361">
        <f>LN_IE1+LN_IE14</f>
        <v>0</v>
      </c>
      <c r="E179" s="361">
        <f>D179-C179</f>
        <v>0</v>
      </c>
      <c r="F179" s="362">
        <f>IF(C179=0,0,E179/C179)</f>
        <v>0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637</v>
      </c>
      <c r="C180" s="361">
        <f>C154+C169</f>
        <v>0</v>
      </c>
      <c r="D180" s="361">
        <f>LN_IE15+LN_IE2</f>
        <v>0</v>
      </c>
      <c r="E180" s="361">
        <f>D180-C180</f>
        <v>0</v>
      </c>
      <c r="F180" s="362">
        <f>IF(C180=0,0,E180/C180)</f>
        <v>0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638</v>
      </c>
      <c r="C181" s="361">
        <f>C179-C180</f>
        <v>0</v>
      </c>
      <c r="D181" s="361">
        <f>LN_IE23-LN_IE24</f>
        <v>0</v>
      </c>
      <c r="E181" s="361">
        <f>D181-C181</f>
        <v>0</v>
      </c>
      <c r="F181" s="362">
        <f>IF(C181=0,0,E181/C181)</f>
        <v>0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678</v>
      </c>
      <c r="C183" s="361">
        <f>C162+C176</f>
        <v>0</v>
      </c>
      <c r="D183" s="361">
        <f>LN_IE10+LN_IE22</f>
        <v>0</v>
      </c>
      <c r="E183" s="353">
        <f>D183-C183</f>
        <v>0</v>
      </c>
      <c r="F183" s="362">
        <f>IF(C183=0,0,E183/C183)</f>
        <v>0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366</v>
      </c>
      <c r="B185" s="356" t="s">
        <v>679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680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620</v>
      </c>
      <c r="C188" s="361">
        <f>C118+C153</f>
        <v>21507928</v>
      </c>
      <c r="D188" s="361">
        <f>LN_ID1+LN_IE1</f>
        <v>23778114</v>
      </c>
      <c r="E188" s="361">
        <f t="shared" ref="E188:E200" si="20">D188-C188</f>
        <v>2270186</v>
      </c>
      <c r="F188" s="362">
        <f t="shared" ref="F188:F200" si="21">IF(C188=0,0,E188/C188)</f>
        <v>0.10555112514789895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621</v>
      </c>
      <c r="C189" s="361">
        <f>C119+C154</f>
        <v>6632224</v>
      </c>
      <c r="D189" s="361">
        <f>LN_1D2+LN_IE2</f>
        <v>6283677</v>
      </c>
      <c r="E189" s="361">
        <f t="shared" si="20"/>
        <v>-348547</v>
      </c>
      <c r="F189" s="362">
        <f t="shared" si="21"/>
        <v>-5.2553562726470035E-2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622</v>
      </c>
      <c r="C190" s="366">
        <f>IF(C188=0,0,C189/C188)</f>
        <v>0.3083618282523542</v>
      </c>
      <c r="D190" s="366">
        <f>IF(LN_IF1=0,0,LN_IF2/LN_IF1)</f>
        <v>0.26426305299066194</v>
      </c>
      <c r="E190" s="367">
        <f t="shared" si="20"/>
        <v>-4.4098775261692258E-2</v>
      </c>
      <c r="F190" s="362">
        <f t="shared" si="21"/>
        <v>-0.1430098385121881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1593</v>
      </c>
      <c r="D191" s="369">
        <f>LN_ID4+LN_IE4</f>
        <v>1625</v>
      </c>
      <c r="E191" s="369">
        <f t="shared" si="20"/>
        <v>32</v>
      </c>
      <c r="F191" s="362">
        <f t="shared" si="21"/>
        <v>2.0087884494664157E-2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623</v>
      </c>
      <c r="C192" s="372">
        <f>IF((C121+C156)=0,0,(C123+C158)/(C121+C156))</f>
        <v>0.93069999999999997</v>
      </c>
      <c r="D192" s="372">
        <f>IF((LN_ID4+LN_IE4)=0,0,(LN_ID6+LN_IE6)/(LN_ID4+LN_IE4))</f>
        <v>0.9425</v>
      </c>
      <c r="E192" s="373">
        <f t="shared" si="20"/>
        <v>1.1800000000000033E-2</v>
      </c>
      <c r="F192" s="362">
        <f t="shared" si="21"/>
        <v>1.2678628988933096E-2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624</v>
      </c>
      <c r="C193" s="376">
        <f>C123+C158</f>
        <v>1482.6051</v>
      </c>
      <c r="D193" s="376">
        <f>LN_IF4*LN_IF5</f>
        <v>1531.5625</v>
      </c>
      <c r="E193" s="376">
        <f t="shared" si="20"/>
        <v>48.957400000000007</v>
      </c>
      <c r="F193" s="362">
        <f t="shared" si="21"/>
        <v>3.3021200318277606E-2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625</v>
      </c>
      <c r="C194" s="378">
        <f>IF(C193=0,0,C189/C193)</f>
        <v>4473.3584148604368</v>
      </c>
      <c r="D194" s="378">
        <f>IF(LN_IF6=0,0,LN_IF2/LN_IF6)</f>
        <v>4102.7884921444602</v>
      </c>
      <c r="E194" s="378">
        <f t="shared" si="20"/>
        <v>-370.56992271597665</v>
      </c>
      <c r="F194" s="362">
        <f t="shared" si="21"/>
        <v>-8.2839309607955477E-2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681</v>
      </c>
      <c r="C195" s="378">
        <f>C48-C194</f>
        <v>3048.6940081327866</v>
      </c>
      <c r="D195" s="378">
        <f>LN_IB7-LN_IF7</f>
        <v>6126.0301409687308</v>
      </c>
      <c r="E195" s="378">
        <f t="shared" si="20"/>
        <v>3077.3361328359442</v>
      </c>
      <c r="F195" s="362">
        <f t="shared" si="21"/>
        <v>1.0093948833916264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682</v>
      </c>
      <c r="C196" s="378">
        <f>C21-C194</f>
        <v>2212.9036126890624</v>
      </c>
      <c r="D196" s="378">
        <f>LN_IA7-LN_IF7</f>
        <v>2684.9561024810509</v>
      </c>
      <c r="E196" s="378">
        <f t="shared" si="20"/>
        <v>472.05248979198859</v>
      </c>
      <c r="F196" s="362">
        <f t="shared" si="21"/>
        <v>0.21331814322376327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642</v>
      </c>
      <c r="C197" s="391">
        <f>C127+C162</f>
        <v>3280862.1819812288</v>
      </c>
      <c r="D197" s="391">
        <f>LN_IF9*LN_IF6</f>
        <v>4112178.0807061344</v>
      </c>
      <c r="E197" s="391">
        <f t="shared" si="20"/>
        <v>831315.89872490568</v>
      </c>
      <c r="F197" s="362">
        <f t="shared" si="21"/>
        <v>0.25338336468095568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5653</v>
      </c>
      <c r="D198" s="369">
        <f>LN_ID11+LN_IE11</f>
        <v>6109</v>
      </c>
      <c r="E198" s="369">
        <f t="shared" si="20"/>
        <v>456</v>
      </c>
      <c r="F198" s="362">
        <f t="shared" si="21"/>
        <v>8.0665133557403151E-2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626</v>
      </c>
      <c r="C199" s="432">
        <f>IF(C198=0,0,C189/C198)</f>
        <v>1173.2220060145055</v>
      </c>
      <c r="D199" s="432">
        <f>IF(LN_IF11=0,0,LN_IF2/LN_IF11)</f>
        <v>1028.5933868063512</v>
      </c>
      <c r="E199" s="432">
        <f t="shared" si="20"/>
        <v>-144.6286192081543</v>
      </c>
      <c r="F199" s="362">
        <f t="shared" si="21"/>
        <v>-0.12327472419262323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627</v>
      </c>
      <c r="C200" s="379">
        <f>IF(C191=0,0,C198/C191)</f>
        <v>3.5486503452605147</v>
      </c>
      <c r="D200" s="379">
        <f>IF(LN_IF4=0,0,LN_IF11/LN_IF4)</f>
        <v>3.7593846153846155</v>
      </c>
      <c r="E200" s="379">
        <f t="shared" si="20"/>
        <v>0.21073427012410084</v>
      </c>
      <c r="F200" s="362">
        <f t="shared" si="21"/>
        <v>5.9384343235042041E-2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683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629</v>
      </c>
      <c r="C203" s="361">
        <f>C133+C168</f>
        <v>45610048</v>
      </c>
      <c r="D203" s="361">
        <f>LN_ID14+LN_IE14</f>
        <v>48026683</v>
      </c>
      <c r="E203" s="361">
        <f t="shared" ref="E203:E211" si="22">D203-C203</f>
        <v>2416635</v>
      </c>
      <c r="F203" s="362">
        <f t="shared" ref="F203:F211" si="23">IF(C203=0,0,E203/C203)</f>
        <v>5.2984706352424797E-2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630</v>
      </c>
      <c r="C204" s="361">
        <f>C134+C169</f>
        <v>11612683</v>
      </c>
      <c r="D204" s="361">
        <f>LN_ID15+LN_IE15</f>
        <v>10048174</v>
      </c>
      <c r="E204" s="361">
        <f t="shared" si="22"/>
        <v>-1564509</v>
      </c>
      <c r="F204" s="362">
        <f t="shared" si="23"/>
        <v>-0.13472416322739542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631</v>
      </c>
      <c r="C205" s="366">
        <f>IF(C203=0,0,C204/C203)</f>
        <v>0.25460799778154147</v>
      </c>
      <c r="D205" s="366">
        <f>IF(LN_IF14=0,0,LN_IF15/LN_IF14)</f>
        <v>0.20922065344383664</v>
      </c>
      <c r="E205" s="367">
        <f t="shared" si="22"/>
        <v>-4.5387344337704832E-2</v>
      </c>
      <c r="F205" s="362">
        <f t="shared" si="23"/>
        <v>-0.17826362381847896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632</v>
      </c>
      <c r="C206" s="366">
        <f>IF(C188=0,0,C203/C188)</f>
        <v>2.1206156167158454</v>
      </c>
      <c r="D206" s="366">
        <f>IF(LN_IF1=0,0,LN_IF14/LN_IF1)</f>
        <v>2.0197852108876253</v>
      </c>
      <c r="E206" s="367">
        <f t="shared" si="22"/>
        <v>-0.10083040582822012</v>
      </c>
      <c r="F206" s="362">
        <f t="shared" si="23"/>
        <v>-4.7547705031227738E-2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633</v>
      </c>
      <c r="C207" s="376">
        <f>C137+C172</f>
        <v>3378.1406774283419</v>
      </c>
      <c r="D207" s="376">
        <f>LN_ID18+LN_IE18</f>
        <v>3282.1509676923911</v>
      </c>
      <c r="E207" s="376">
        <f t="shared" si="22"/>
        <v>-95.989709735950782</v>
      </c>
      <c r="F207" s="362">
        <f t="shared" si="23"/>
        <v>-2.8414953343217291E-2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634</v>
      </c>
      <c r="C208" s="378">
        <f>IF(C207=0,0,C204/C207)</f>
        <v>3437.5960354736681</v>
      </c>
      <c r="D208" s="378">
        <f>IF(LN_IF18=0,0,LN_IF15/LN_IF18)</f>
        <v>3061.4600299951016</v>
      </c>
      <c r="E208" s="378">
        <f t="shared" si="22"/>
        <v>-376.1360054785664</v>
      </c>
      <c r="F208" s="362">
        <f t="shared" si="23"/>
        <v>-0.10941832652734557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684</v>
      </c>
      <c r="C209" s="378">
        <f>C61-C208</f>
        <v>2154.3093111656608</v>
      </c>
      <c r="D209" s="378">
        <f>LN_IB18-LN_IF19</f>
        <v>2669.8221205348136</v>
      </c>
      <c r="E209" s="378">
        <f t="shared" si="22"/>
        <v>515.51280936915282</v>
      </c>
      <c r="F209" s="362">
        <f t="shared" si="23"/>
        <v>0.23929377582749128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685</v>
      </c>
      <c r="C210" s="378">
        <f>C32-C208</f>
        <v>1794.512907362473</v>
      </c>
      <c r="D210" s="378">
        <f>LN_IA16-LN_IF19</f>
        <v>1264.7374169248533</v>
      </c>
      <c r="E210" s="378">
        <f t="shared" si="22"/>
        <v>-529.77549043761974</v>
      </c>
      <c r="F210" s="362">
        <f t="shared" si="23"/>
        <v>-0.29521966003369099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645</v>
      </c>
      <c r="C211" s="391">
        <f>C141+C176</f>
        <v>6062117.0485313674</v>
      </c>
      <c r="D211" s="353">
        <f>LN_IF21*LN_IF18</f>
        <v>4151059.1368366824</v>
      </c>
      <c r="E211" s="353">
        <f t="shared" si="22"/>
        <v>-1911057.911694685</v>
      </c>
      <c r="F211" s="362">
        <f t="shared" si="23"/>
        <v>-0.31524596051105042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686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636</v>
      </c>
      <c r="C214" s="361">
        <f>C188+C203</f>
        <v>67117976</v>
      </c>
      <c r="D214" s="361">
        <f>LN_IF1+LN_IF14</f>
        <v>71804797</v>
      </c>
      <c r="E214" s="361">
        <f>D214-C214</f>
        <v>4686821</v>
      </c>
      <c r="F214" s="362">
        <f>IF(C214=0,0,E214/C214)</f>
        <v>6.9829593788704236E-2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637</v>
      </c>
      <c r="C215" s="361">
        <f>C189+C204</f>
        <v>18244907</v>
      </c>
      <c r="D215" s="361">
        <f>LN_IF2+LN_IF15</f>
        <v>16331851</v>
      </c>
      <c r="E215" s="361">
        <f>D215-C215</f>
        <v>-1913056</v>
      </c>
      <c r="F215" s="362">
        <f>IF(C215=0,0,E215/C215)</f>
        <v>-0.10485424781830897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638</v>
      </c>
      <c r="C216" s="361">
        <f>C214-C215</f>
        <v>48873069</v>
      </c>
      <c r="D216" s="361">
        <f>LN_IF23-LN_IF24</f>
        <v>55472946</v>
      </c>
      <c r="E216" s="361">
        <f>D216-C216</f>
        <v>6599877</v>
      </c>
      <c r="F216" s="362">
        <f>IF(C216=0,0,E216/C216)</f>
        <v>0.13504118188280748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378</v>
      </c>
      <c r="B218" s="356" t="s">
        <v>687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688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620</v>
      </c>
      <c r="C221" s="361">
        <v>352195</v>
      </c>
      <c r="D221" s="361">
        <v>269030</v>
      </c>
      <c r="E221" s="361">
        <f t="shared" ref="E221:E230" si="24">D221-C221</f>
        <v>-83165</v>
      </c>
      <c r="F221" s="362">
        <f t="shared" ref="F221:F230" si="25">IF(C221=0,0,E221/C221)</f>
        <v>-0.23613339201294736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621</v>
      </c>
      <c r="C222" s="361">
        <v>145385</v>
      </c>
      <c r="D222" s="361">
        <v>67500</v>
      </c>
      <c r="E222" s="361">
        <f t="shared" si="24"/>
        <v>-77885</v>
      </c>
      <c r="F222" s="362">
        <f t="shared" si="25"/>
        <v>-0.53571551398012174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622</v>
      </c>
      <c r="C223" s="366">
        <f>IF(C221=0,0,C222/C221)</f>
        <v>0.41279688808756515</v>
      </c>
      <c r="D223" s="366">
        <f>IF(LN_IG1=0,0,LN_IG2/LN_IG1)</f>
        <v>0.25090138646247628</v>
      </c>
      <c r="E223" s="367">
        <f t="shared" si="24"/>
        <v>-0.16189550162508887</v>
      </c>
      <c r="F223" s="362">
        <f t="shared" si="25"/>
        <v>-0.39219167173262831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25</v>
      </c>
      <c r="D224" s="369">
        <v>25</v>
      </c>
      <c r="E224" s="369">
        <f t="shared" si="24"/>
        <v>0</v>
      </c>
      <c r="F224" s="362">
        <f t="shared" si="25"/>
        <v>0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623</v>
      </c>
      <c r="C225" s="372">
        <v>1.1613</v>
      </c>
      <c r="D225" s="372">
        <v>0.73570000000000002</v>
      </c>
      <c r="E225" s="373">
        <f t="shared" si="24"/>
        <v>-0.42559999999999998</v>
      </c>
      <c r="F225" s="362">
        <f t="shared" si="25"/>
        <v>-0.3664858348402652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624</v>
      </c>
      <c r="C226" s="376">
        <f>C224*C225</f>
        <v>29.032499999999999</v>
      </c>
      <c r="D226" s="376">
        <f>LN_IG3*LN_IG4</f>
        <v>18.392500000000002</v>
      </c>
      <c r="E226" s="376">
        <f t="shared" si="24"/>
        <v>-10.639999999999997</v>
      </c>
      <c r="F226" s="362">
        <f t="shared" si="25"/>
        <v>-0.36648583484026515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625</v>
      </c>
      <c r="C227" s="378">
        <f>IF(C226=0,0,C222/C226)</f>
        <v>5007.6638250236801</v>
      </c>
      <c r="D227" s="378">
        <f>IF(LN_IG5=0,0,LN_IG2/LN_IG5)</f>
        <v>3669.9741742558103</v>
      </c>
      <c r="E227" s="378">
        <f t="shared" si="24"/>
        <v>-1337.6896507678698</v>
      </c>
      <c r="F227" s="362">
        <f t="shared" si="25"/>
        <v>-0.26712848496005903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81</v>
      </c>
      <c r="D228" s="369">
        <v>65</v>
      </c>
      <c r="E228" s="369">
        <f t="shared" si="24"/>
        <v>-16</v>
      </c>
      <c r="F228" s="362">
        <f t="shared" si="25"/>
        <v>-0.19753086419753085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626</v>
      </c>
      <c r="C229" s="378">
        <f>IF(C228=0,0,C222/C228)</f>
        <v>1794.8765432098764</v>
      </c>
      <c r="D229" s="378">
        <f>IF(LN_IG6=0,0,LN_IG2/LN_IG6)</f>
        <v>1038.4615384615386</v>
      </c>
      <c r="E229" s="378">
        <f t="shared" si="24"/>
        <v>-756.41500474833788</v>
      </c>
      <c r="F229" s="362">
        <f t="shared" si="25"/>
        <v>-0.42143010203676701</v>
      </c>
      <c r="Q229" s="330"/>
      <c r="U229" s="375"/>
    </row>
    <row r="230" spans="1:21" ht="11.25" customHeight="1" x14ac:dyDescent="0.2">
      <c r="A230" s="364">
        <v>10</v>
      </c>
      <c r="B230" s="360" t="s">
        <v>627</v>
      </c>
      <c r="C230" s="379">
        <f>IF(C224=0,0,C228/C224)</f>
        <v>3.24</v>
      </c>
      <c r="D230" s="379">
        <f>IF(LN_IG3=0,0,LN_IG6/LN_IG3)</f>
        <v>2.6</v>
      </c>
      <c r="E230" s="379">
        <f t="shared" si="24"/>
        <v>-0.64000000000000012</v>
      </c>
      <c r="F230" s="362">
        <f t="shared" si="25"/>
        <v>-0.19753086419753088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689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629</v>
      </c>
      <c r="C233" s="361">
        <v>666145</v>
      </c>
      <c r="D233" s="361">
        <v>537685</v>
      </c>
      <c r="E233" s="361">
        <f>D233-C233</f>
        <v>-128460</v>
      </c>
      <c r="F233" s="362">
        <f>IF(C233=0,0,E233/C233)</f>
        <v>-0.19284089800268711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630</v>
      </c>
      <c r="C234" s="361">
        <v>132563</v>
      </c>
      <c r="D234" s="361">
        <v>151700</v>
      </c>
      <c r="E234" s="361">
        <f>D234-C234</f>
        <v>19137</v>
      </c>
      <c r="F234" s="362">
        <f>IF(C234=0,0,E234/C234)</f>
        <v>0.14436154884847205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690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636</v>
      </c>
      <c r="C237" s="361">
        <f>C221+C233</f>
        <v>1018340</v>
      </c>
      <c r="D237" s="361">
        <f>LN_IG1+LN_IG9</f>
        <v>806715</v>
      </c>
      <c r="E237" s="361">
        <f>D237-C237</f>
        <v>-211625</v>
      </c>
      <c r="F237" s="362">
        <f>IF(C237=0,0,E237/C237)</f>
        <v>-0.2078136968006756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637</v>
      </c>
      <c r="C238" s="361">
        <f>C222+C234</f>
        <v>277948</v>
      </c>
      <c r="D238" s="361">
        <f>LN_IG2+LN_IG10</f>
        <v>219200</v>
      </c>
      <c r="E238" s="361">
        <f>D238-C238</f>
        <v>-58748</v>
      </c>
      <c r="F238" s="362">
        <f>IF(C238=0,0,E238/C238)</f>
        <v>-0.21136327658410925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638</v>
      </c>
      <c r="C239" s="361">
        <f>C237-C238</f>
        <v>740392</v>
      </c>
      <c r="D239" s="361">
        <f>LN_IG13-LN_IG14</f>
        <v>587515</v>
      </c>
      <c r="E239" s="361">
        <f>D239-C239</f>
        <v>-152877</v>
      </c>
      <c r="F239" s="362">
        <f>IF(C239=0,0,E239/C239)</f>
        <v>-0.20648116133075453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382</v>
      </c>
      <c r="B241" s="356" t="s">
        <v>691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692</v>
      </c>
      <c r="C243" s="361">
        <v>6100777</v>
      </c>
      <c r="D243" s="361">
        <v>5173982</v>
      </c>
      <c r="E243" s="353">
        <f>D243-C243</f>
        <v>-926795</v>
      </c>
      <c r="F243" s="415">
        <f>IF(C243=0,0,E243/C243)</f>
        <v>-0.15191425616769799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693</v>
      </c>
      <c r="C244" s="361">
        <v>131894527</v>
      </c>
      <c r="D244" s="361">
        <v>134486303</v>
      </c>
      <c r="E244" s="353">
        <f>D244-C244</f>
        <v>2591776</v>
      </c>
      <c r="F244" s="415">
        <f>IF(C244=0,0,E244/C244)</f>
        <v>1.9650368055074793E-2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694</v>
      </c>
      <c r="C245" s="400">
        <v>0</v>
      </c>
      <c r="D245" s="400">
        <v>0</v>
      </c>
      <c r="E245" s="400">
        <f>D245-C245</f>
        <v>0</v>
      </c>
      <c r="F245" s="401">
        <f>IF(C245=0,0,E245/C245)</f>
        <v>0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695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696</v>
      </c>
      <c r="C248" s="353">
        <v>223751</v>
      </c>
      <c r="D248" s="353">
        <v>3781958</v>
      </c>
      <c r="E248" s="353">
        <f>D248-C248</f>
        <v>3558207</v>
      </c>
      <c r="F248" s="362">
        <f>IF(C248=0,0,E248/C248)</f>
        <v>15.902530044558461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697</v>
      </c>
      <c r="C249" s="353">
        <v>9847024</v>
      </c>
      <c r="D249" s="353">
        <v>6470291</v>
      </c>
      <c r="E249" s="353">
        <f>D249-C249</f>
        <v>-3376733</v>
      </c>
      <c r="F249" s="362">
        <f>IF(C249=0,0,E249/C249)</f>
        <v>-0.34291913983351724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698</v>
      </c>
      <c r="C250" s="353">
        <f>C248+C249</f>
        <v>10070775</v>
      </c>
      <c r="D250" s="353">
        <f>LN_IH4+LN_IH5</f>
        <v>10252249</v>
      </c>
      <c r="E250" s="353">
        <f>D250-C250</f>
        <v>181474</v>
      </c>
      <c r="F250" s="362">
        <f>IF(C250=0,0,E250/C250)</f>
        <v>1.8019864409640766E-2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699</v>
      </c>
      <c r="C251" s="353">
        <f>C250*C313</f>
        <v>3437665.7197294747</v>
      </c>
      <c r="D251" s="353">
        <f>LN_IH6*LN_III10</f>
        <v>3359900.1940633515</v>
      </c>
      <c r="E251" s="353">
        <f>D251-C251</f>
        <v>-77765.525666123256</v>
      </c>
      <c r="F251" s="362">
        <f>IF(C251=0,0,E251/C251)</f>
        <v>-2.2621607802006699E-2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700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636</v>
      </c>
      <c r="C254" s="353">
        <f>C188+C203</f>
        <v>67117976</v>
      </c>
      <c r="D254" s="353">
        <f>LN_IF23</f>
        <v>71804797</v>
      </c>
      <c r="E254" s="353">
        <f>D254-C254</f>
        <v>4686821</v>
      </c>
      <c r="F254" s="362">
        <f>IF(C254=0,0,E254/C254)</f>
        <v>6.9829593788704236E-2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637</v>
      </c>
      <c r="C255" s="353">
        <f>C189+C204</f>
        <v>18244907</v>
      </c>
      <c r="D255" s="353">
        <f>LN_IF24</f>
        <v>16331851</v>
      </c>
      <c r="E255" s="353">
        <f>D255-C255</f>
        <v>-1913056</v>
      </c>
      <c r="F255" s="362">
        <f>IF(C255=0,0,E255/C255)</f>
        <v>-0.10485424781830897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701</v>
      </c>
      <c r="C256" s="353">
        <f>C254*C313</f>
        <v>22910765.583862774</v>
      </c>
      <c r="D256" s="353">
        <f>LN_IH8*LN_III10</f>
        <v>23532100.261608899</v>
      </c>
      <c r="E256" s="353">
        <f>D256-C256</f>
        <v>621334.67774612457</v>
      </c>
      <c r="F256" s="362">
        <f>IF(C256=0,0,E256/C256)</f>
        <v>2.7119769327296615E-2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702</v>
      </c>
      <c r="C257" s="353">
        <f>C256-C255</f>
        <v>4665858.5838627741</v>
      </c>
      <c r="D257" s="353">
        <f>LN_IH10-LN_IH9</f>
        <v>7200249.2616088986</v>
      </c>
      <c r="E257" s="353">
        <f>D257-C257</f>
        <v>2534390.6777461246</v>
      </c>
      <c r="F257" s="362">
        <f>IF(C257=0,0,E257/C257)</f>
        <v>0.54317777364952868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703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704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705</v>
      </c>
      <c r="C261" s="361">
        <f>C15+C42+C188+C221</f>
        <v>131648635</v>
      </c>
      <c r="D261" s="361">
        <f>LN_IA1+LN_IB1+LN_IF1+LN_IG1</f>
        <v>142677758</v>
      </c>
      <c r="E261" s="361">
        <f t="shared" ref="E261:E274" si="26">D261-C261</f>
        <v>11029123</v>
      </c>
      <c r="F261" s="415">
        <f t="shared" ref="F261:F274" si="27">IF(C261=0,0,E261/C261)</f>
        <v>8.3776964341483684E-2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706</v>
      </c>
      <c r="C262" s="361">
        <f>C16+C43+C189+C222</f>
        <v>52974162</v>
      </c>
      <c r="D262" s="361">
        <f>+LN_IA2+LN_IB2+LN_IF2+LN_IG2</f>
        <v>61000511</v>
      </c>
      <c r="E262" s="361">
        <f t="shared" si="26"/>
        <v>8026349</v>
      </c>
      <c r="F262" s="415">
        <f t="shared" si="27"/>
        <v>0.15151441187498163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707</v>
      </c>
      <c r="C263" s="366">
        <f>IF(C261=0,0,C262/C261)</f>
        <v>0.40239051472125026</v>
      </c>
      <c r="D263" s="366">
        <f>IF(LN_IIA1=0,0,LN_IIA2/LN_IIA1)</f>
        <v>0.42754043696144989</v>
      </c>
      <c r="E263" s="367">
        <f t="shared" si="26"/>
        <v>2.5149922240199629E-2</v>
      </c>
      <c r="F263" s="371">
        <f t="shared" si="27"/>
        <v>6.2501280025504188E-2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708</v>
      </c>
      <c r="C264" s="369">
        <f>C18+C45+C191+C224</f>
        <v>7316</v>
      </c>
      <c r="D264" s="369">
        <f>LN_IA4+LN_IB4+LN_IF4+LN_IG3</f>
        <v>7565</v>
      </c>
      <c r="E264" s="369">
        <f t="shared" si="26"/>
        <v>249</v>
      </c>
      <c r="F264" s="415">
        <f t="shared" si="27"/>
        <v>3.4034991798797154E-2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709</v>
      </c>
      <c r="C265" s="439">
        <f>IF(C264=0,0,C266/C264)</f>
        <v>1.1123844723892837</v>
      </c>
      <c r="D265" s="439">
        <f>IF(LN_IIA4=0,0,LN_IIA6/LN_IIA4)</f>
        <v>1.1171512227362854</v>
      </c>
      <c r="E265" s="439">
        <f t="shared" si="26"/>
        <v>4.7667503470016914E-3</v>
      </c>
      <c r="F265" s="415">
        <f t="shared" si="27"/>
        <v>4.2851644061187031E-3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710</v>
      </c>
      <c r="C266" s="376">
        <f>C20+C47+C193+C226</f>
        <v>8138.2048000000004</v>
      </c>
      <c r="D266" s="376">
        <f>LN_IA6+LN_IB6+LN_IF6+LN_IG5</f>
        <v>8451.2489999999998</v>
      </c>
      <c r="E266" s="376">
        <f t="shared" si="26"/>
        <v>313.04419999999936</v>
      </c>
      <c r="F266" s="415">
        <f t="shared" si="27"/>
        <v>3.8466001740334592E-2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711</v>
      </c>
      <c r="C267" s="361">
        <f>C27+C56+C203+C233</f>
        <v>213396856</v>
      </c>
      <c r="D267" s="361">
        <f>LN_IA11+LN_IB13+LN_IF14+LN_IG9</f>
        <v>243235287</v>
      </c>
      <c r="E267" s="361">
        <f t="shared" si="26"/>
        <v>29838431</v>
      </c>
      <c r="F267" s="415">
        <f t="shared" si="27"/>
        <v>0.13982601037008718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632</v>
      </c>
      <c r="C268" s="366">
        <f>IF(C261=0,0,C267/C261)</f>
        <v>1.6209576043078608</v>
      </c>
      <c r="D268" s="366">
        <f>IF(LN_IIA1=0,0,LN_IIA7/LN_IIA1)</f>
        <v>1.7047877006870265</v>
      </c>
      <c r="E268" s="367">
        <f t="shared" si="26"/>
        <v>8.3830096379165608E-2</v>
      </c>
      <c r="F268" s="371">
        <f t="shared" si="27"/>
        <v>5.171640279571689E-2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712</v>
      </c>
      <c r="C269" s="361">
        <f>C28+C57+C204+C234</f>
        <v>62691694</v>
      </c>
      <c r="D269" s="361">
        <f>LN_IA12+LN_IB14+LN_IF15+LN_IG10</f>
        <v>63109826</v>
      </c>
      <c r="E269" s="361">
        <f t="shared" si="26"/>
        <v>418132</v>
      </c>
      <c r="F269" s="415">
        <f t="shared" si="27"/>
        <v>6.669655473020078E-3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631</v>
      </c>
      <c r="C270" s="366">
        <f>IF(C267=0,0,C269/C267)</f>
        <v>0.29377983900568805</v>
      </c>
      <c r="D270" s="366">
        <f>IF(LN_IIA7=0,0,LN_IIA9/LN_IIA7)</f>
        <v>0.25945999356581845</v>
      </c>
      <c r="E270" s="367">
        <f t="shared" si="26"/>
        <v>-3.4319845439869601E-2</v>
      </c>
      <c r="F270" s="371">
        <f t="shared" si="27"/>
        <v>-0.11682164969531865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713</v>
      </c>
      <c r="C271" s="353">
        <f>C261+C267</f>
        <v>345045491</v>
      </c>
      <c r="D271" s="353">
        <f>LN_IIA1+LN_IIA7</f>
        <v>385913045</v>
      </c>
      <c r="E271" s="353">
        <f t="shared" si="26"/>
        <v>40867554</v>
      </c>
      <c r="F271" s="415">
        <f t="shared" si="27"/>
        <v>0.11844106086289938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714</v>
      </c>
      <c r="C272" s="353">
        <f>C262+C269</f>
        <v>115665856</v>
      </c>
      <c r="D272" s="353">
        <f>LN_IIA2+LN_IIA9</f>
        <v>124110337</v>
      </c>
      <c r="E272" s="353">
        <f t="shared" si="26"/>
        <v>8444481</v>
      </c>
      <c r="F272" s="415">
        <f t="shared" si="27"/>
        <v>7.3007552029874745E-2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715</v>
      </c>
      <c r="C273" s="366">
        <f>IF(C271=0,0,C272/C271)</f>
        <v>0.33521914940775155</v>
      </c>
      <c r="D273" s="366">
        <f>IF(LN_IIA11=0,0,LN_IIA12/LN_IIA11)</f>
        <v>0.32160181835781165</v>
      </c>
      <c r="E273" s="367">
        <f t="shared" si="26"/>
        <v>-1.3617331049939896E-2</v>
      </c>
      <c r="F273" s="371">
        <f t="shared" si="27"/>
        <v>-4.0622175296364534E-2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28670</v>
      </c>
      <c r="D274" s="421">
        <f>LN_IA8+LN_IB10+LN_IF11+LN_IG6</f>
        <v>29383</v>
      </c>
      <c r="E274" s="442">
        <f t="shared" si="26"/>
        <v>713</v>
      </c>
      <c r="F274" s="371">
        <f t="shared" si="27"/>
        <v>2.4869201255667946E-2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716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717</v>
      </c>
      <c r="C277" s="361">
        <f>C15+C188+C221</f>
        <v>95183061</v>
      </c>
      <c r="D277" s="361">
        <f>LN_IA1+LN_IF1+LN_IG1</f>
        <v>103164955</v>
      </c>
      <c r="E277" s="361">
        <f t="shared" ref="E277:E291" si="28">D277-C277</f>
        <v>7981894</v>
      </c>
      <c r="F277" s="415">
        <f t="shared" ref="F277:F291" si="29">IF(C277=0,0,E277/C277)</f>
        <v>8.3858345341509877E-2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718</v>
      </c>
      <c r="C278" s="361">
        <f>C16+C189+C222</f>
        <v>35968005</v>
      </c>
      <c r="D278" s="361">
        <f>LN_IA2+LN_IF2+LN_IG2</f>
        <v>37799300</v>
      </c>
      <c r="E278" s="361">
        <f t="shared" si="28"/>
        <v>1831295</v>
      </c>
      <c r="F278" s="415">
        <f t="shared" si="29"/>
        <v>5.0914555867082427E-2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719</v>
      </c>
      <c r="C279" s="366">
        <f>IF(C277=0,0,C278/C277)</f>
        <v>0.37788241544364704</v>
      </c>
      <c r="D279" s="366">
        <f>IF(D277=0,0,LN_IIB2/D277)</f>
        <v>0.36639670903748273</v>
      </c>
      <c r="E279" s="367">
        <f t="shared" si="28"/>
        <v>-1.1485706406164309E-2</v>
      </c>
      <c r="F279" s="371">
        <f t="shared" si="29"/>
        <v>-3.039492163899633E-2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720</v>
      </c>
      <c r="C280" s="369">
        <f>C18+C191+C224</f>
        <v>4996</v>
      </c>
      <c r="D280" s="369">
        <f>LN_IA4+LN_IF4+LN_IG3</f>
        <v>5215</v>
      </c>
      <c r="E280" s="369">
        <f t="shared" si="28"/>
        <v>219</v>
      </c>
      <c r="F280" s="415">
        <f t="shared" si="29"/>
        <v>4.3835068054443552E-2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721</v>
      </c>
      <c r="C281" s="439">
        <f>IF(C280=0,0,C282/C280)</f>
        <v>1.1764140912730185</v>
      </c>
      <c r="D281" s="439">
        <f>IF(LN_IIB4=0,0,LN_IIB6/LN_IIB4)</f>
        <v>1.1856239693192714</v>
      </c>
      <c r="E281" s="439">
        <f t="shared" si="28"/>
        <v>9.2098780462528396E-3</v>
      </c>
      <c r="F281" s="415">
        <f t="shared" si="29"/>
        <v>7.8287722958900186E-3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722</v>
      </c>
      <c r="C282" s="376">
        <f>C20+C193+C226</f>
        <v>5877.3648000000003</v>
      </c>
      <c r="D282" s="376">
        <f>LN_IA6+LN_IF6+LN_IG5</f>
        <v>6183.0290000000005</v>
      </c>
      <c r="E282" s="376">
        <f t="shared" si="28"/>
        <v>305.66420000000016</v>
      </c>
      <c r="F282" s="415">
        <f t="shared" si="29"/>
        <v>5.2007015116706752E-2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723</v>
      </c>
      <c r="C283" s="361">
        <f>C27+C203+C233</f>
        <v>120450585</v>
      </c>
      <c r="D283" s="361">
        <f>LN_IA11+LN_IF14+LN_IG9</f>
        <v>140708386</v>
      </c>
      <c r="E283" s="361">
        <f t="shared" si="28"/>
        <v>20257801</v>
      </c>
      <c r="F283" s="415">
        <f t="shared" si="29"/>
        <v>0.16818350031259707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724</v>
      </c>
      <c r="C284" s="366">
        <f>IF(C277=0,0,C283/C277)</f>
        <v>1.2654624019708718</v>
      </c>
      <c r="D284" s="366">
        <f>IF(D277=0,0,LN_IIB7/D277)</f>
        <v>1.3639165160300801</v>
      </c>
      <c r="E284" s="367">
        <f t="shared" si="28"/>
        <v>9.8454114059208342E-2</v>
      </c>
      <c r="F284" s="371">
        <f t="shared" si="29"/>
        <v>7.7800900213133753E-2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725</v>
      </c>
      <c r="C285" s="361">
        <f>C28+C204+C234</f>
        <v>29624548</v>
      </c>
      <c r="D285" s="361">
        <f>LN_IA12+LN_IF15+LN_IG10</f>
        <v>28162042</v>
      </c>
      <c r="E285" s="361">
        <f t="shared" si="28"/>
        <v>-1462506</v>
      </c>
      <c r="F285" s="415">
        <f t="shared" si="29"/>
        <v>-4.9368044366449065E-2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726</v>
      </c>
      <c r="C286" s="366">
        <f>IF(C283=0,0,C285/C283)</f>
        <v>0.24594773034933787</v>
      </c>
      <c r="D286" s="366">
        <f>IF(LN_IIB7=0,0,LN_IIB9/LN_IIB7)</f>
        <v>0.20014473053510826</v>
      </c>
      <c r="E286" s="367">
        <f t="shared" si="28"/>
        <v>-4.5802999814229611E-2</v>
      </c>
      <c r="F286" s="371">
        <f t="shared" si="29"/>
        <v>-0.18623062611381777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727</v>
      </c>
      <c r="C287" s="353">
        <f>C277+C283</f>
        <v>215633646</v>
      </c>
      <c r="D287" s="353">
        <f>D277+LN_IIB7</f>
        <v>243873341</v>
      </c>
      <c r="E287" s="353">
        <f t="shared" si="28"/>
        <v>28239695</v>
      </c>
      <c r="F287" s="415">
        <f t="shared" si="29"/>
        <v>0.13096145023675942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728</v>
      </c>
      <c r="C288" s="353">
        <f>C278+C285</f>
        <v>65592553</v>
      </c>
      <c r="D288" s="353">
        <f>LN_IIB2+LN_IIB9</f>
        <v>65961342</v>
      </c>
      <c r="E288" s="353">
        <f t="shared" si="28"/>
        <v>368789</v>
      </c>
      <c r="F288" s="415">
        <f t="shared" si="29"/>
        <v>5.6224218014505395E-3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729</v>
      </c>
      <c r="C289" s="366">
        <f>IF(C287=0,0,C288/C287)</f>
        <v>0.30418515021537967</v>
      </c>
      <c r="D289" s="366">
        <f>IF(LN_IIB11=0,0,LN_IIB12/LN_IIB11)</f>
        <v>0.27047377023468916</v>
      </c>
      <c r="E289" s="367">
        <f t="shared" si="28"/>
        <v>-3.3711379980690515E-2</v>
      </c>
      <c r="F289" s="371">
        <f t="shared" si="29"/>
        <v>-0.11082519957605103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21384</v>
      </c>
      <c r="D290" s="421">
        <f>LN_IA8+LN_IF11+LN_IG6</f>
        <v>22093</v>
      </c>
      <c r="E290" s="442">
        <f t="shared" si="28"/>
        <v>709</v>
      </c>
      <c r="F290" s="371">
        <f t="shared" si="29"/>
        <v>3.3155630377852602E-2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730</v>
      </c>
      <c r="C291" s="361">
        <f>C287-C288</f>
        <v>150041093</v>
      </c>
      <c r="D291" s="429">
        <f>LN_IIB11-LN_IIB12</f>
        <v>177911999</v>
      </c>
      <c r="E291" s="353">
        <f t="shared" si="28"/>
        <v>27870906</v>
      </c>
      <c r="F291" s="415">
        <f t="shared" si="29"/>
        <v>0.18575515175699234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627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618</v>
      </c>
      <c r="C294" s="379">
        <f>IF(C18=0,0,C22/C18)</f>
        <v>4.6329188869153342</v>
      </c>
      <c r="D294" s="379">
        <f>IF(LN_IA4=0,0,LN_IA8/LN_IA4)</f>
        <v>4.4653576437587654</v>
      </c>
      <c r="E294" s="379">
        <f t="shared" ref="E294:E300" si="30">D294-C294</f>
        <v>-0.16756124315656873</v>
      </c>
      <c r="F294" s="415">
        <f t="shared" ref="F294:F300" si="31">IF(C294=0,0,E294/C294)</f>
        <v>-3.6167532228938606E-2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639</v>
      </c>
      <c r="C295" s="379">
        <f>IF(C45=0,0,C51/C45)</f>
        <v>3.1405172413793103</v>
      </c>
      <c r="D295" s="379">
        <f>IF(LN_IB4=0,0,(LN_IB10)/(LN_IB4))</f>
        <v>3.1021276595744682</v>
      </c>
      <c r="E295" s="379">
        <f t="shared" si="30"/>
        <v>-3.8389581804842088E-2</v>
      </c>
      <c r="F295" s="415">
        <f t="shared" si="31"/>
        <v>-1.2223967854410328E-2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654</v>
      </c>
      <c r="C296" s="379">
        <f>IF(C86=0,0,C93/C86)</f>
        <v>4.1315789473684212</v>
      </c>
      <c r="D296" s="379">
        <f>IF(LN_IC4=0,0,LN_IC11/LN_IC4)</f>
        <v>3.1092436974789917</v>
      </c>
      <c r="E296" s="379">
        <f t="shared" si="30"/>
        <v>-1.0223352498894296</v>
      </c>
      <c r="F296" s="415">
        <f t="shared" si="31"/>
        <v>-0.24744420061018041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3.5486503452605147</v>
      </c>
      <c r="D297" s="379">
        <f>IF(LN_ID4=0,0,LN_ID11/LN_ID4)</f>
        <v>3.7593846153846155</v>
      </c>
      <c r="E297" s="379">
        <f t="shared" si="30"/>
        <v>0.21073427012410084</v>
      </c>
      <c r="F297" s="415">
        <f t="shared" si="31"/>
        <v>5.9384343235042041E-2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731</v>
      </c>
      <c r="C298" s="379">
        <f>IF(C156=0,0,C163/C156)</f>
        <v>0</v>
      </c>
      <c r="D298" s="379">
        <f>IF(LN_IE4=0,0,LN_IE11/LN_IE4)</f>
        <v>0</v>
      </c>
      <c r="E298" s="379">
        <f t="shared" si="30"/>
        <v>0</v>
      </c>
      <c r="F298" s="415">
        <f t="shared" si="31"/>
        <v>0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430</v>
      </c>
      <c r="C299" s="379">
        <f>IF(C224=0,0,C228/C224)</f>
        <v>3.24</v>
      </c>
      <c r="D299" s="379">
        <f>IF(LN_IG3=0,0,LN_IG6/LN_IG3)</f>
        <v>2.6</v>
      </c>
      <c r="E299" s="379">
        <f t="shared" si="30"/>
        <v>-0.64000000000000012</v>
      </c>
      <c r="F299" s="415">
        <f t="shared" si="31"/>
        <v>-0.19753086419753088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732</v>
      </c>
      <c r="C300" s="379">
        <f>IF(C264=0,0,C274/C264)</f>
        <v>3.9188080918534718</v>
      </c>
      <c r="D300" s="379">
        <f>IF(LN_IIA4=0,0,LN_IIA14/LN_IIA4)</f>
        <v>3.8840713813615335</v>
      </c>
      <c r="E300" s="379">
        <f t="shared" si="30"/>
        <v>-3.4736710491938272E-2</v>
      </c>
      <c r="F300" s="415">
        <f t="shared" si="31"/>
        <v>-8.8641009403216051E-3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733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727</v>
      </c>
      <c r="C304" s="353">
        <f>C35+C66+C214+C221+C233</f>
        <v>345045491</v>
      </c>
      <c r="D304" s="353">
        <f>LN_IIA11</f>
        <v>385913045</v>
      </c>
      <c r="E304" s="353">
        <f t="shared" ref="E304:E316" si="32">D304-C304</f>
        <v>40867554</v>
      </c>
      <c r="F304" s="362">
        <f>IF(C304=0,0,E304/C304)</f>
        <v>0.11844106086289938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730</v>
      </c>
      <c r="C305" s="353">
        <f>C291</f>
        <v>150041093</v>
      </c>
      <c r="D305" s="353">
        <f>LN_IIB14</f>
        <v>177911999</v>
      </c>
      <c r="E305" s="353">
        <f t="shared" si="32"/>
        <v>27870906</v>
      </c>
      <c r="F305" s="362">
        <f>IF(C305=0,0,E305/C305)</f>
        <v>0.18575515175699234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734</v>
      </c>
      <c r="C306" s="353">
        <f>C250</f>
        <v>10070775</v>
      </c>
      <c r="D306" s="353">
        <f>LN_IH6</f>
        <v>10252249</v>
      </c>
      <c r="E306" s="353">
        <f t="shared" si="32"/>
        <v>181474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735</v>
      </c>
      <c r="C307" s="353">
        <f>C73-C74</f>
        <v>64377873</v>
      </c>
      <c r="D307" s="353">
        <f>LN_IB32-LN_IB33</f>
        <v>67201429</v>
      </c>
      <c r="E307" s="353">
        <f t="shared" si="32"/>
        <v>2823556</v>
      </c>
      <c r="F307" s="362">
        <f t="shared" ref="F307:F316" si="33">IF(C307=0,0,E307/C307)</f>
        <v>4.3859106684062087E-2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736</v>
      </c>
      <c r="C308" s="353">
        <v>2774243</v>
      </c>
      <c r="D308" s="353">
        <v>4074697</v>
      </c>
      <c r="E308" s="353">
        <f t="shared" si="32"/>
        <v>1300454</v>
      </c>
      <c r="F308" s="362">
        <f t="shared" si="33"/>
        <v>0.46875994640700186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737</v>
      </c>
      <c r="C309" s="353">
        <f>C305+C307+C308+C306</f>
        <v>227263984</v>
      </c>
      <c r="D309" s="353">
        <f>LN_III2+LN_III3+LN_III4+LN_III5</f>
        <v>259440374</v>
      </c>
      <c r="E309" s="353">
        <f t="shared" si="32"/>
        <v>32176390</v>
      </c>
      <c r="F309" s="362">
        <f t="shared" si="33"/>
        <v>0.14158156269934966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738</v>
      </c>
      <c r="C310" s="353">
        <f>C304-C309</f>
        <v>117781507</v>
      </c>
      <c r="D310" s="353">
        <f>LN_III1-LN_III6</f>
        <v>126472671</v>
      </c>
      <c r="E310" s="353">
        <f t="shared" si="32"/>
        <v>8691164</v>
      </c>
      <c r="F310" s="362">
        <f t="shared" si="33"/>
        <v>7.3790565440803882E-2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739</v>
      </c>
      <c r="C311" s="353">
        <f>C245</f>
        <v>0</v>
      </c>
      <c r="D311" s="353">
        <f>LN_IH3</f>
        <v>0</v>
      </c>
      <c r="E311" s="353">
        <f t="shared" si="32"/>
        <v>0</v>
      </c>
      <c r="F311" s="362">
        <f t="shared" si="33"/>
        <v>0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740</v>
      </c>
      <c r="C312" s="353">
        <f>C310+C311</f>
        <v>117781507</v>
      </c>
      <c r="D312" s="353">
        <f>LN_III7+LN_III8</f>
        <v>126472671</v>
      </c>
      <c r="E312" s="353">
        <f t="shared" si="32"/>
        <v>8691164</v>
      </c>
      <c r="F312" s="362">
        <f t="shared" si="33"/>
        <v>7.3790565440803882E-2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741</v>
      </c>
      <c r="C313" s="448">
        <f>IF(C304=0,0,C312/C304)</f>
        <v>0.34135066265798558</v>
      </c>
      <c r="D313" s="448">
        <f>IF(LN_III1=0,0,LN_III9/LN_III1)</f>
        <v>0.32772323361082545</v>
      </c>
      <c r="E313" s="448">
        <f t="shared" si="32"/>
        <v>-1.3627429047160133E-2</v>
      </c>
      <c r="F313" s="362">
        <f t="shared" si="33"/>
        <v>-3.9922081712242229E-2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699</v>
      </c>
      <c r="C314" s="353">
        <f>C306*C313</f>
        <v>3437665.7197294747</v>
      </c>
      <c r="D314" s="353">
        <f>D313*LN_III5</f>
        <v>3359900.1940633515</v>
      </c>
      <c r="E314" s="353">
        <f t="shared" si="32"/>
        <v>-77765.525666123256</v>
      </c>
      <c r="F314" s="362">
        <f t="shared" si="33"/>
        <v>-2.2621607802006699E-2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702</v>
      </c>
      <c r="C315" s="353">
        <f>(C214*C313)-C215</f>
        <v>4665858.5838627741</v>
      </c>
      <c r="D315" s="353">
        <f>D313*LN_IH8-LN_IH9</f>
        <v>7200249.2616088986</v>
      </c>
      <c r="E315" s="353">
        <f t="shared" si="32"/>
        <v>2534390.6777461246</v>
      </c>
      <c r="F315" s="362">
        <f t="shared" si="33"/>
        <v>0.54317777364952868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742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743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744</v>
      </c>
      <c r="C318" s="353">
        <f>C314+C315+C316</f>
        <v>8103524.3035922488</v>
      </c>
      <c r="D318" s="353">
        <f>D314+D315+D316</f>
        <v>10560149.455672249</v>
      </c>
      <c r="E318" s="353">
        <f>D318-C318</f>
        <v>2456625.1520800004</v>
      </c>
      <c r="F318" s="362">
        <f>IF(C318=0,0,E318/C318)</f>
        <v>0.30315515324498893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745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6062117.0485313674</v>
      </c>
      <c r="D322" s="353">
        <f>LN_ID22</f>
        <v>4151059.1368366824</v>
      </c>
      <c r="E322" s="353">
        <f>LN_IV2-C322</f>
        <v>-1911057.911694685</v>
      </c>
      <c r="F322" s="362">
        <f>IF(C322=0,0,E322/C322)</f>
        <v>-0.31524596051105042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731</v>
      </c>
      <c r="C323" s="353">
        <f>C162+C176</f>
        <v>0</v>
      </c>
      <c r="D323" s="353">
        <f>LN_IE10+LN_IE22</f>
        <v>0</v>
      </c>
      <c r="E323" s="353">
        <f>LN_IV3-C323</f>
        <v>0</v>
      </c>
      <c r="F323" s="362">
        <f>IF(C323=0,0,E323/C323)</f>
        <v>0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746</v>
      </c>
      <c r="C324" s="353">
        <f>C92+C106</f>
        <v>1180011.1572540745</v>
      </c>
      <c r="D324" s="353">
        <f>LN_IC10+LN_IC22</f>
        <v>2396342.2130871126</v>
      </c>
      <c r="E324" s="353">
        <f>LN_IV1-C324</f>
        <v>1216331.0558330382</v>
      </c>
      <c r="F324" s="362">
        <f>IF(C324=0,0,E324/C324)</f>
        <v>1.030779284039552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747</v>
      </c>
      <c r="C325" s="429">
        <f>C324+C322+C323</f>
        <v>7242128.2057854421</v>
      </c>
      <c r="D325" s="429">
        <f>LN_IV1+LN_IV2+LN_IV3</f>
        <v>6547401.3499237951</v>
      </c>
      <c r="E325" s="353">
        <f>LN_IV4-C325</f>
        <v>-694726.85586164705</v>
      </c>
      <c r="F325" s="362">
        <f>IF(C325=0,0,E325/C325)</f>
        <v>-9.5928549746835193E-2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748</v>
      </c>
      <c r="B327" s="446" t="s">
        <v>749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750</v>
      </c>
      <c r="C329" s="431">
        <v>4277938</v>
      </c>
      <c r="D329" s="431">
        <v>6283264</v>
      </c>
      <c r="E329" s="431">
        <f t="shared" ref="E329:E335" si="34">D329-C329</f>
        <v>2005326</v>
      </c>
      <c r="F329" s="462">
        <f t="shared" ref="F329:F335" si="35">IF(C329=0,0,E329/C329)</f>
        <v>0.46875994930267806</v>
      </c>
    </row>
    <row r="330" spans="1:22" s="333" customFormat="1" ht="11.25" customHeight="1" x14ac:dyDescent="0.2">
      <c r="A330" s="364">
        <v>2</v>
      </c>
      <c r="B330" s="360" t="s">
        <v>751</v>
      </c>
      <c r="C330" s="429">
        <v>10275104</v>
      </c>
      <c r="D330" s="429">
        <v>6250607</v>
      </c>
      <c r="E330" s="431">
        <f t="shared" si="34"/>
        <v>-4024497</v>
      </c>
      <c r="F330" s="463">
        <f t="shared" si="35"/>
        <v>-0.39167457575125275</v>
      </c>
    </row>
    <row r="331" spans="1:22" s="333" customFormat="1" ht="11.25" customHeight="1" x14ac:dyDescent="0.2">
      <c r="A331" s="339">
        <v>3</v>
      </c>
      <c r="B331" s="360" t="s">
        <v>752</v>
      </c>
      <c r="C331" s="429">
        <v>125941019</v>
      </c>
      <c r="D331" s="429">
        <v>130360493</v>
      </c>
      <c r="E331" s="431">
        <f t="shared" si="34"/>
        <v>4419474</v>
      </c>
      <c r="F331" s="462">
        <f t="shared" si="35"/>
        <v>3.5091616973497726E-2</v>
      </c>
    </row>
    <row r="332" spans="1:22" s="333" customFormat="1" ht="11.25" customHeight="1" x14ac:dyDescent="0.2">
      <c r="A332" s="364">
        <v>4</v>
      </c>
      <c r="B332" s="360" t="s">
        <v>753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754</v>
      </c>
      <c r="C333" s="429">
        <v>345045549</v>
      </c>
      <c r="D333" s="429">
        <v>385913045</v>
      </c>
      <c r="E333" s="431">
        <f t="shared" si="34"/>
        <v>40867496</v>
      </c>
      <c r="F333" s="462">
        <f t="shared" si="35"/>
        <v>0.11844087285994813</v>
      </c>
    </row>
    <row r="334" spans="1:22" s="333" customFormat="1" ht="11.25" customHeight="1" x14ac:dyDescent="0.2">
      <c r="A334" s="339">
        <v>6</v>
      </c>
      <c r="B334" s="360" t="s">
        <v>755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756</v>
      </c>
      <c r="C335" s="429">
        <v>10070775</v>
      </c>
      <c r="D335" s="429">
        <v>10252249</v>
      </c>
      <c r="E335" s="429">
        <f t="shared" si="34"/>
        <v>181474</v>
      </c>
      <c r="F335" s="462">
        <f t="shared" si="35"/>
        <v>1.8019864409640766E-2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/>
  <headerFooter>
    <oddHeader>&amp;LOFFICE OF HEALTH CARE ACCESS&amp;CTWELVE MONTHS ACTUAL FILING&amp;RBRISTOL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609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757</v>
      </c>
      <c r="B5" s="710"/>
      <c r="C5" s="710"/>
      <c r="D5" s="710"/>
      <c r="E5" s="710"/>
    </row>
    <row r="6" spans="1:5" s="338" customFormat="1" ht="15.75" customHeight="1" x14ac:dyDescent="0.25">
      <c r="A6" s="710" t="s">
        <v>758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759</v>
      </c>
      <c r="D9" s="494" t="s">
        <v>760</v>
      </c>
      <c r="E9" s="495" t="s">
        <v>761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762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763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639</v>
      </c>
      <c r="C14" s="513">
        <v>36465574</v>
      </c>
      <c r="D14" s="513">
        <v>39512803</v>
      </c>
      <c r="E14" s="514">
        <f t="shared" ref="E14:E22" si="0">D14-C14</f>
        <v>3047229</v>
      </c>
    </row>
    <row r="15" spans="1:5" s="506" customFormat="1" x14ac:dyDescent="0.2">
      <c r="A15" s="512">
        <v>2</v>
      </c>
      <c r="B15" s="511" t="s">
        <v>618</v>
      </c>
      <c r="C15" s="513">
        <v>73322938</v>
      </c>
      <c r="D15" s="515">
        <v>79117811</v>
      </c>
      <c r="E15" s="514">
        <f t="shared" si="0"/>
        <v>5794873</v>
      </c>
    </row>
    <row r="16" spans="1:5" s="506" customFormat="1" x14ac:dyDescent="0.2">
      <c r="A16" s="512">
        <v>3</v>
      </c>
      <c r="B16" s="511" t="s">
        <v>764</v>
      </c>
      <c r="C16" s="513">
        <v>21507928</v>
      </c>
      <c r="D16" s="515">
        <v>23778114</v>
      </c>
      <c r="E16" s="514">
        <f t="shared" si="0"/>
        <v>2270186</v>
      </c>
    </row>
    <row r="17" spans="1:5" s="506" customFormat="1" x14ac:dyDescent="0.2">
      <c r="A17" s="512">
        <v>4</v>
      </c>
      <c r="B17" s="511" t="s">
        <v>114</v>
      </c>
      <c r="C17" s="513">
        <v>21507928</v>
      </c>
      <c r="D17" s="515">
        <v>23778114</v>
      </c>
      <c r="E17" s="514">
        <f t="shared" si="0"/>
        <v>2270186</v>
      </c>
    </row>
    <row r="18" spans="1:5" s="506" customFormat="1" x14ac:dyDescent="0.2">
      <c r="A18" s="512">
        <v>5</v>
      </c>
      <c r="B18" s="511" t="s">
        <v>731</v>
      </c>
      <c r="C18" s="513">
        <v>0</v>
      </c>
      <c r="D18" s="515">
        <v>0</v>
      </c>
      <c r="E18" s="514">
        <f t="shared" si="0"/>
        <v>0</v>
      </c>
    </row>
    <row r="19" spans="1:5" s="506" customFormat="1" x14ac:dyDescent="0.2">
      <c r="A19" s="512">
        <v>6</v>
      </c>
      <c r="B19" s="511" t="s">
        <v>430</v>
      </c>
      <c r="C19" s="513">
        <v>352195</v>
      </c>
      <c r="D19" s="515">
        <v>269030</v>
      </c>
      <c r="E19" s="514">
        <f t="shared" si="0"/>
        <v>-83165</v>
      </c>
    </row>
    <row r="20" spans="1:5" s="506" customFormat="1" x14ac:dyDescent="0.2">
      <c r="A20" s="512">
        <v>7</v>
      </c>
      <c r="B20" s="511" t="s">
        <v>746</v>
      </c>
      <c r="C20" s="513">
        <v>814154</v>
      </c>
      <c r="D20" s="515">
        <v>1720349</v>
      </c>
      <c r="E20" s="514">
        <f t="shared" si="0"/>
        <v>906195</v>
      </c>
    </row>
    <row r="21" spans="1:5" s="506" customFormat="1" x14ac:dyDescent="0.2">
      <c r="A21" s="512"/>
      <c r="B21" s="516" t="s">
        <v>765</v>
      </c>
      <c r="C21" s="517">
        <f>SUM(C15+C16+C19)</f>
        <v>95183061</v>
      </c>
      <c r="D21" s="517">
        <f>SUM(D15+D16+D19)</f>
        <v>103164955</v>
      </c>
      <c r="E21" s="517">
        <f t="shared" si="0"/>
        <v>7981894</v>
      </c>
    </row>
    <row r="22" spans="1:5" s="506" customFormat="1" x14ac:dyDescent="0.2">
      <c r="A22" s="512"/>
      <c r="B22" s="516" t="s">
        <v>705</v>
      </c>
      <c r="C22" s="517">
        <f>SUM(C14+C21)</f>
        <v>131648635</v>
      </c>
      <c r="D22" s="517">
        <f>SUM(D14+D21)</f>
        <v>142677758</v>
      </c>
      <c r="E22" s="517">
        <f t="shared" si="0"/>
        <v>11029123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766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639</v>
      </c>
      <c r="C25" s="513">
        <v>92946271</v>
      </c>
      <c r="D25" s="513">
        <v>102526901</v>
      </c>
      <c r="E25" s="514">
        <f t="shared" ref="E25:E33" si="1">D25-C25</f>
        <v>9580630</v>
      </c>
    </row>
    <row r="26" spans="1:5" s="506" customFormat="1" x14ac:dyDescent="0.2">
      <c r="A26" s="512">
        <v>2</v>
      </c>
      <c r="B26" s="511" t="s">
        <v>618</v>
      </c>
      <c r="C26" s="513">
        <v>74174392</v>
      </c>
      <c r="D26" s="515">
        <v>92144018</v>
      </c>
      <c r="E26" s="514">
        <f t="shared" si="1"/>
        <v>17969626</v>
      </c>
    </row>
    <row r="27" spans="1:5" s="506" customFormat="1" x14ac:dyDescent="0.2">
      <c r="A27" s="512">
        <v>3</v>
      </c>
      <c r="B27" s="511" t="s">
        <v>764</v>
      </c>
      <c r="C27" s="513">
        <v>45610048</v>
      </c>
      <c r="D27" s="515">
        <v>48026683</v>
      </c>
      <c r="E27" s="514">
        <f t="shared" si="1"/>
        <v>2416635</v>
      </c>
    </row>
    <row r="28" spans="1:5" s="506" customFormat="1" x14ac:dyDescent="0.2">
      <c r="A28" s="512">
        <v>4</v>
      </c>
      <c r="B28" s="511" t="s">
        <v>114</v>
      </c>
      <c r="C28" s="513">
        <v>45610048</v>
      </c>
      <c r="D28" s="515">
        <v>48026683</v>
      </c>
      <c r="E28" s="514">
        <f t="shared" si="1"/>
        <v>2416635</v>
      </c>
    </row>
    <row r="29" spans="1:5" s="506" customFormat="1" x14ac:dyDescent="0.2">
      <c r="A29" s="512">
        <v>5</v>
      </c>
      <c r="B29" s="511" t="s">
        <v>731</v>
      </c>
      <c r="C29" s="513">
        <v>0</v>
      </c>
      <c r="D29" s="515">
        <v>0</v>
      </c>
      <c r="E29" s="514">
        <f t="shared" si="1"/>
        <v>0</v>
      </c>
    </row>
    <row r="30" spans="1:5" s="506" customFormat="1" x14ac:dyDescent="0.2">
      <c r="A30" s="512">
        <v>6</v>
      </c>
      <c r="B30" s="511" t="s">
        <v>430</v>
      </c>
      <c r="C30" s="513">
        <v>666145</v>
      </c>
      <c r="D30" s="515">
        <v>537685</v>
      </c>
      <c r="E30" s="514">
        <f t="shared" si="1"/>
        <v>-128460</v>
      </c>
    </row>
    <row r="31" spans="1:5" s="506" customFormat="1" x14ac:dyDescent="0.2">
      <c r="A31" s="512">
        <v>7</v>
      </c>
      <c r="B31" s="511" t="s">
        <v>746</v>
      </c>
      <c r="C31" s="514">
        <v>5148409</v>
      </c>
      <c r="D31" s="518">
        <v>5636956</v>
      </c>
      <c r="E31" s="514">
        <f t="shared" si="1"/>
        <v>488547</v>
      </c>
    </row>
    <row r="32" spans="1:5" s="506" customFormat="1" x14ac:dyDescent="0.2">
      <c r="A32" s="512"/>
      <c r="B32" s="516" t="s">
        <v>767</v>
      </c>
      <c r="C32" s="517">
        <f>SUM(C26+C27+C30)</f>
        <v>120450585</v>
      </c>
      <c r="D32" s="517">
        <f>SUM(D26+D27+D30)</f>
        <v>140708386</v>
      </c>
      <c r="E32" s="517">
        <f t="shared" si="1"/>
        <v>20257801</v>
      </c>
    </row>
    <row r="33" spans="1:5" s="506" customFormat="1" x14ac:dyDescent="0.2">
      <c r="A33" s="512"/>
      <c r="B33" s="516" t="s">
        <v>711</v>
      </c>
      <c r="C33" s="517">
        <f>SUM(C25+C32)</f>
        <v>213396856</v>
      </c>
      <c r="D33" s="517">
        <f>SUM(D25+D32)</f>
        <v>243235287</v>
      </c>
      <c r="E33" s="517">
        <f t="shared" si="1"/>
        <v>29838431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636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768</v>
      </c>
      <c r="C36" s="514">
        <f t="shared" ref="C36:D42" si="2">C14+C25</f>
        <v>129411845</v>
      </c>
      <c r="D36" s="514">
        <f t="shared" si="2"/>
        <v>142039704</v>
      </c>
      <c r="E36" s="514">
        <f t="shared" ref="E36:E44" si="3">D36-C36</f>
        <v>12627859</v>
      </c>
    </row>
    <row r="37" spans="1:5" s="506" customFormat="1" x14ac:dyDescent="0.2">
      <c r="A37" s="512">
        <v>2</v>
      </c>
      <c r="B37" s="511" t="s">
        <v>769</v>
      </c>
      <c r="C37" s="514">
        <f t="shared" si="2"/>
        <v>147497330</v>
      </c>
      <c r="D37" s="514">
        <f t="shared" si="2"/>
        <v>171261829</v>
      </c>
      <c r="E37" s="514">
        <f t="shared" si="3"/>
        <v>23764499</v>
      </c>
    </row>
    <row r="38" spans="1:5" s="506" customFormat="1" x14ac:dyDescent="0.2">
      <c r="A38" s="512">
        <v>3</v>
      </c>
      <c r="B38" s="511" t="s">
        <v>770</v>
      </c>
      <c r="C38" s="514">
        <f t="shared" si="2"/>
        <v>67117976</v>
      </c>
      <c r="D38" s="514">
        <f t="shared" si="2"/>
        <v>71804797</v>
      </c>
      <c r="E38" s="514">
        <f t="shared" si="3"/>
        <v>4686821</v>
      </c>
    </row>
    <row r="39" spans="1:5" s="506" customFormat="1" x14ac:dyDescent="0.2">
      <c r="A39" s="512">
        <v>4</v>
      </c>
      <c r="B39" s="511" t="s">
        <v>771</v>
      </c>
      <c r="C39" s="514">
        <f t="shared" si="2"/>
        <v>67117976</v>
      </c>
      <c r="D39" s="514">
        <f t="shared" si="2"/>
        <v>71804797</v>
      </c>
      <c r="E39" s="514">
        <f t="shared" si="3"/>
        <v>4686821</v>
      </c>
    </row>
    <row r="40" spans="1:5" s="506" customFormat="1" x14ac:dyDescent="0.2">
      <c r="A40" s="512">
        <v>5</v>
      </c>
      <c r="B40" s="511" t="s">
        <v>772</v>
      </c>
      <c r="C40" s="514">
        <f t="shared" si="2"/>
        <v>0</v>
      </c>
      <c r="D40" s="514">
        <f t="shared" si="2"/>
        <v>0</v>
      </c>
      <c r="E40" s="514">
        <f t="shared" si="3"/>
        <v>0</v>
      </c>
    </row>
    <row r="41" spans="1:5" s="506" customFormat="1" x14ac:dyDescent="0.2">
      <c r="A41" s="512">
        <v>6</v>
      </c>
      <c r="B41" s="511" t="s">
        <v>773</v>
      </c>
      <c r="C41" s="514">
        <f t="shared" si="2"/>
        <v>1018340</v>
      </c>
      <c r="D41" s="514">
        <f t="shared" si="2"/>
        <v>806715</v>
      </c>
      <c r="E41" s="514">
        <f t="shared" si="3"/>
        <v>-211625</v>
      </c>
    </row>
    <row r="42" spans="1:5" s="506" customFormat="1" x14ac:dyDescent="0.2">
      <c r="A42" s="512">
        <v>7</v>
      </c>
      <c r="B42" s="511" t="s">
        <v>774</v>
      </c>
      <c r="C42" s="514">
        <f t="shared" si="2"/>
        <v>5962563</v>
      </c>
      <c r="D42" s="514">
        <f t="shared" si="2"/>
        <v>7357305</v>
      </c>
      <c r="E42" s="514">
        <f t="shared" si="3"/>
        <v>1394742</v>
      </c>
    </row>
    <row r="43" spans="1:5" s="506" customFormat="1" x14ac:dyDescent="0.2">
      <c r="A43" s="512"/>
      <c r="B43" s="516" t="s">
        <v>775</v>
      </c>
      <c r="C43" s="517">
        <f>SUM(C37+C38+C41)</f>
        <v>215633646</v>
      </c>
      <c r="D43" s="517">
        <f>SUM(D37+D38+D41)</f>
        <v>243873341</v>
      </c>
      <c r="E43" s="517">
        <f t="shared" si="3"/>
        <v>28239695</v>
      </c>
    </row>
    <row r="44" spans="1:5" s="506" customFormat="1" x14ac:dyDescent="0.2">
      <c r="A44" s="512"/>
      <c r="B44" s="516" t="s">
        <v>713</v>
      </c>
      <c r="C44" s="517">
        <f>SUM(C36+C43)</f>
        <v>345045491</v>
      </c>
      <c r="D44" s="517">
        <f>SUM(D36+D43)</f>
        <v>385913045</v>
      </c>
      <c r="E44" s="517">
        <f t="shared" si="3"/>
        <v>40867554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333</v>
      </c>
      <c r="B46" s="509" t="s">
        <v>776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639</v>
      </c>
      <c r="C47" s="513">
        <v>17006157</v>
      </c>
      <c r="D47" s="513">
        <v>23201211</v>
      </c>
      <c r="E47" s="514">
        <f t="shared" ref="E47:E55" si="4">D47-C47</f>
        <v>6195054</v>
      </c>
    </row>
    <row r="48" spans="1:5" s="506" customFormat="1" x14ac:dyDescent="0.2">
      <c r="A48" s="512">
        <v>2</v>
      </c>
      <c r="B48" s="511" t="s">
        <v>618</v>
      </c>
      <c r="C48" s="513">
        <v>29190396</v>
      </c>
      <c r="D48" s="515">
        <v>31448123</v>
      </c>
      <c r="E48" s="514">
        <f t="shared" si="4"/>
        <v>2257727</v>
      </c>
    </row>
    <row r="49" spans="1:5" s="506" customFormat="1" x14ac:dyDescent="0.2">
      <c r="A49" s="512">
        <v>3</v>
      </c>
      <c r="B49" s="511" t="s">
        <v>764</v>
      </c>
      <c r="C49" s="513">
        <v>6632224</v>
      </c>
      <c r="D49" s="515">
        <v>6283677</v>
      </c>
      <c r="E49" s="514">
        <f t="shared" si="4"/>
        <v>-348547</v>
      </c>
    </row>
    <row r="50" spans="1:5" s="506" customFormat="1" x14ac:dyDescent="0.2">
      <c r="A50" s="512">
        <v>4</v>
      </c>
      <c r="B50" s="511" t="s">
        <v>114</v>
      </c>
      <c r="C50" s="513">
        <v>6632224</v>
      </c>
      <c r="D50" s="515">
        <v>6283677</v>
      </c>
      <c r="E50" s="514">
        <f t="shared" si="4"/>
        <v>-348547</v>
      </c>
    </row>
    <row r="51" spans="1:5" s="506" customFormat="1" x14ac:dyDescent="0.2">
      <c r="A51" s="512">
        <v>5</v>
      </c>
      <c r="B51" s="511" t="s">
        <v>731</v>
      </c>
      <c r="C51" s="513">
        <v>0</v>
      </c>
      <c r="D51" s="515">
        <v>0</v>
      </c>
      <c r="E51" s="514">
        <f t="shared" si="4"/>
        <v>0</v>
      </c>
    </row>
    <row r="52" spans="1:5" s="506" customFormat="1" x14ac:dyDescent="0.2">
      <c r="A52" s="512">
        <v>6</v>
      </c>
      <c r="B52" s="511" t="s">
        <v>430</v>
      </c>
      <c r="C52" s="513">
        <v>145385</v>
      </c>
      <c r="D52" s="515">
        <v>67500</v>
      </c>
      <c r="E52" s="514">
        <f t="shared" si="4"/>
        <v>-77885</v>
      </c>
    </row>
    <row r="53" spans="1:5" s="506" customFormat="1" x14ac:dyDescent="0.2">
      <c r="A53" s="512">
        <v>7</v>
      </c>
      <c r="B53" s="511" t="s">
        <v>746</v>
      </c>
      <c r="C53" s="513">
        <v>20077</v>
      </c>
      <c r="D53" s="515">
        <v>13248</v>
      </c>
      <c r="E53" s="514">
        <f t="shared" si="4"/>
        <v>-6829</v>
      </c>
    </row>
    <row r="54" spans="1:5" s="506" customFormat="1" x14ac:dyDescent="0.2">
      <c r="A54" s="512"/>
      <c r="B54" s="516" t="s">
        <v>777</v>
      </c>
      <c r="C54" s="517">
        <f>SUM(C48+C49+C52)</f>
        <v>35968005</v>
      </c>
      <c r="D54" s="517">
        <f>SUM(D48+D49+D52)</f>
        <v>37799300</v>
      </c>
      <c r="E54" s="517">
        <f t="shared" si="4"/>
        <v>1831295</v>
      </c>
    </row>
    <row r="55" spans="1:5" s="506" customFormat="1" x14ac:dyDescent="0.2">
      <c r="A55" s="512"/>
      <c r="B55" s="516" t="s">
        <v>706</v>
      </c>
      <c r="C55" s="517">
        <f>SUM(C47+C54)</f>
        <v>52974162</v>
      </c>
      <c r="D55" s="517">
        <f>SUM(D47+D54)</f>
        <v>61000511</v>
      </c>
      <c r="E55" s="517">
        <f t="shared" si="4"/>
        <v>8026349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354</v>
      </c>
      <c r="B57" s="509" t="s">
        <v>778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639</v>
      </c>
      <c r="C58" s="513">
        <v>33067146</v>
      </c>
      <c r="D58" s="513">
        <v>34947784</v>
      </c>
      <c r="E58" s="514">
        <f t="shared" ref="E58:E66" si="5">D58-C58</f>
        <v>1880638</v>
      </c>
    </row>
    <row r="59" spans="1:5" s="506" customFormat="1" x14ac:dyDescent="0.2">
      <c r="A59" s="512">
        <v>2</v>
      </c>
      <c r="B59" s="511" t="s">
        <v>618</v>
      </c>
      <c r="C59" s="513">
        <v>17879302</v>
      </c>
      <c r="D59" s="515">
        <v>17962168</v>
      </c>
      <c r="E59" s="514">
        <f t="shared" si="5"/>
        <v>82866</v>
      </c>
    </row>
    <row r="60" spans="1:5" s="506" customFormat="1" x14ac:dyDescent="0.2">
      <c r="A60" s="512">
        <v>3</v>
      </c>
      <c r="B60" s="511" t="s">
        <v>764</v>
      </c>
      <c r="C60" s="513">
        <f>C61+C62</f>
        <v>11612683</v>
      </c>
      <c r="D60" s="515">
        <f>D61+D62</f>
        <v>10048174</v>
      </c>
      <c r="E60" s="514">
        <f t="shared" si="5"/>
        <v>-1564509</v>
      </c>
    </row>
    <row r="61" spans="1:5" s="506" customFormat="1" x14ac:dyDescent="0.2">
      <c r="A61" s="512">
        <v>4</v>
      </c>
      <c r="B61" s="511" t="s">
        <v>114</v>
      </c>
      <c r="C61" s="513">
        <v>11612683</v>
      </c>
      <c r="D61" s="515">
        <v>10048174</v>
      </c>
      <c r="E61" s="514">
        <f t="shared" si="5"/>
        <v>-1564509</v>
      </c>
    </row>
    <row r="62" spans="1:5" s="506" customFormat="1" x14ac:dyDescent="0.2">
      <c r="A62" s="512">
        <v>5</v>
      </c>
      <c r="B62" s="511" t="s">
        <v>731</v>
      </c>
      <c r="C62" s="513">
        <v>0</v>
      </c>
      <c r="D62" s="515">
        <v>0</v>
      </c>
      <c r="E62" s="514">
        <f t="shared" si="5"/>
        <v>0</v>
      </c>
    </row>
    <row r="63" spans="1:5" s="506" customFormat="1" x14ac:dyDescent="0.2">
      <c r="A63" s="512">
        <v>6</v>
      </c>
      <c r="B63" s="511" t="s">
        <v>430</v>
      </c>
      <c r="C63" s="513">
        <v>132563</v>
      </c>
      <c r="D63" s="515">
        <v>151700</v>
      </c>
      <c r="E63" s="514">
        <f t="shared" si="5"/>
        <v>19137</v>
      </c>
    </row>
    <row r="64" spans="1:5" s="506" customFormat="1" x14ac:dyDescent="0.2">
      <c r="A64" s="512">
        <v>7</v>
      </c>
      <c r="B64" s="511" t="s">
        <v>746</v>
      </c>
      <c r="C64" s="513">
        <v>267960</v>
      </c>
      <c r="D64" s="515">
        <v>36556</v>
      </c>
      <c r="E64" s="514">
        <f t="shared" si="5"/>
        <v>-231404</v>
      </c>
    </row>
    <row r="65" spans="1:5" s="506" customFormat="1" x14ac:dyDescent="0.2">
      <c r="A65" s="512"/>
      <c r="B65" s="516" t="s">
        <v>779</v>
      </c>
      <c r="C65" s="517">
        <f>SUM(C59+C60+C63)</f>
        <v>29624548</v>
      </c>
      <c r="D65" s="517">
        <f>SUM(D59+D60+D63)</f>
        <v>28162042</v>
      </c>
      <c r="E65" s="517">
        <f t="shared" si="5"/>
        <v>-1462506</v>
      </c>
    </row>
    <row r="66" spans="1:5" s="506" customFormat="1" x14ac:dyDescent="0.2">
      <c r="A66" s="512"/>
      <c r="B66" s="516" t="s">
        <v>712</v>
      </c>
      <c r="C66" s="517">
        <f>SUM(C58+C65)</f>
        <v>62691694</v>
      </c>
      <c r="D66" s="517">
        <f>SUM(D58+D65)</f>
        <v>63109826</v>
      </c>
      <c r="E66" s="517">
        <f t="shared" si="5"/>
        <v>418132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366</v>
      </c>
      <c r="B68" s="521" t="s">
        <v>637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768</v>
      </c>
      <c r="C69" s="514">
        <f t="shared" ref="C69:D75" si="6">C47+C58</f>
        <v>50073303</v>
      </c>
      <c r="D69" s="514">
        <f t="shared" si="6"/>
        <v>58148995</v>
      </c>
      <c r="E69" s="514">
        <f t="shared" ref="E69:E77" si="7">D69-C69</f>
        <v>8075692</v>
      </c>
    </row>
    <row r="70" spans="1:5" s="506" customFormat="1" x14ac:dyDescent="0.2">
      <c r="A70" s="512">
        <v>2</v>
      </c>
      <c r="B70" s="511" t="s">
        <v>769</v>
      </c>
      <c r="C70" s="514">
        <f t="shared" si="6"/>
        <v>47069698</v>
      </c>
      <c r="D70" s="514">
        <f t="shared" si="6"/>
        <v>49410291</v>
      </c>
      <c r="E70" s="514">
        <f t="shared" si="7"/>
        <v>2340593</v>
      </c>
    </row>
    <row r="71" spans="1:5" s="506" customFormat="1" x14ac:dyDescent="0.2">
      <c r="A71" s="512">
        <v>3</v>
      </c>
      <c r="B71" s="511" t="s">
        <v>770</v>
      </c>
      <c r="C71" s="514">
        <f t="shared" si="6"/>
        <v>18244907</v>
      </c>
      <c r="D71" s="514">
        <f t="shared" si="6"/>
        <v>16331851</v>
      </c>
      <c r="E71" s="514">
        <f t="shared" si="7"/>
        <v>-1913056</v>
      </c>
    </row>
    <row r="72" spans="1:5" s="506" customFormat="1" x14ac:dyDescent="0.2">
      <c r="A72" s="512">
        <v>4</v>
      </c>
      <c r="B72" s="511" t="s">
        <v>771</v>
      </c>
      <c r="C72" s="514">
        <f t="shared" si="6"/>
        <v>18244907</v>
      </c>
      <c r="D72" s="514">
        <f t="shared" si="6"/>
        <v>16331851</v>
      </c>
      <c r="E72" s="514">
        <f t="shared" si="7"/>
        <v>-1913056</v>
      </c>
    </row>
    <row r="73" spans="1:5" s="506" customFormat="1" x14ac:dyDescent="0.2">
      <c r="A73" s="512">
        <v>5</v>
      </c>
      <c r="B73" s="511" t="s">
        <v>772</v>
      </c>
      <c r="C73" s="514">
        <f t="shared" si="6"/>
        <v>0</v>
      </c>
      <c r="D73" s="514">
        <f t="shared" si="6"/>
        <v>0</v>
      </c>
      <c r="E73" s="514">
        <f t="shared" si="7"/>
        <v>0</v>
      </c>
    </row>
    <row r="74" spans="1:5" s="506" customFormat="1" x14ac:dyDescent="0.2">
      <c r="A74" s="512">
        <v>6</v>
      </c>
      <c r="B74" s="511" t="s">
        <v>773</v>
      </c>
      <c r="C74" s="514">
        <f t="shared" si="6"/>
        <v>277948</v>
      </c>
      <c r="D74" s="514">
        <f t="shared" si="6"/>
        <v>219200</v>
      </c>
      <c r="E74" s="514">
        <f t="shared" si="7"/>
        <v>-58748</v>
      </c>
    </row>
    <row r="75" spans="1:5" s="506" customFormat="1" x14ac:dyDescent="0.2">
      <c r="A75" s="512">
        <v>7</v>
      </c>
      <c r="B75" s="511" t="s">
        <v>774</v>
      </c>
      <c r="C75" s="514">
        <f t="shared" si="6"/>
        <v>288037</v>
      </c>
      <c r="D75" s="514">
        <f t="shared" si="6"/>
        <v>49804</v>
      </c>
      <c r="E75" s="514">
        <f t="shared" si="7"/>
        <v>-238233</v>
      </c>
    </row>
    <row r="76" spans="1:5" s="506" customFormat="1" x14ac:dyDescent="0.2">
      <c r="A76" s="512"/>
      <c r="B76" s="516" t="s">
        <v>780</v>
      </c>
      <c r="C76" s="517">
        <f>SUM(C70+C71+C74)</f>
        <v>65592553</v>
      </c>
      <c r="D76" s="517">
        <f>SUM(D70+D71+D74)</f>
        <v>65961342</v>
      </c>
      <c r="E76" s="517">
        <f t="shared" si="7"/>
        <v>368789</v>
      </c>
    </row>
    <row r="77" spans="1:5" s="506" customFormat="1" x14ac:dyDescent="0.2">
      <c r="A77" s="512"/>
      <c r="B77" s="516" t="s">
        <v>714</v>
      </c>
      <c r="C77" s="517">
        <f>SUM(C69+C76)</f>
        <v>115665856</v>
      </c>
      <c r="D77" s="517">
        <f>SUM(D69+D76)</f>
        <v>124110337</v>
      </c>
      <c r="E77" s="517">
        <f t="shared" si="7"/>
        <v>8444481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781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782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639</v>
      </c>
      <c r="C83" s="523">
        <f t="shared" ref="C83:D89" si="8">IF(C$44=0,0,C14/C$44)</f>
        <v>0.10568338074587388</v>
      </c>
      <c r="D83" s="523">
        <f t="shared" si="8"/>
        <v>0.10238783972695197</v>
      </c>
      <c r="E83" s="523">
        <f t="shared" ref="E83:E91" si="9">D83-C83</f>
        <v>-3.2955410189219186E-3</v>
      </c>
    </row>
    <row r="84" spans="1:5" s="506" customFormat="1" x14ac:dyDescent="0.2">
      <c r="A84" s="512">
        <v>2</v>
      </c>
      <c r="B84" s="511" t="s">
        <v>618</v>
      </c>
      <c r="C84" s="523">
        <f t="shared" si="8"/>
        <v>0.21250223495892603</v>
      </c>
      <c r="D84" s="523">
        <f t="shared" si="8"/>
        <v>0.20501460633443994</v>
      </c>
      <c r="E84" s="523">
        <f t="shared" si="9"/>
        <v>-7.4876286244860979E-3</v>
      </c>
    </row>
    <row r="85" spans="1:5" s="506" customFormat="1" x14ac:dyDescent="0.2">
      <c r="A85" s="512">
        <v>3</v>
      </c>
      <c r="B85" s="511" t="s">
        <v>764</v>
      </c>
      <c r="C85" s="523">
        <f t="shared" si="8"/>
        <v>6.2333601107686987E-2</v>
      </c>
      <c r="D85" s="523">
        <f t="shared" si="8"/>
        <v>6.1615211789484856E-2</v>
      </c>
      <c r="E85" s="523">
        <f t="shared" si="9"/>
        <v>-7.1838931820213114E-4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6.2333601107686987E-2</v>
      </c>
      <c r="D86" s="523">
        <f t="shared" si="8"/>
        <v>6.1615211789484856E-2</v>
      </c>
      <c r="E86" s="523">
        <f t="shared" si="9"/>
        <v>-7.1838931820213114E-4</v>
      </c>
    </row>
    <row r="87" spans="1:5" s="506" customFormat="1" x14ac:dyDescent="0.2">
      <c r="A87" s="512">
        <v>5</v>
      </c>
      <c r="B87" s="511" t="s">
        <v>731</v>
      </c>
      <c r="C87" s="523">
        <f t="shared" si="8"/>
        <v>0</v>
      </c>
      <c r="D87" s="523">
        <f t="shared" si="8"/>
        <v>0</v>
      </c>
      <c r="E87" s="523">
        <f t="shared" si="9"/>
        <v>0</v>
      </c>
    </row>
    <row r="88" spans="1:5" s="506" customFormat="1" x14ac:dyDescent="0.2">
      <c r="A88" s="512">
        <v>6</v>
      </c>
      <c r="B88" s="511" t="s">
        <v>430</v>
      </c>
      <c r="C88" s="523">
        <f t="shared" si="8"/>
        <v>1.0207204823319948E-3</v>
      </c>
      <c r="D88" s="523">
        <f t="shared" si="8"/>
        <v>6.9712595488965654E-4</v>
      </c>
      <c r="E88" s="523">
        <f t="shared" si="9"/>
        <v>-3.2359452744233825E-4</v>
      </c>
    </row>
    <row r="89" spans="1:5" s="506" customFormat="1" x14ac:dyDescent="0.2">
      <c r="A89" s="512">
        <v>7</v>
      </c>
      <c r="B89" s="511" t="s">
        <v>746</v>
      </c>
      <c r="C89" s="523">
        <f t="shared" si="8"/>
        <v>2.3595555404606057E-3</v>
      </c>
      <c r="D89" s="523">
        <f t="shared" si="8"/>
        <v>4.4578669269912862E-3</v>
      </c>
      <c r="E89" s="523">
        <f t="shared" si="9"/>
        <v>2.0983113865306806E-3</v>
      </c>
    </row>
    <row r="90" spans="1:5" s="506" customFormat="1" x14ac:dyDescent="0.2">
      <c r="A90" s="512"/>
      <c r="B90" s="516" t="s">
        <v>783</v>
      </c>
      <c r="C90" s="524">
        <f>SUM(C84+C85+C88)</f>
        <v>0.27585655654894498</v>
      </c>
      <c r="D90" s="524">
        <f>SUM(D84+D85+D88)</f>
        <v>0.26732694407881441</v>
      </c>
      <c r="E90" s="525">
        <f t="shared" si="9"/>
        <v>-8.5296124701305653E-3</v>
      </c>
    </row>
    <row r="91" spans="1:5" s="506" customFormat="1" x14ac:dyDescent="0.2">
      <c r="A91" s="512"/>
      <c r="B91" s="516" t="s">
        <v>784</v>
      </c>
      <c r="C91" s="524">
        <f>SUM(C83+C90)</f>
        <v>0.38153993729481883</v>
      </c>
      <c r="D91" s="524">
        <f>SUM(D83+D90)</f>
        <v>0.36971478380576639</v>
      </c>
      <c r="E91" s="525">
        <f t="shared" si="9"/>
        <v>-1.1825153489052442E-2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785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639</v>
      </c>
      <c r="C95" s="523">
        <f t="shared" ref="C95:D101" si="10">IF(C$44=0,0,C25/C$44)</f>
        <v>0.26937396205533953</v>
      </c>
      <c r="D95" s="523">
        <f t="shared" si="10"/>
        <v>0.26567358198528895</v>
      </c>
      <c r="E95" s="523">
        <f t="shared" ref="E95:E103" si="11">D95-C95</f>
        <v>-3.7003800700505796E-3</v>
      </c>
    </row>
    <row r="96" spans="1:5" s="506" customFormat="1" x14ac:dyDescent="0.2">
      <c r="A96" s="512">
        <v>2</v>
      </c>
      <c r="B96" s="511" t="s">
        <v>618</v>
      </c>
      <c r="C96" s="523">
        <f t="shared" si="10"/>
        <v>0.21496989218734638</v>
      </c>
      <c r="D96" s="523">
        <f t="shared" si="10"/>
        <v>0.23876886048254731</v>
      </c>
      <c r="E96" s="523">
        <f t="shared" si="11"/>
        <v>2.3798968295200923E-2</v>
      </c>
    </row>
    <row r="97" spans="1:5" s="506" customFormat="1" x14ac:dyDescent="0.2">
      <c r="A97" s="512">
        <v>3</v>
      </c>
      <c r="B97" s="511" t="s">
        <v>764</v>
      </c>
      <c r="C97" s="523">
        <f t="shared" si="10"/>
        <v>0.13218560795509715</v>
      </c>
      <c r="D97" s="523">
        <f t="shared" si="10"/>
        <v>0.12444949353811038</v>
      </c>
      <c r="E97" s="523">
        <f t="shared" si="11"/>
        <v>-7.7361144169867668E-3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0.13218560795509715</v>
      </c>
      <c r="D98" s="523">
        <f t="shared" si="10"/>
        <v>0.12444949353811038</v>
      </c>
      <c r="E98" s="523">
        <f t="shared" si="11"/>
        <v>-7.7361144169867668E-3</v>
      </c>
    </row>
    <row r="99" spans="1:5" s="506" customFormat="1" x14ac:dyDescent="0.2">
      <c r="A99" s="512">
        <v>5</v>
      </c>
      <c r="B99" s="511" t="s">
        <v>731</v>
      </c>
      <c r="C99" s="523">
        <f t="shared" si="10"/>
        <v>0</v>
      </c>
      <c r="D99" s="523">
        <f t="shared" si="10"/>
        <v>0</v>
      </c>
      <c r="E99" s="523">
        <f t="shared" si="11"/>
        <v>0</v>
      </c>
    </row>
    <row r="100" spans="1:5" s="506" customFormat="1" x14ac:dyDescent="0.2">
      <c r="A100" s="512">
        <v>6</v>
      </c>
      <c r="B100" s="511" t="s">
        <v>430</v>
      </c>
      <c r="C100" s="523">
        <f t="shared" si="10"/>
        <v>1.9306005073980231E-3</v>
      </c>
      <c r="D100" s="523">
        <f t="shared" si="10"/>
        <v>1.3932801882869754E-3</v>
      </c>
      <c r="E100" s="523">
        <f t="shared" si="11"/>
        <v>-5.3732031911104768E-4</v>
      </c>
    </row>
    <row r="101" spans="1:5" s="506" customFormat="1" x14ac:dyDescent="0.2">
      <c r="A101" s="512">
        <v>7</v>
      </c>
      <c r="B101" s="511" t="s">
        <v>746</v>
      </c>
      <c r="C101" s="523">
        <f t="shared" si="10"/>
        <v>1.4920957190540421E-2</v>
      </c>
      <c r="D101" s="523">
        <f t="shared" si="10"/>
        <v>1.4606803457499085E-2</v>
      </c>
      <c r="E101" s="523">
        <f t="shared" si="11"/>
        <v>-3.1415373304133527E-4</v>
      </c>
    </row>
    <row r="102" spans="1:5" s="506" customFormat="1" x14ac:dyDescent="0.2">
      <c r="A102" s="512"/>
      <c r="B102" s="516" t="s">
        <v>786</v>
      </c>
      <c r="C102" s="524">
        <f>SUM(C96+C97+C100)</f>
        <v>0.34908610064984158</v>
      </c>
      <c r="D102" s="524">
        <f>SUM(D96+D97+D100)</f>
        <v>0.36461163420894471</v>
      </c>
      <c r="E102" s="525">
        <f t="shared" si="11"/>
        <v>1.5525533559103133E-2</v>
      </c>
    </row>
    <row r="103" spans="1:5" s="506" customFormat="1" x14ac:dyDescent="0.2">
      <c r="A103" s="512"/>
      <c r="B103" s="516" t="s">
        <v>787</v>
      </c>
      <c r="C103" s="524">
        <f>SUM(C95+C102)</f>
        <v>0.61846006270518106</v>
      </c>
      <c r="D103" s="524">
        <f>SUM(D95+D102)</f>
        <v>0.63028521619423361</v>
      </c>
      <c r="E103" s="525">
        <f t="shared" si="11"/>
        <v>1.1825153489052553E-2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788</v>
      </c>
      <c r="C105" s="525">
        <f>C91+C103</f>
        <v>0.99999999999999989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789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639</v>
      </c>
      <c r="C109" s="523">
        <f t="shared" ref="C109:D115" si="12">IF(C$77=0,0,C47/C$77)</f>
        <v>0.14702832441753597</v>
      </c>
      <c r="D109" s="523">
        <f t="shared" si="12"/>
        <v>0.18694019822055596</v>
      </c>
      <c r="E109" s="523">
        <f t="shared" ref="E109:E117" si="13">D109-C109</f>
        <v>3.9911873803019998E-2</v>
      </c>
    </row>
    <row r="110" spans="1:5" s="506" customFormat="1" x14ac:dyDescent="0.2">
      <c r="A110" s="512">
        <v>2</v>
      </c>
      <c r="B110" s="511" t="s">
        <v>618</v>
      </c>
      <c r="C110" s="523">
        <f t="shared" si="12"/>
        <v>0.25236830478304678</v>
      </c>
      <c r="D110" s="523">
        <f t="shared" si="12"/>
        <v>0.25338842646120607</v>
      </c>
      <c r="E110" s="523">
        <f t="shared" si="13"/>
        <v>1.0201216781592914E-3</v>
      </c>
    </row>
    <row r="111" spans="1:5" s="506" customFormat="1" x14ac:dyDescent="0.2">
      <c r="A111" s="512">
        <v>3</v>
      </c>
      <c r="B111" s="511" t="s">
        <v>764</v>
      </c>
      <c r="C111" s="523">
        <f t="shared" si="12"/>
        <v>5.7339514264261357E-2</v>
      </c>
      <c r="D111" s="523">
        <f t="shared" si="12"/>
        <v>5.0629763417691792E-2</v>
      </c>
      <c r="E111" s="523">
        <f t="shared" si="13"/>
        <v>-6.7097508465695649E-3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5.7339514264261357E-2</v>
      </c>
      <c r="D112" s="523">
        <f t="shared" si="12"/>
        <v>5.0629763417691792E-2</v>
      </c>
      <c r="E112" s="523">
        <f t="shared" si="13"/>
        <v>-6.7097508465695649E-3</v>
      </c>
    </row>
    <row r="113" spans="1:5" s="506" customFormat="1" x14ac:dyDescent="0.2">
      <c r="A113" s="512">
        <v>5</v>
      </c>
      <c r="B113" s="511" t="s">
        <v>731</v>
      </c>
      <c r="C113" s="523">
        <f t="shared" si="12"/>
        <v>0</v>
      </c>
      <c r="D113" s="523">
        <f t="shared" si="12"/>
        <v>0</v>
      </c>
      <c r="E113" s="523">
        <f t="shared" si="13"/>
        <v>0</v>
      </c>
    </row>
    <row r="114" spans="1:5" s="506" customFormat="1" x14ac:dyDescent="0.2">
      <c r="A114" s="512">
        <v>6</v>
      </c>
      <c r="B114" s="511" t="s">
        <v>430</v>
      </c>
      <c r="C114" s="523">
        <f t="shared" si="12"/>
        <v>1.2569396451792998E-3</v>
      </c>
      <c r="D114" s="523">
        <f t="shared" si="12"/>
        <v>5.4387089449285761E-4</v>
      </c>
      <c r="E114" s="523">
        <f t="shared" si="13"/>
        <v>-7.1306875068644223E-4</v>
      </c>
    </row>
    <row r="115" spans="1:5" s="506" customFormat="1" x14ac:dyDescent="0.2">
      <c r="A115" s="512">
        <v>7</v>
      </c>
      <c r="B115" s="511" t="s">
        <v>746</v>
      </c>
      <c r="C115" s="523">
        <f t="shared" si="12"/>
        <v>1.7357758541984941E-4</v>
      </c>
      <c r="D115" s="523">
        <f t="shared" si="12"/>
        <v>1.0674372755913152E-4</v>
      </c>
      <c r="E115" s="523">
        <f t="shared" si="13"/>
        <v>-6.6833857860717889E-5</v>
      </c>
    </row>
    <row r="116" spans="1:5" s="506" customFormat="1" x14ac:dyDescent="0.2">
      <c r="A116" s="512"/>
      <c r="B116" s="516" t="s">
        <v>783</v>
      </c>
      <c r="C116" s="524">
        <f>SUM(C110+C111+C114)</f>
        <v>0.31096475869248746</v>
      </c>
      <c r="D116" s="524">
        <f>SUM(D110+D111+D114)</f>
        <v>0.30456206077339071</v>
      </c>
      <c r="E116" s="525">
        <f t="shared" si="13"/>
        <v>-6.4026979190967559E-3</v>
      </c>
    </row>
    <row r="117" spans="1:5" s="506" customFormat="1" x14ac:dyDescent="0.2">
      <c r="A117" s="512"/>
      <c r="B117" s="516" t="s">
        <v>784</v>
      </c>
      <c r="C117" s="524">
        <f>SUM(C109+C116)</f>
        <v>0.4579930831100234</v>
      </c>
      <c r="D117" s="524">
        <f>SUM(D109+D116)</f>
        <v>0.49150225899394667</v>
      </c>
      <c r="E117" s="525">
        <f t="shared" si="13"/>
        <v>3.350917588392327E-2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333</v>
      </c>
      <c r="B119" s="522" t="s">
        <v>790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639</v>
      </c>
      <c r="C121" s="523">
        <f t="shared" ref="C121:D127" si="14">IF(C$77=0,0,C58/C$77)</f>
        <v>0.28588511029564334</v>
      </c>
      <c r="D121" s="523">
        <f t="shared" si="14"/>
        <v>0.2815864080684915</v>
      </c>
      <c r="E121" s="523">
        <f t="shared" ref="E121:E129" si="15">D121-C121</f>
        <v>-4.2987022271518405E-3</v>
      </c>
    </row>
    <row r="122" spans="1:5" s="506" customFormat="1" x14ac:dyDescent="0.2">
      <c r="A122" s="512">
        <v>2</v>
      </c>
      <c r="B122" s="511" t="s">
        <v>618</v>
      </c>
      <c r="C122" s="523">
        <f t="shared" si="14"/>
        <v>0.15457718135938059</v>
      </c>
      <c r="D122" s="523">
        <f t="shared" si="14"/>
        <v>0.14472741299542197</v>
      </c>
      <c r="E122" s="523">
        <f t="shared" si="15"/>
        <v>-9.849768363958622E-3</v>
      </c>
    </row>
    <row r="123" spans="1:5" s="506" customFormat="1" x14ac:dyDescent="0.2">
      <c r="A123" s="512">
        <v>3</v>
      </c>
      <c r="B123" s="511" t="s">
        <v>764</v>
      </c>
      <c r="C123" s="523">
        <f t="shared" si="14"/>
        <v>0.10039853939264497</v>
      </c>
      <c r="D123" s="523">
        <f t="shared" si="14"/>
        <v>8.0961620465183334E-2</v>
      </c>
      <c r="E123" s="523">
        <f t="shared" si="15"/>
        <v>-1.9436918927461633E-2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0.10039853939264497</v>
      </c>
      <c r="D124" s="523">
        <f t="shared" si="14"/>
        <v>8.0961620465183334E-2</v>
      </c>
      <c r="E124" s="523">
        <f t="shared" si="15"/>
        <v>-1.9436918927461633E-2</v>
      </c>
    </row>
    <row r="125" spans="1:5" s="506" customFormat="1" x14ac:dyDescent="0.2">
      <c r="A125" s="512">
        <v>5</v>
      </c>
      <c r="B125" s="511" t="s">
        <v>731</v>
      </c>
      <c r="C125" s="523">
        <f t="shared" si="14"/>
        <v>0</v>
      </c>
      <c r="D125" s="523">
        <f t="shared" si="14"/>
        <v>0</v>
      </c>
      <c r="E125" s="523">
        <f t="shared" si="15"/>
        <v>0</v>
      </c>
    </row>
    <row r="126" spans="1:5" s="506" customFormat="1" x14ac:dyDescent="0.2">
      <c r="A126" s="512">
        <v>6</v>
      </c>
      <c r="B126" s="511" t="s">
        <v>430</v>
      </c>
      <c r="C126" s="523">
        <f t="shared" si="14"/>
        <v>1.1460858423076902E-3</v>
      </c>
      <c r="D126" s="523">
        <f t="shared" si="14"/>
        <v>1.2222994769565407E-3</v>
      </c>
      <c r="E126" s="523">
        <f t="shared" si="15"/>
        <v>7.6213634648850505E-5</v>
      </c>
    </row>
    <row r="127" spans="1:5" s="506" customFormat="1" x14ac:dyDescent="0.2">
      <c r="A127" s="512">
        <v>7</v>
      </c>
      <c r="B127" s="511" t="s">
        <v>746</v>
      </c>
      <c r="C127" s="523">
        <f t="shared" si="14"/>
        <v>2.3166732972606887E-3</v>
      </c>
      <c r="D127" s="523">
        <f t="shared" si="14"/>
        <v>2.9454436176416153E-4</v>
      </c>
      <c r="E127" s="523">
        <f t="shared" si="15"/>
        <v>-2.0221289354965272E-3</v>
      </c>
    </row>
    <row r="128" spans="1:5" s="506" customFormat="1" x14ac:dyDescent="0.2">
      <c r="A128" s="512"/>
      <c r="B128" s="516" t="s">
        <v>786</v>
      </c>
      <c r="C128" s="524">
        <f>SUM(C122+C123+C126)</f>
        <v>0.25612180659433326</v>
      </c>
      <c r="D128" s="524">
        <f>SUM(D122+D123+D126)</f>
        <v>0.22691133293756185</v>
      </c>
      <c r="E128" s="525">
        <f t="shared" si="15"/>
        <v>-2.9210473656771402E-2</v>
      </c>
    </row>
    <row r="129" spans="1:5" s="506" customFormat="1" x14ac:dyDescent="0.2">
      <c r="A129" s="512"/>
      <c r="B129" s="516" t="s">
        <v>787</v>
      </c>
      <c r="C129" s="524">
        <f>SUM(C121+C128)</f>
        <v>0.5420069168899766</v>
      </c>
      <c r="D129" s="524">
        <f>SUM(D121+D128)</f>
        <v>0.50849774100605338</v>
      </c>
      <c r="E129" s="525">
        <f t="shared" si="15"/>
        <v>-3.3509175883923215E-2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791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792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793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639</v>
      </c>
      <c r="C137" s="530">
        <v>2320</v>
      </c>
      <c r="D137" s="530">
        <v>2350</v>
      </c>
      <c r="E137" s="531">
        <f t="shared" ref="E137:E145" si="16">D137-C137</f>
        <v>30</v>
      </c>
    </row>
    <row r="138" spans="1:5" s="506" customFormat="1" x14ac:dyDescent="0.2">
      <c r="A138" s="512">
        <v>2</v>
      </c>
      <c r="B138" s="511" t="s">
        <v>618</v>
      </c>
      <c r="C138" s="530">
        <v>3378</v>
      </c>
      <c r="D138" s="530">
        <v>3565</v>
      </c>
      <c r="E138" s="531">
        <f t="shared" si="16"/>
        <v>187</v>
      </c>
    </row>
    <row r="139" spans="1:5" s="506" customFormat="1" x14ac:dyDescent="0.2">
      <c r="A139" s="512">
        <v>3</v>
      </c>
      <c r="B139" s="511" t="s">
        <v>764</v>
      </c>
      <c r="C139" s="530">
        <f>C140+C141</f>
        <v>1593</v>
      </c>
      <c r="D139" s="530">
        <f>D140+D141</f>
        <v>1625</v>
      </c>
      <c r="E139" s="531">
        <f t="shared" si="16"/>
        <v>32</v>
      </c>
    </row>
    <row r="140" spans="1:5" s="506" customFormat="1" x14ac:dyDescent="0.2">
      <c r="A140" s="512">
        <v>4</v>
      </c>
      <c r="B140" s="511" t="s">
        <v>114</v>
      </c>
      <c r="C140" s="530">
        <v>1593</v>
      </c>
      <c r="D140" s="530">
        <v>1625</v>
      </c>
      <c r="E140" s="531">
        <f t="shared" si="16"/>
        <v>32</v>
      </c>
    </row>
    <row r="141" spans="1:5" s="506" customFormat="1" x14ac:dyDescent="0.2">
      <c r="A141" s="512">
        <v>5</v>
      </c>
      <c r="B141" s="511" t="s">
        <v>731</v>
      </c>
      <c r="C141" s="530">
        <v>0</v>
      </c>
      <c r="D141" s="530">
        <v>0</v>
      </c>
      <c r="E141" s="531">
        <f t="shared" si="16"/>
        <v>0</v>
      </c>
    </row>
    <row r="142" spans="1:5" s="506" customFormat="1" x14ac:dyDescent="0.2">
      <c r="A142" s="512">
        <v>6</v>
      </c>
      <c r="B142" s="511" t="s">
        <v>430</v>
      </c>
      <c r="C142" s="530">
        <v>25</v>
      </c>
      <c r="D142" s="530">
        <v>25</v>
      </c>
      <c r="E142" s="531">
        <f t="shared" si="16"/>
        <v>0</v>
      </c>
    </row>
    <row r="143" spans="1:5" s="506" customFormat="1" x14ac:dyDescent="0.2">
      <c r="A143" s="512">
        <v>7</v>
      </c>
      <c r="B143" s="511" t="s">
        <v>746</v>
      </c>
      <c r="C143" s="530">
        <v>38</v>
      </c>
      <c r="D143" s="530">
        <v>119</v>
      </c>
      <c r="E143" s="531">
        <f t="shared" si="16"/>
        <v>81</v>
      </c>
    </row>
    <row r="144" spans="1:5" s="506" customFormat="1" x14ac:dyDescent="0.2">
      <c r="A144" s="512"/>
      <c r="B144" s="516" t="s">
        <v>794</v>
      </c>
      <c r="C144" s="532">
        <f>SUM(C138+C139+C142)</f>
        <v>4996</v>
      </c>
      <c r="D144" s="532">
        <f>SUM(D138+D139+D142)</f>
        <v>5215</v>
      </c>
      <c r="E144" s="533">
        <f t="shared" si="16"/>
        <v>219</v>
      </c>
    </row>
    <row r="145" spans="1:5" s="506" customFormat="1" x14ac:dyDescent="0.2">
      <c r="A145" s="512"/>
      <c r="B145" s="516" t="s">
        <v>708</v>
      </c>
      <c r="C145" s="532">
        <f>SUM(C137+C144)</f>
        <v>7316</v>
      </c>
      <c r="D145" s="532">
        <f>SUM(D137+D144)</f>
        <v>7565</v>
      </c>
      <c r="E145" s="533">
        <f t="shared" si="16"/>
        <v>249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639</v>
      </c>
      <c r="C149" s="534">
        <v>7286</v>
      </c>
      <c r="D149" s="534">
        <v>7290</v>
      </c>
      <c r="E149" s="531">
        <f t="shared" ref="E149:E157" si="17">D149-C149</f>
        <v>4</v>
      </c>
    </row>
    <row r="150" spans="1:5" s="506" customFormat="1" x14ac:dyDescent="0.2">
      <c r="A150" s="512">
        <v>2</v>
      </c>
      <c r="B150" s="511" t="s">
        <v>618</v>
      </c>
      <c r="C150" s="534">
        <v>15650</v>
      </c>
      <c r="D150" s="534">
        <v>15919</v>
      </c>
      <c r="E150" s="531">
        <f t="shared" si="17"/>
        <v>269</v>
      </c>
    </row>
    <row r="151" spans="1:5" s="506" customFormat="1" x14ac:dyDescent="0.2">
      <c r="A151" s="512">
        <v>3</v>
      </c>
      <c r="B151" s="511" t="s">
        <v>764</v>
      </c>
      <c r="C151" s="534">
        <f>C152+C153</f>
        <v>5653</v>
      </c>
      <c r="D151" s="534">
        <f>D152+D153</f>
        <v>6109</v>
      </c>
      <c r="E151" s="531">
        <f t="shared" si="17"/>
        <v>456</v>
      </c>
    </row>
    <row r="152" spans="1:5" s="506" customFormat="1" x14ac:dyDescent="0.2">
      <c r="A152" s="512">
        <v>4</v>
      </c>
      <c r="B152" s="511" t="s">
        <v>114</v>
      </c>
      <c r="C152" s="534">
        <v>5653</v>
      </c>
      <c r="D152" s="534">
        <v>6109</v>
      </c>
      <c r="E152" s="531">
        <f t="shared" si="17"/>
        <v>456</v>
      </c>
    </row>
    <row r="153" spans="1:5" s="506" customFormat="1" x14ac:dyDescent="0.2">
      <c r="A153" s="512">
        <v>5</v>
      </c>
      <c r="B153" s="511" t="s">
        <v>731</v>
      </c>
      <c r="C153" s="535">
        <v>0</v>
      </c>
      <c r="D153" s="534">
        <v>0</v>
      </c>
      <c r="E153" s="531">
        <f t="shared" si="17"/>
        <v>0</v>
      </c>
    </row>
    <row r="154" spans="1:5" s="506" customFormat="1" x14ac:dyDescent="0.2">
      <c r="A154" s="512">
        <v>6</v>
      </c>
      <c r="B154" s="511" t="s">
        <v>430</v>
      </c>
      <c r="C154" s="534">
        <v>81</v>
      </c>
      <c r="D154" s="534">
        <v>65</v>
      </c>
      <c r="E154" s="531">
        <f t="shared" si="17"/>
        <v>-16</v>
      </c>
    </row>
    <row r="155" spans="1:5" s="506" customFormat="1" x14ac:dyDescent="0.2">
      <c r="A155" s="512">
        <v>7</v>
      </c>
      <c r="B155" s="511" t="s">
        <v>746</v>
      </c>
      <c r="C155" s="534">
        <v>157</v>
      </c>
      <c r="D155" s="534">
        <v>370</v>
      </c>
      <c r="E155" s="531">
        <f t="shared" si="17"/>
        <v>213</v>
      </c>
    </row>
    <row r="156" spans="1:5" s="506" customFormat="1" x14ac:dyDescent="0.2">
      <c r="A156" s="512"/>
      <c r="B156" s="516" t="s">
        <v>795</v>
      </c>
      <c r="C156" s="532">
        <f>SUM(C150+C151+C154)</f>
        <v>21384</v>
      </c>
      <c r="D156" s="532">
        <f>SUM(D150+D151+D154)</f>
        <v>22093</v>
      </c>
      <c r="E156" s="533">
        <f t="shared" si="17"/>
        <v>709</v>
      </c>
    </row>
    <row r="157" spans="1:5" s="506" customFormat="1" x14ac:dyDescent="0.2">
      <c r="A157" s="512"/>
      <c r="B157" s="516" t="s">
        <v>796</v>
      </c>
      <c r="C157" s="532">
        <f>SUM(C149+C156)</f>
        <v>28670</v>
      </c>
      <c r="D157" s="532">
        <f>SUM(D149+D156)</f>
        <v>29383</v>
      </c>
      <c r="E157" s="533">
        <f t="shared" si="17"/>
        <v>713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797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639</v>
      </c>
      <c r="C161" s="536">
        <f t="shared" ref="C161:D169" si="18">IF(C137=0,0,C149/C137)</f>
        <v>3.1405172413793103</v>
      </c>
      <c r="D161" s="536">
        <f t="shared" si="18"/>
        <v>3.1021276595744682</v>
      </c>
      <c r="E161" s="537">
        <f t="shared" ref="E161:E169" si="19">D161-C161</f>
        <v>-3.8389581804842088E-2</v>
      </c>
    </row>
    <row r="162" spans="1:5" s="506" customFormat="1" x14ac:dyDescent="0.2">
      <c r="A162" s="512">
        <v>2</v>
      </c>
      <c r="B162" s="511" t="s">
        <v>618</v>
      </c>
      <c r="C162" s="536">
        <f t="shared" si="18"/>
        <v>4.6329188869153342</v>
      </c>
      <c r="D162" s="536">
        <f t="shared" si="18"/>
        <v>4.4653576437587654</v>
      </c>
      <c r="E162" s="537">
        <f t="shared" si="19"/>
        <v>-0.16756124315656873</v>
      </c>
    </row>
    <row r="163" spans="1:5" s="506" customFormat="1" x14ac:dyDescent="0.2">
      <c r="A163" s="512">
        <v>3</v>
      </c>
      <c r="B163" s="511" t="s">
        <v>764</v>
      </c>
      <c r="C163" s="536">
        <f t="shared" si="18"/>
        <v>3.5486503452605147</v>
      </c>
      <c r="D163" s="536">
        <f t="shared" si="18"/>
        <v>3.7593846153846155</v>
      </c>
      <c r="E163" s="537">
        <f t="shared" si="19"/>
        <v>0.21073427012410084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3.5486503452605147</v>
      </c>
      <c r="D164" s="536">
        <f t="shared" si="18"/>
        <v>3.7593846153846155</v>
      </c>
      <c r="E164" s="537">
        <f t="shared" si="19"/>
        <v>0.21073427012410084</v>
      </c>
    </row>
    <row r="165" spans="1:5" s="506" customFormat="1" x14ac:dyDescent="0.2">
      <c r="A165" s="512">
        <v>5</v>
      </c>
      <c r="B165" s="511" t="s">
        <v>731</v>
      </c>
      <c r="C165" s="536">
        <f t="shared" si="18"/>
        <v>0</v>
      </c>
      <c r="D165" s="536">
        <f t="shared" si="18"/>
        <v>0</v>
      </c>
      <c r="E165" s="537">
        <f t="shared" si="19"/>
        <v>0</v>
      </c>
    </row>
    <row r="166" spans="1:5" s="506" customFormat="1" x14ac:dyDescent="0.2">
      <c r="A166" s="512">
        <v>6</v>
      </c>
      <c r="B166" s="511" t="s">
        <v>430</v>
      </c>
      <c r="C166" s="536">
        <f t="shared" si="18"/>
        <v>3.24</v>
      </c>
      <c r="D166" s="536">
        <f t="shared" si="18"/>
        <v>2.6</v>
      </c>
      <c r="E166" s="537">
        <f t="shared" si="19"/>
        <v>-0.64000000000000012</v>
      </c>
    </row>
    <row r="167" spans="1:5" s="506" customFormat="1" x14ac:dyDescent="0.2">
      <c r="A167" s="512">
        <v>7</v>
      </c>
      <c r="B167" s="511" t="s">
        <v>746</v>
      </c>
      <c r="C167" s="536">
        <f t="shared" si="18"/>
        <v>4.1315789473684212</v>
      </c>
      <c r="D167" s="536">
        <f t="shared" si="18"/>
        <v>3.1092436974789917</v>
      </c>
      <c r="E167" s="537">
        <f t="shared" si="19"/>
        <v>-1.0223352498894296</v>
      </c>
    </row>
    <row r="168" spans="1:5" s="506" customFormat="1" x14ac:dyDescent="0.2">
      <c r="A168" s="512"/>
      <c r="B168" s="516" t="s">
        <v>798</v>
      </c>
      <c r="C168" s="538">
        <f t="shared" si="18"/>
        <v>4.2802241793434748</v>
      </c>
      <c r="D168" s="538">
        <f t="shared" si="18"/>
        <v>4.2364333652924255</v>
      </c>
      <c r="E168" s="539">
        <f t="shared" si="19"/>
        <v>-4.3790814051049232E-2</v>
      </c>
    </row>
    <row r="169" spans="1:5" s="506" customFormat="1" x14ac:dyDescent="0.2">
      <c r="A169" s="512"/>
      <c r="B169" s="516" t="s">
        <v>732</v>
      </c>
      <c r="C169" s="538">
        <f t="shared" si="18"/>
        <v>3.9188080918534718</v>
      </c>
      <c r="D169" s="538">
        <f t="shared" si="18"/>
        <v>3.8840713813615335</v>
      </c>
      <c r="E169" s="539">
        <f t="shared" si="19"/>
        <v>-3.4736710491938272E-2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333</v>
      </c>
      <c r="B171" s="509" t="s">
        <v>799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639</v>
      </c>
      <c r="C173" s="541">
        <f t="shared" ref="C173:D181" si="20">IF(C137=0,0,C203/C137)</f>
        <v>0.97450000000000003</v>
      </c>
      <c r="D173" s="541">
        <f t="shared" si="20"/>
        <v>0.96519999999999995</v>
      </c>
      <c r="E173" s="542">
        <f t="shared" ref="E173:E181" si="21">D173-C173</f>
        <v>-9.300000000000086E-3</v>
      </c>
    </row>
    <row r="174" spans="1:5" s="506" customFormat="1" x14ac:dyDescent="0.2">
      <c r="A174" s="512">
        <v>2</v>
      </c>
      <c r="B174" s="511" t="s">
        <v>618</v>
      </c>
      <c r="C174" s="541">
        <f t="shared" si="20"/>
        <v>1.2924</v>
      </c>
      <c r="D174" s="541">
        <f t="shared" si="20"/>
        <v>1.2996000000000001</v>
      </c>
      <c r="E174" s="542">
        <f t="shared" si="21"/>
        <v>7.2000000000000952E-3</v>
      </c>
    </row>
    <row r="175" spans="1:5" s="506" customFormat="1" x14ac:dyDescent="0.2">
      <c r="A175" s="512">
        <v>0</v>
      </c>
      <c r="B175" s="511" t="s">
        <v>764</v>
      </c>
      <c r="C175" s="541">
        <f t="shared" si="20"/>
        <v>0.93069999999999997</v>
      </c>
      <c r="D175" s="541">
        <f t="shared" si="20"/>
        <v>0.9425</v>
      </c>
      <c r="E175" s="542">
        <f t="shared" si="21"/>
        <v>1.1800000000000033E-2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0.93069999999999997</v>
      </c>
      <c r="D176" s="541">
        <f t="shared" si="20"/>
        <v>0.9425</v>
      </c>
      <c r="E176" s="542">
        <f t="shared" si="21"/>
        <v>1.1800000000000033E-2</v>
      </c>
    </row>
    <row r="177" spans="1:5" s="506" customFormat="1" x14ac:dyDescent="0.2">
      <c r="A177" s="512">
        <v>5</v>
      </c>
      <c r="B177" s="511" t="s">
        <v>731</v>
      </c>
      <c r="C177" s="541">
        <f t="shared" si="20"/>
        <v>0</v>
      </c>
      <c r="D177" s="541">
        <f t="shared" si="20"/>
        <v>0</v>
      </c>
      <c r="E177" s="542">
        <f t="shared" si="21"/>
        <v>0</v>
      </c>
    </row>
    <row r="178" spans="1:5" s="506" customFormat="1" x14ac:dyDescent="0.2">
      <c r="A178" s="512">
        <v>6</v>
      </c>
      <c r="B178" s="511" t="s">
        <v>430</v>
      </c>
      <c r="C178" s="541">
        <f t="shared" si="20"/>
        <v>1.1613</v>
      </c>
      <c r="D178" s="541">
        <f t="shared" si="20"/>
        <v>0.73570000000000002</v>
      </c>
      <c r="E178" s="542">
        <f t="shared" si="21"/>
        <v>-0.42559999999999998</v>
      </c>
    </row>
    <row r="179" spans="1:5" s="506" customFormat="1" x14ac:dyDescent="0.2">
      <c r="A179" s="512">
        <v>7</v>
      </c>
      <c r="B179" s="511" t="s">
        <v>746</v>
      </c>
      <c r="C179" s="541">
        <f t="shared" si="20"/>
        <v>0.8296</v>
      </c>
      <c r="D179" s="541">
        <f t="shared" si="20"/>
        <v>0.94</v>
      </c>
      <c r="E179" s="542">
        <f t="shared" si="21"/>
        <v>0.11039999999999994</v>
      </c>
    </row>
    <row r="180" spans="1:5" s="506" customFormat="1" x14ac:dyDescent="0.2">
      <c r="A180" s="512"/>
      <c r="B180" s="516" t="s">
        <v>800</v>
      </c>
      <c r="C180" s="543">
        <f t="shared" si="20"/>
        <v>1.1764140912730185</v>
      </c>
      <c r="D180" s="543">
        <f t="shared" si="20"/>
        <v>1.1856239693192714</v>
      </c>
      <c r="E180" s="544">
        <f t="shared" si="21"/>
        <v>9.2098780462528396E-3</v>
      </c>
    </row>
    <row r="181" spans="1:5" s="506" customFormat="1" x14ac:dyDescent="0.2">
      <c r="A181" s="512"/>
      <c r="B181" s="516" t="s">
        <v>709</v>
      </c>
      <c r="C181" s="543">
        <f t="shared" si="20"/>
        <v>1.1123844723892837</v>
      </c>
      <c r="D181" s="543">
        <f t="shared" si="20"/>
        <v>1.1171512227362854</v>
      </c>
      <c r="E181" s="544">
        <f t="shared" si="21"/>
        <v>4.7667503470016914E-3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354</v>
      </c>
      <c r="B183" s="509" t="s">
        <v>801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802</v>
      </c>
      <c r="C185" s="513">
        <v>122450596</v>
      </c>
      <c r="D185" s="513">
        <v>128985172</v>
      </c>
      <c r="E185" s="514">
        <f>D185-C185</f>
        <v>6534576</v>
      </c>
    </row>
    <row r="186" spans="1:5" s="506" customFormat="1" ht="25.5" x14ac:dyDescent="0.2">
      <c r="A186" s="512">
        <v>2</v>
      </c>
      <c r="B186" s="511" t="s">
        <v>803</v>
      </c>
      <c r="C186" s="513">
        <v>58072723</v>
      </c>
      <c r="D186" s="513">
        <v>61783743</v>
      </c>
      <c r="E186" s="514">
        <f>D186-C186</f>
        <v>3711020</v>
      </c>
    </row>
    <row r="187" spans="1:5" s="506" customFormat="1" x14ac:dyDescent="0.2">
      <c r="A187" s="512"/>
      <c r="B187" s="511" t="s">
        <v>651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735</v>
      </c>
      <c r="C188" s="546">
        <f>+C185-C186</f>
        <v>64377873</v>
      </c>
      <c r="D188" s="546">
        <f>+D185-D186</f>
        <v>67201429</v>
      </c>
      <c r="E188" s="514">
        <f t="shared" ref="E188:E197" si="22">D188-C188</f>
        <v>2823556</v>
      </c>
    </row>
    <row r="189" spans="1:5" s="506" customFormat="1" x14ac:dyDescent="0.2">
      <c r="A189" s="512">
        <v>4</v>
      </c>
      <c r="B189" s="511" t="s">
        <v>653</v>
      </c>
      <c r="C189" s="547">
        <f>IF(C185=0,0,+C188/C185)</f>
        <v>0.52574568930640397</v>
      </c>
      <c r="D189" s="547">
        <f>IF(D185=0,0,+D188/D185)</f>
        <v>0.52100119694378511</v>
      </c>
      <c r="E189" s="523">
        <f t="shared" si="22"/>
        <v>-4.7444923626188684E-3</v>
      </c>
    </row>
    <row r="190" spans="1:5" s="506" customFormat="1" x14ac:dyDescent="0.2">
      <c r="A190" s="512">
        <v>5</v>
      </c>
      <c r="B190" s="511" t="s">
        <v>750</v>
      </c>
      <c r="C190" s="513">
        <v>4277938</v>
      </c>
      <c r="D190" s="513">
        <v>6283264</v>
      </c>
      <c r="E190" s="546">
        <f t="shared" si="22"/>
        <v>2005326</v>
      </c>
    </row>
    <row r="191" spans="1:5" s="506" customFormat="1" x14ac:dyDescent="0.2">
      <c r="A191" s="512">
        <v>6</v>
      </c>
      <c r="B191" s="511" t="s">
        <v>736</v>
      </c>
      <c r="C191" s="513">
        <v>2774243</v>
      </c>
      <c r="D191" s="513">
        <v>4074697</v>
      </c>
      <c r="E191" s="546">
        <f t="shared" si="22"/>
        <v>1300454</v>
      </c>
    </row>
    <row r="192" spans="1:5" ht="29.25" x14ac:dyDescent="0.2">
      <c r="A192" s="512">
        <v>7</v>
      </c>
      <c r="B192" s="548" t="s">
        <v>804</v>
      </c>
      <c r="C192" s="513">
        <v>0</v>
      </c>
      <c r="D192" s="513">
        <v>0</v>
      </c>
      <c r="E192" s="546">
        <f t="shared" si="22"/>
        <v>0</v>
      </c>
    </row>
    <row r="193" spans="1:5" s="506" customFormat="1" x14ac:dyDescent="0.2">
      <c r="A193" s="512">
        <v>8</v>
      </c>
      <c r="B193" s="511" t="s">
        <v>805</v>
      </c>
      <c r="C193" s="513">
        <v>223751</v>
      </c>
      <c r="D193" s="513">
        <v>3781958</v>
      </c>
      <c r="E193" s="546">
        <f t="shared" si="22"/>
        <v>3558207</v>
      </c>
    </row>
    <row r="194" spans="1:5" s="506" customFormat="1" x14ac:dyDescent="0.2">
      <c r="A194" s="512">
        <v>9</v>
      </c>
      <c r="B194" s="511" t="s">
        <v>806</v>
      </c>
      <c r="C194" s="513">
        <v>9847024</v>
      </c>
      <c r="D194" s="513">
        <v>6470291</v>
      </c>
      <c r="E194" s="546">
        <f t="shared" si="22"/>
        <v>-3376733</v>
      </c>
    </row>
    <row r="195" spans="1:5" s="506" customFormat="1" x14ac:dyDescent="0.2">
      <c r="A195" s="512">
        <v>10</v>
      </c>
      <c r="B195" s="511" t="s">
        <v>807</v>
      </c>
      <c r="C195" s="513">
        <f>+C193+C194</f>
        <v>10070775</v>
      </c>
      <c r="D195" s="513">
        <f>+D193+D194</f>
        <v>10252249</v>
      </c>
      <c r="E195" s="549">
        <f t="shared" si="22"/>
        <v>181474</v>
      </c>
    </row>
    <row r="196" spans="1:5" s="506" customFormat="1" x14ac:dyDescent="0.2">
      <c r="A196" s="512">
        <v>11</v>
      </c>
      <c r="B196" s="511" t="s">
        <v>808</v>
      </c>
      <c r="C196" s="513">
        <v>122450596</v>
      </c>
      <c r="D196" s="513">
        <v>128985172</v>
      </c>
      <c r="E196" s="546">
        <f t="shared" si="22"/>
        <v>6534576</v>
      </c>
    </row>
    <row r="197" spans="1:5" s="506" customFormat="1" x14ac:dyDescent="0.2">
      <c r="A197" s="512">
        <v>12</v>
      </c>
      <c r="B197" s="511" t="s">
        <v>693</v>
      </c>
      <c r="C197" s="513">
        <v>131894527</v>
      </c>
      <c r="D197" s="513">
        <v>134486303</v>
      </c>
      <c r="E197" s="546">
        <f t="shared" si="22"/>
        <v>2591776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809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810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639</v>
      </c>
      <c r="C203" s="553">
        <v>2260.84</v>
      </c>
      <c r="D203" s="553">
        <v>2268.2199999999998</v>
      </c>
      <c r="E203" s="554">
        <f t="shared" ref="E203:E211" si="23">D203-C203</f>
        <v>7.3799999999996544</v>
      </c>
    </row>
    <row r="204" spans="1:5" s="506" customFormat="1" x14ac:dyDescent="0.2">
      <c r="A204" s="512">
        <v>2</v>
      </c>
      <c r="B204" s="511" t="s">
        <v>618</v>
      </c>
      <c r="C204" s="553">
        <v>4365.7272000000003</v>
      </c>
      <c r="D204" s="553">
        <v>4633.0740000000005</v>
      </c>
      <c r="E204" s="554">
        <f t="shared" si="23"/>
        <v>267.34680000000026</v>
      </c>
    </row>
    <row r="205" spans="1:5" s="506" customFormat="1" x14ac:dyDescent="0.2">
      <c r="A205" s="512">
        <v>3</v>
      </c>
      <c r="B205" s="511" t="s">
        <v>764</v>
      </c>
      <c r="C205" s="553">
        <f>C206+C207</f>
        <v>1482.6051</v>
      </c>
      <c r="D205" s="553">
        <f>D206+D207</f>
        <v>1531.5625</v>
      </c>
      <c r="E205" s="554">
        <f t="shared" si="23"/>
        <v>48.957400000000007</v>
      </c>
    </row>
    <row r="206" spans="1:5" s="506" customFormat="1" x14ac:dyDescent="0.2">
      <c r="A206" s="512">
        <v>4</v>
      </c>
      <c r="B206" s="511" t="s">
        <v>114</v>
      </c>
      <c r="C206" s="553">
        <v>1482.6051</v>
      </c>
      <c r="D206" s="553">
        <v>1531.5625</v>
      </c>
      <c r="E206" s="554">
        <f t="shared" si="23"/>
        <v>48.957400000000007</v>
      </c>
    </row>
    <row r="207" spans="1:5" s="506" customFormat="1" x14ac:dyDescent="0.2">
      <c r="A207" s="512">
        <v>5</v>
      </c>
      <c r="B207" s="511" t="s">
        <v>731</v>
      </c>
      <c r="C207" s="553">
        <v>0</v>
      </c>
      <c r="D207" s="553">
        <v>0</v>
      </c>
      <c r="E207" s="554">
        <f t="shared" si="23"/>
        <v>0</v>
      </c>
    </row>
    <row r="208" spans="1:5" s="506" customFormat="1" x14ac:dyDescent="0.2">
      <c r="A208" s="512">
        <v>6</v>
      </c>
      <c r="B208" s="511" t="s">
        <v>430</v>
      </c>
      <c r="C208" s="553">
        <v>29.032499999999999</v>
      </c>
      <c r="D208" s="553">
        <v>18.392500000000002</v>
      </c>
      <c r="E208" s="554">
        <f t="shared" si="23"/>
        <v>-10.639999999999997</v>
      </c>
    </row>
    <row r="209" spans="1:5" s="506" customFormat="1" x14ac:dyDescent="0.2">
      <c r="A209" s="512">
        <v>7</v>
      </c>
      <c r="B209" s="511" t="s">
        <v>746</v>
      </c>
      <c r="C209" s="553">
        <v>31.524799999999999</v>
      </c>
      <c r="D209" s="553">
        <v>111.86</v>
      </c>
      <c r="E209" s="554">
        <f t="shared" si="23"/>
        <v>80.3352</v>
      </c>
    </row>
    <row r="210" spans="1:5" s="506" customFormat="1" x14ac:dyDescent="0.2">
      <c r="A210" s="512"/>
      <c r="B210" s="516" t="s">
        <v>811</v>
      </c>
      <c r="C210" s="555">
        <f>C204+C205+C208</f>
        <v>5877.3648000000003</v>
      </c>
      <c r="D210" s="555">
        <f>D204+D205+D208</f>
        <v>6183.0290000000005</v>
      </c>
      <c r="E210" s="556">
        <f t="shared" si="23"/>
        <v>305.66420000000016</v>
      </c>
    </row>
    <row r="211" spans="1:5" s="506" customFormat="1" x14ac:dyDescent="0.2">
      <c r="A211" s="512"/>
      <c r="B211" s="516" t="s">
        <v>710</v>
      </c>
      <c r="C211" s="555">
        <f>C210+C203</f>
        <v>8138.2048000000004</v>
      </c>
      <c r="D211" s="555">
        <f>D210+D203</f>
        <v>8451.2489999999998</v>
      </c>
      <c r="E211" s="556">
        <f t="shared" si="23"/>
        <v>313.04419999999936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812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639</v>
      </c>
      <c r="C215" s="557">
        <f>IF(C14*C137=0,0,C25/C14*C137)</f>
        <v>5913.3951578549122</v>
      </c>
      <c r="D215" s="557">
        <f>IF(D14*D137=0,0,D25/D14*D137)</f>
        <v>6097.7252702117839</v>
      </c>
      <c r="E215" s="557">
        <f t="shared" ref="E215:E223" si="24">D215-C215</f>
        <v>184.33011235687172</v>
      </c>
    </row>
    <row r="216" spans="1:5" s="506" customFormat="1" x14ac:dyDescent="0.2">
      <c r="A216" s="512">
        <v>2</v>
      </c>
      <c r="B216" s="511" t="s">
        <v>618</v>
      </c>
      <c r="C216" s="557">
        <f>IF(C15*C138=0,0,C26/C15*C138)</f>
        <v>3417.2266279891837</v>
      </c>
      <c r="D216" s="557">
        <f>IF(D15*D138=0,0,D26/D15*D138)</f>
        <v>4151.952891745198</v>
      </c>
      <c r="E216" s="557">
        <f t="shared" si="24"/>
        <v>734.7262637560143</v>
      </c>
    </row>
    <row r="217" spans="1:5" s="506" customFormat="1" x14ac:dyDescent="0.2">
      <c r="A217" s="512">
        <v>3</v>
      </c>
      <c r="B217" s="511" t="s">
        <v>764</v>
      </c>
      <c r="C217" s="557">
        <f>C218+C219</f>
        <v>3378.1406774283419</v>
      </c>
      <c r="D217" s="557">
        <f>D218+D219</f>
        <v>3282.1509676923911</v>
      </c>
      <c r="E217" s="557">
        <f t="shared" si="24"/>
        <v>-95.989709735950782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3378.1406774283419</v>
      </c>
      <c r="D218" s="557">
        <f t="shared" si="25"/>
        <v>3282.1509676923911</v>
      </c>
      <c r="E218" s="557">
        <f t="shared" si="24"/>
        <v>-95.989709735950782</v>
      </c>
    </row>
    <row r="219" spans="1:5" s="506" customFormat="1" x14ac:dyDescent="0.2">
      <c r="A219" s="512">
        <v>5</v>
      </c>
      <c r="B219" s="511" t="s">
        <v>731</v>
      </c>
      <c r="C219" s="557">
        <f t="shared" si="25"/>
        <v>0</v>
      </c>
      <c r="D219" s="557">
        <f t="shared" si="25"/>
        <v>0</v>
      </c>
      <c r="E219" s="557">
        <f t="shared" si="24"/>
        <v>0</v>
      </c>
    </row>
    <row r="220" spans="1:5" s="506" customFormat="1" x14ac:dyDescent="0.2">
      <c r="A220" s="512">
        <v>6</v>
      </c>
      <c r="B220" s="511" t="s">
        <v>430</v>
      </c>
      <c r="C220" s="557">
        <f t="shared" si="25"/>
        <v>47.28523971095558</v>
      </c>
      <c r="D220" s="557">
        <f t="shared" si="25"/>
        <v>49.965152585213545</v>
      </c>
      <c r="E220" s="557">
        <f t="shared" si="24"/>
        <v>2.6799128742579654</v>
      </c>
    </row>
    <row r="221" spans="1:5" s="506" customFormat="1" x14ac:dyDescent="0.2">
      <c r="A221" s="512">
        <v>7</v>
      </c>
      <c r="B221" s="511" t="s">
        <v>746</v>
      </c>
      <c r="C221" s="557">
        <f t="shared" si="25"/>
        <v>240.29795591497432</v>
      </c>
      <c r="D221" s="557">
        <f t="shared" si="25"/>
        <v>389.91958259632207</v>
      </c>
      <c r="E221" s="557">
        <f t="shared" si="24"/>
        <v>149.62162668134775</v>
      </c>
    </row>
    <row r="222" spans="1:5" s="506" customFormat="1" x14ac:dyDescent="0.2">
      <c r="A222" s="512"/>
      <c r="B222" s="516" t="s">
        <v>813</v>
      </c>
      <c r="C222" s="558">
        <f>C216+C218+C219+C220</f>
        <v>6842.6525451284806</v>
      </c>
      <c r="D222" s="558">
        <f>D216+D218+D219+D220</f>
        <v>7484.0690120228028</v>
      </c>
      <c r="E222" s="558">
        <f t="shared" si="24"/>
        <v>641.41646689432218</v>
      </c>
    </row>
    <row r="223" spans="1:5" s="506" customFormat="1" x14ac:dyDescent="0.2">
      <c r="A223" s="512"/>
      <c r="B223" s="516" t="s">
        <v>814</v>
      </c>
      <c r="C223" s="558">
        <f>C215+C222</f>
        <v>12756.047702983393</v>
      </c>
      <c r="D223" s="558">
        <f>D215+D222</f>
        <v>13581.794282234587</v>
      </c>
      <c r="E223" s="558">
        <f t="shared" si="24"/>
        <v>825.74657925119391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815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639</v>
      </c>
      <c r="C227" s="560">
        <f t="shared" ref="C227:D235" si="26">IF(C203=0,0,C47/C203)</f>
        <v>7522.0524229932234</v>
      </c>
      <c r="D227" s="560">
        <f t="shared" si="26"/>
        <v>10228.818633113191</v>
      </c>
      <c r="E227" s="560">
        <f t="shared" ref="E227:E235" si="27">D227-C227</f>
        <v>2706.7662101199676</v>
      </c>
    </row>
    <row r="228" spans="1:5" s="506" customFormat="1" x14ac:dyDescent="0.2">
      <c r="A228" s="512">
        <v>2</v>
      </c>
      <c r="B228" s="511" t="s">
        <v>618</v>
      </c>
      <c r="C228" s="560">
        <f t="shared" si="26"/>
        <v>6686.2620275494992</v>
      </c>
      <c r="D228" s="560">
        <f t="shared" si="26"/>
        <v>6787.7445946255111</v>
      </c>
      <c r="E228" s="560">
        <f t="shared" si="27"/>
        <v>101.48256707601195</v>
      </c>
    </row>
    <row r="229" spans="1:5" s="506" customFormat="1" x14ac:dyDescent="0.2">
      <c r="A229" s="512">
        <v>3</v>
      </c>
      <c r="B229" s="511" t="s">
        <v>764</v>
      </c>
      <c r="C229" s="560">
        <f t="shared" si="26"/>
        <v>4473.3584148604368</v>
      </c>
      <c r="D229" s="560">
        <f t="shared" si="26"/>
        <v>4102.7884921444602</v>
      </c>
      <c r="E229" s="560">
        <f t="shared" si="27"/>
        <v>-370.56992271597665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4473.3584148604368</v>
      </c>
      <c r="D230" s="560">
        <f t="shared" si="26"/>
        <v>4102.7884921444602</v>
      </c>
      <c r="E230" s="560">
        <f t="shared" si="27"/>
        <v>-370.56992271597665</v>
      </c>
    </row>
    <row r="231" spans="1:5" s="506" customFormat="1" x14ac:dyDescent="0.2">
      <c r="A231" s="512">
        <v>5</v>
      </c>
      <c r="B231" s="511" t="s">
        <v>731</v>
      </c>
      <c r="C231" s="560">
        <f t="shared" si="26"/>
        <v>0</v>
      </c>
      <c r="D231" s="560">
        <f t="shared" si="26"/>
        <v>0</v>
      </c>
      <c r="E231" s="560">
        <f t="shared" si="27"/>
        <v>0</v>
      </c>
    </row>
    <row r="232" spans="1:5" s="506" customFormat="1" x14ac:dyDescent="0.2">
      <c r="A232" s="512">
        <v>6</v>
      </c>
      <c r="B232" s="511" t="s">
        <v>430</v>
      </c>
      <c r="C232" s="560">
        <f t="shared" si="26"/>
        <v>5007.6638250236801</v>
      </c>
      <c r="D232" s="560">
        <f t="shared" si="26"/>
        <v>3669.9741742558103</v>
      </c>
      <c r="E232" s="560">
        <f t="shared" si="27"/>
        <v>-1337.6896507678698</v>
      </c>
    </row>
    <row r="233" spans="1:5" s="506" customFormat="1" x14ac:dyDescent="0.2">
      <c r="A233" s="512">
        <v>7</v>
      </c>
      <c r="B233" s="511" t="s">
        <v>746</v>
      </c>
      <c r="C233" s="560">
        <f t="shared" si="26"/>
        <v>636.86367558239863</v>
      </c>
      <c r="D233" s="560">
        <f t="shared" si="26"/>
        <v>118.43375648131592</v>
      </c>
      <c r="E233" s="560">
        <f t="shared" si="27"/>
        <v>-518.42991910108276</v>
      </c>
    </row>
    <row r="234" spans="1:5" x14ac:dyDescent="0.2">
      <c r="A234" s="512"/>
      <c r="B234" s="516" t="s">
        <v>816</v>
      </c>
      <c r="C234" s="561">
        <f t="shared" si="26"/>
        <v>6119.7503003386819</v>
      </c>
      <c r="D234" s="561">
        <f t="shared" si="26"/>
        <v>6113.3952307194413</v>
      </c>
      <c r="E234" s="561">
        <f t="shared" si="27"/>
        <v>-6.3550696192405667</v>
      </c>
    </row>
    <row r="235" spans="1:5" s="506" customFormat="1" x14ac:dyDescent="0.2">
      <c r="A235" s="512"/>
      <c r="B235" s="516" t="s">
        <v>817</v>
      </c>
      <c r="C235" s="561">
        <f t="shared" si="26"/>
        <v>6509.3178780656881</v>
      </c>
      <c r="D235" s="561">
        <f t="shared" si="26"/>
        <v>7217.9284979060494</v>
      </c>
      <c r="E235" s="561">
        <f t="shared" si="27"/>
        <v>708.61061984036132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333</v>
      </c>
      <c r="B237" s="509" t="s">
        <v>818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639</v>
      </c>
      <c r="C239" s="560">
        <f t="shared" ref="C239:D247" si="28">IF(C215=0,0,C58/C215)</f>
        <v>5591.9053466393289</v>
      </c>
      <c r="D239" s="560">
        <f t="shared" si="28"/>
        <v>5731.2821505299153</v>
      </c>
      <c r="E239" s="562">
        <f t="shared" ref="E239:E247" si="29">D239-C239</f>
        <v>139.37680389058642</v>
      </c>
    </row>
    <row r="240" spans="1:5" s="506" customFormat="1" x14ac:dyDescent="0.2">
      <c r="A240" s="512">
        <v>2</v>
      </c>
      <c r="B240" s="511" t="s">
        <v>618</v>
      </c>
      <c r="C240" s="560">
        <f t="shared" si="28"/>
        <v>5232.1089428361411</v>
      </c>
      <c r="D240" s="560">
        <f t="shared" si="28"/>
        <v>4326.1974469199549</v>
      </c>
      <c r="E240" s="562">
        <f t="shared" si="29"/>
        <v>-905.91149591618614</v>
      </c>
    </row>
    <row r="241" spans="1:5" x14ac:dyDescent="0.2">
      <c r="A241" s="512">
        <v>3</v>
      </c>
      <c r="B241" s="511" t="s">
        <v>764</v>
      </c>
      <c r="C241" s="560">
        <f t="shared" si="28"/>
        <v>3437.5960354736681</v>
      </c>
      <c r="D241" s="560">
        <f t="shared" si="28"/>
        <v>3061.4600299951016</v>
      </c>
      <c r="E241" s="562">
        <f t="shared" si="29"/>
        <v>-376.1360054785664</v>
      </c>
    </row>
    <row r="242" spans="1:5" x14ac:dyDescent="0.2">
      <c r="A242" s="512">
        <v>4</v>
      </c>
      <c r="B242" s="511" t="s">
        <v>114</v>
      </c>
      <c r="C242" s="560">
        <f t="shared" si="28"/>
        <v>3437.5960354736681</v>
      </c>
      <c r="D242" s="560">
        <f t="shared" si="28"/>
        <v>3061.4600299951016</v>
      </c>
      <c r="E242" s="562">
        <f t="shared" si="29"/>
        <v>-376.1360054785664</v>
      </c>
    </row>
    <row r="243" spans="1:5" x14ac:dyDescent="0.2">
      <c r="A243" s="512">
        <v>5</v>
      </c>
      <c r="B243" s="511" t="s">
        <v>731</v>
      </c>
      <c r="C243" s="560">
        <f t="shared" si="28"/>
        <v>0</v>
      </c>
      <c r="D243" s="560">
        <f t="shared" si="28"/>
        <v>0</v>
      </c>
      <c r="E243" s="562">
        <f t="shared" si="29"/>
        <v>0</v>
      </c>
    </row>
    <row r="244" spans="1:5" x14ac:dyDescent="0.2">
      <c r="A244" s="512">
        <v>6</v>
      </c>
      <c r="B244" s="511" t="s">
        <v>430</v>
      </c>
      <c r="C244" s="560">
        <f t="shared" si="28"/>
        <v>2803.4752664960329</v>
      </c>
      <c r="D244" s="560">
        <f t="shared" si="28"/>
        <v>3036.1160158829052</v>
      </c>
      <c r="E244" s="562">
        <f t="shared" si="29"/>
        <v>232.64074938687236</v>
      </c>
    </row>
    <row r="245" spans="1:5" x14ac:dyDescent="0.2">
      <c r="A245" s="512">
        <v>7</v>
      </c>
      <c r="B245" s="511" t="s">
        <v>746</v>
      </c>
      <c r="C245" s="560">
        <f t="shared" si="28"/>
        <v>1115.1156029592423</v>
      </c>
      <c r="D245" s="560">
        <f t="shared" si="28"/>
        <v>93.752664989503444</v>
      </c>
      <c r="E245" s="562">
        <f t="shared" si="29"/>
        <v>-1021.3629379697388</v>
      </c>
    </row>
    <row r="246" spans="1:5" ht="25.5" x14ac:dyDescent="0.2">
      <c r="A246" s="512"/>
      <c r="B246" s="516" t="s">
        <v>819</v>
      </c>
      <c r="C246" s="561">
        <f t="shared" si="28"/>
        <v>4329.3953338447282</v>
      </c>
      <c r="D246" s="561">
        <f t="shared" si="28"/>
        <v>3762.9318963733513</v>
      </c>
      <c r="E246" s="563">
        <f t="shared" si="29"/>
        <v>-566.46343747137689</v>
      </c>
    </row>
    <row r="247" spans="1:5" x14ac:dyDescent="0.2">
      <c r="A247" s="512"/>
      <c r="B247" s="516" t="s">
        <v>820</v>
      </c>
      <c r="C247" s="561">
        <f t="shared" si="28"/>
        <v>4914.6644368018178</v>
      </c>
      <c r="D247" s="561">
        <f t="shared" si="28"/>
        <v>4646.6486451314931</v>
      </c>
      <c r="E247" s="563">
        <f t="shared" si="29"/>
        <v>-268.01579167032469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748</v>
      </c>
      <c r="B249" s="550" t="s">
        <v>745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6062117.0485313674</v>
      </c>
      <c r="D251" s="546">
        <f>((IF((IF(D15=0,0,D26/D15)*D138)=0,0,D59/(IF(D15=0,0,D26/D15)*D138)))-(IF((IF(D17=0,0,D28/D17)*D140)=0,0,D61/(IF(D17=0,0,D28/D17)*D140))))*(IF(D17=0,0,D28/D17)*D140)</f>
        <v>4151059.1368366824</v>
      </c>
      <c r="E251" s="546">
        <f>D251-C251</f>
        <v>-1911057.911694685</v>
      </c>
    </row>
    <row r="252" spans="1:5" x14ac:dyDescent="0.2">
      <c r="A252" s="512">
        <v>2</v>
      </c>
      <c r="B252" s="511" t="s">
        <v>731</v>
      </c>
      <c r="C252" s="546">
        <f>IF(C231=0,0,(C228-C231)*C207)+IF(C243=0,0,(C240-C243)*C219)</f>
        <v>0</v>
      </c>
      <c r="D252" s="546">
        <f>IF(D231=0,0,(D228-D231)*D207)+IF(D243=0,0,(D240-D243)*D219)</f>
        <v>0</v>
      </c>
      <c r="E252" s="546">
        <f>D252-C252</f>
        <v>0</v>
      </c>
    </row>
    <row r="253" spans="1:5" x14ac:dyDescent="0.2">
      <c r="A253" s="512">
        <v>3</v>
      </c>
      <c r="B253" s="511" t="s">
        <v>746</v>
      </c>
      <c r="C253" s="546">
        <f>IF(C233=0,0,(C228-C233)*C209+IF(C221=0,0,(C240-C245)*C221))</f>
        <v>1180011.1572540745</v>
      </c>
      <c r="D253" s="546">
        <f>IF(D233=0,0,(D228-D233)*D209+IF(D221=0,0,(D240-D245)*D221))</f>
        <v>2396342.2130871126</v>
      </c>
      <c r="E253" s="546">
        <f>D253-C253</f>
        <v>1216331.0558330382</v>
      </c>
    </row>
    <row r="254" spans="1:5" ht="15" customHeight="1" x14ac:dyDescent="0.2">
      <c r="A254" s="512"/>
      <c r="B254" s="516" t="s">
        <v>747</v>
      </c>
      <c r="C254" s="564">
        <f>+C251+C252+C253</f>
        <v>7242128.2057854421</v>
      </c>
      <c r="D254" s="564">
        <f>+D251+D252+D253</f>
        <v>6547401.3499237951</v>
      </c>
      <c r="E254" s="564">
        <f>D254-C254</f>
        <v>-694726.85586164705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821</v>
      </c>
      <c r="B256" s="550" t="s">
        <v>822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713</v>
      </c>
      <c r="C258" s="546">
        <f>+C44</f>
        <v>345045491</v>
      </c>
      <c r="D258" s="549">
        <f>+D44</f>
        <v>385913045</v>
      </c>
      <c r="E258" s="546">
        <f t="shared" ref="E258:E271" si="30">D258-C258</f>
        <v>40867554</v>
      </c>
    </row>
    <row r="259" spans="1:5" x14ac:dyDescent="0.2">
      <c r="A259" s="512">
        <v>2</v>
      </c>
      <c r="B259" s="511" t="s">
        <v>730</v>
      </c>
      <c r="C259" s="546">
        <f>+(C43-C76)</f>
        <v>150041093</v>
      </c>
      <c r="D259" s="549">
        <f>+(D43-D76)</f>
        <v>177911999</v>
      </c>
      <c r="E259" s="546">
        <f t="shared" si="30"/>
        <v>27870906</v>
      </c>
    </row>
    <row r="260" spans="1:5" x14ac:dyDescent="0.2">
      <c r="A260" s="512">
        <v>3</v>
      </c>
      <c r="B260" s="511" t="s">
        <v>734</v>
      </c>
      <c r="C260" s="546">
        <f>C195</f>
        <v>10070775</v>
      </c>
      <c r="D260" s="546">
        <f>D195</f>
        <v>10252249</v>
      </c>
      <c r="E260" s="546">
        <f t="shared" si="30"/>
        <v>181474</v>
      </c>
    </row>
    <row r="261" spans="1:5" x14ac:dyDescent="0.2">
      <c r="A261" s="512">
        <v>4</v>
      </c>
      <c r="B261" s="511" t="s">
        <v>735</v>
      </c>
      <c r="C261" s="546">
        <f>C188</f>
        <v>64377873</v>
      </c>
      <c r="D261" s="546">
        <f>D188</f>
        <v>67201429</v>
      </c>
      <c r="E261" s="546">
        <f t="shared" si="30"/>
        <v>2823556</v>
      </c>
    </row>
    <row r="262" spans="1:5" x14ac:dyDescent="0.2">
      <c r="A262" s="512">
        <v>5</v>
      </c>
      <c r="B262" s="511" t="s">
        <v>736</v>
      </c>
      <c r="C262" s="546">
        <f>C191</f>
        <v>2774243</v>
      </c>
      <c r="D262" s="546">
        <f>D191</f>
        <v>4074697</v>
      </c>
      <c r="E262" s="546">
        <f t="shared" si="30"/>
        <v>1300454</v>
      </c>
    </row>
    <row r="263" spans="1:5" x14ac:dyDescent="0.2">
      <c r="A263" s="512">
        <v>6</v>
      </c>
      <c r="B263" s="511" t="s">
        <v>737</v>
      </c>
      <c r="C263" s="546">
        <f>+C259+C260+C261+C262</f>
        <v>227263984</v>
      </c>
      <c r="D263" s="546">
        <f>+D259+D260+D261+D262</f>
        <v>259440374</v>
      </c>
      <c r="E263" s="546">
        <f t="shared" si="30"/>
        <v>32176390</v>
      </c>
    </row>
    <row r="264" spans="1:5" x14ac:dyDescent="0.2">
      <c r="A264" s="512">
        <v>7</v>
      </c>
      <c r="B264" s="511" t="s">
        <v>637</v>
      </c>
      <c r="C264" s="546">
        <f>+C258-C263</f>
        <v>117781507</v>
      </c>
      <c r="D264" s="546">
        <f>+D258-D263</f>
        <v>126472671</v>
      </c>
      <c r="E264" s="546">
        <f t="shared" si="30"/>
        <v>8691164</v>
      </c>
    </row>
    <row r="265" spans="1:5" x14ac:dyDescent="0.2">
      <c r="A265" s="512">
        <v>8</v>
      </c>
      <c r="B265" s="511" t="s">
        <v>823</v>
      </c>
      <c r="C265" s="565">
        <f>C192</f>
        <v>0</v>
      </c>
      <c r="D265" s="565">
        <f>D192</f>
        <v>0</v>
      </c>
      <c r="E265" s="546">
        <f t="shared" si="30"/>
        <v>0</v>
      </c>
    </row>
    <row r="266" spans="1:5" x14ac:dyDescent="0.2">
      <c r="A266" s="512">
        <v>9</v>
      </c>
      <c r="B266" s="511" t="s">
        <v>824</v>
      </c>
      <c r="C266" s="546">
        <f>+C264+C265</f>
        <v>117781507</v>
      </c>
      <c r="D266" s="546">
        <f>+D264+D265</f>
        <v>126472671</v>
      </c>
      <c r="E266" s="565">
        <f t="shared" si="30"/>
        <v>8691164</v>
      </c>
    </row>
    <row r="267" spans="1:5" x14ac:dyDescent="0.2">
      <c r="A267" s="512">
        <v>10</v>
      </c>
      <c r="B267" s="511" t="s">
        <v>825</v>
      </c>
      <c r="C267" s="566">
        <f>IF(C258=0,0,C266/C258)</f>
        <v>0.34135066265798558</v>
      </c>
      <c r="D267" s="566">
        <f>IF(D258=0,0,D266/D258)</f>
        <v>0.32772323361082545</v>
      </c>
      <c r="E267" s="567">
        <f t="shared" si="30"/>
        <v>-1.3627429047160133E-2</v>
      </c>
    </row>
    <row r="268" spans="1:5" x14ac:dyDescent="0.2">
      <c r="A268" s="512">
        <v>11</v>
      </c>
      <c r="B268" s="511" t="s">
        <v>699</v>
      </c>
      <c r="C268" s="546">
        <f>+C260*C267</f>
        <v>3437665.7197294747</v>
      </c>
      <c r="D268" s="568">
        <f>+D260*D267</f>
        <v>3359900.1940633515</v>
      </c>
      <c r="E268" s="546">
        <f t="shared" si="30"/>
        <v>-77765.525666123256</v>
      </c>
    </row>
    <row r="269" spans="1:5" x14ac:dyDescent="0.2">
      <c r="A269" s="512">
        <v>12</v>
      </c>
      <c r="B269" s="511" t="s">
        <v>826</v>
      </c>
      <c r="C269" s="546">
        <f>((C17+C18+C28+C29)*C267)-(C50+C51+C61+C62)</f>
        <v>4665858.5838627741</v>
      </c>
      <c r="D269" s="568">
        <f>((D17+D18+D28+D29)*D267)-(D50+D51+D61+D62)</f>
        <v>7200249.2616088986</v>
      </c>
      <c r="E269" s="546">
        <f t="shared" si="30"/>
        <v>2534390.6777461246</v>
      </c>
    </row>
    <row r="270" spans="1:5" s="569" customFormat="1" x14ac:dyDescent="0.2">
      <c r="A270" s="570">
        <v>13</v>
      </c>
      <c r="B270" s="571" t="s">
        <v>827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828</v>
      </c>
      <c r="C271" s="546">
        <f>+C268+C269+C270</f>
        <v>8103524.3035922488</v>
      </c>
      <c r="D271" s="546">
        <f>+D268+D269+D270</f>
        <v>10560149.455672249</v>
      </c>
      <c r="E271" s="549">
        <f t="shared" si="30"/>
        <v>2456625.1520800004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829</v>
      </c>
      <c r="B273" s="550" t="s">
        <v>830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831</v>
      </c>
      <c r="C275" s="340"/>
      <c r="D275" s="340"/>
      <c r="E275" s="520"/>
    </row>
    <row r="276" spans="1:5" x14ac:dyDescent="0.2">
      <c r="A276" s="512">
        <v>1</v>
      </c>
      <c r="B276" s="511" t="s">
        <v>639</v>
      </c>
      <c r="C276" s="547">
        <f t="shared" ref="C276:D284" si="31">IF(C14=0,0,+C47/C14)</f>
        <v>0.46636197197937979</v>
      </c>
      <c r="D276" s="547">
        <f t="shared" si="31"/>
        <v>0.58718210904956558</v>
      </c>
      <c r="E276" s="574">
        <f t="shared" ref="E276:E284" si="32">D276-C276</f>
        <v>0.1208201370701858</v>
      </c>
    </row>
    <row r="277" spans="1:5" x14ac:dyDescent="0.2">
      <c r="A277" s="512">
        <v>2</v>
      </c>
      <c r="B277" s="511" t="s">
        <v>618</v>
      </c>
      <c r="C277" s="547">
        <f t="shared" si="31"/>
        <v>0.39810728806311607</v>
      </c>
      <c r="D277" s="547">
        <f t="shared" si="31"/>
        <v>0.39748474588105071</v>
      </c>
      <c r="E277" s="574">
        <f t="shared" si="32"/>
        <v>-6.2254218206536649E-4</v>
      </c>
    </row>
    <row r="278" spans="1:5" x14ac:dyDescent="0.2">
      <c r="A278" s="512">
        <v>3</v>
      </c>
      <c r="B278" s="511" t="s">
        <v>764</v>
      </c>
      <c r="C278" s="547">
        <f t="shared" si="31"/>
        <v>0.3083618282523542</v>
      </c>
      <c r="D278" s="547">
        <f t="shared" si="31"/>
        <v>0.26426305299066194</v>
      </c>
      <c r="E278" s="574">
        <f t="shared" si="32"/>
        <v>-4.4098775261692258E-2</v>
      </c>
    </row>
    <row r="279" spans="1:5" x14ac:dyDescent="0.2">
      <c r="A279" s="512">
        <v>4</v>
      </c>
      <c r="B279" s="511" t="s">
        <v>114</v>
      </c>
      <c r="C279" s="547">
        <f t="shared" si="31"/>
        <v>0.3083618282523542</v>
      </c>
      <c r="D279" s="547">
        <f t="shared" si="31"/>
        <v>0.26426305299066194</v>
      </c>
      <c r="E279" s="574">
        <f t="shared" si="32"/>
        <v>-4.4098775261692258E-2</v>
      </c>
    </row>
    <row r="280" spans="1:5" x14ac:dyDescent="0.2">
      <c r="A280" s="512">
        <v>5</v>
      </c>
      <c r="B280" s="511" t="s">
        <v>731</v>
      </c>
      <c r="C280" s="547">
        <f t="shared" si="31"/>
        <v>0</v>
      </c>
      <c r="D280" s="547">
        <f t="shared" si="31"/>
        <v>0</v>
      </c>
      <c r="E280" s="574">
        <f t="shared" si="32"/>
        <v>0</v>
      </c>
    </row>
    <row r="281" spans="1:5" x14ac:dyDescent="0.2">
      <c r="A281" s="512">
        <v>6</v>
      </c>
      <c r="B281" s="511" t="s">
        <v>430</v>
      </c>
      <c r="C281" s="547">
        <f t="shared" si="31"/>
        <v>0.41279688808756515</v>
      </c>
      <c r="D281" s="547">
        <f t="shared" si="31"/>
        <v>0.25090138646247628</v>
      </c>
      <c r="E281" s="574">
        <f t="shared" si="32"/>
        <v>-0.16189550162508887</v>
      </c>
    </row>
    <row r="282" spans="1:5" x14ac:dyDescent="0.2">
      <c r="A282" s="512">
        <v>7</v>
      </c>
      <c r="B282" s="511" t="s">
        <v>746</v>
      </c>
      <c r="C282" s="547">
        <f t="shared" si="31"/>
        <v>2.465995376796036E-2</v>
      </c>
      <c r="D282" s="547">
        <f t="shared" si="31"/>
        <v>7.7007630428477013E-3</v>
      </c>
      <c r="E282" s="574">
        <f t="shared" si="32"/>
        <v>-1.695919072511266E-2</v>
      </c>
    </row>
    <row r="283" spans="1:5" ht="29.25" customHeight="1" x14ac:dyDescent="0.2">
      <c r="A283" s="512"/>
      <c r="B283" s="516" t="s">
        <v>832</v>
      </c>
      <c r="C283" s="575">
        <f t="shared" si="31"/>
        <v>0.37788241544364704</v>
      </c>
      <c r="D283" s="575">
        <f t="shared" si="31"/>
        <v>0.36639670903748273</v>
      </c>
      <c r="E283" s="576">
        <f t="shared" si="32"/>
        <v>-1.1485706406164309E-2</v>
      </c>
    </row>
    <row r="284" spans="1:5" x14ac:dyDescent="0.2">
      <c r="A284" s="512"/>
      <c r="B284" s="516" t="s">
        <v>833</v>
      </c>
      <c r="C284" s="575">
        <f t="shared" si="31"/>
        <v>0.40239051472125026</v>
      </c>
      <c r="D284" s="575">
        <f t="shared" si="31"/>
        <v>0.42754043696144989</v>
      </c>
      <c r="E284" s="576">
        <f t="shared" si="32"/>
        <v>2.5149922240199629E-2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834</v>
      </c>
      <c r="C286" s="520"/>
      <c r="D286" s="520"/>
      <c r="E286" s="520"/>
    </row>
    <row r="287" spans="1:5" x14ac:dyDescent="0.2">
      <c r="A287" s="512">
        <v>1</v>
      </c>
      <c r="B287" s="511" t="s">
        <v>639</v>
      </c>
      <c r="C287" s="547">
        <f t="shared" ref="C287:D295" si="33">IF(C25=0,0,+C58/C25)</f>
        <v>0.35576624693205822</v>
      </c>
      <c r="D287" s="547">
        <f t="shared" si="33"/>
        <v>0.34086453076349199</v>
      </c>
      <c r="E287" s="574">
        <f t="shared" ref="E287:E295" si="34">D287-C287</f>
        <v>-1.4901716168566226E-2</v>
      </c>
    </row>
    <row r="288" spans="1:5" x14ac:dyDescent="0.2">
      <c r="A288" s="512">
        <v>2</v>
      </c>
      <c r="B288" s="511" t="s">
        <v>618</v>
      </c>
      <c r="C288" s="547">
        <f t="shared" si="33"/>
        <v>0.24104413285922183</v>
      </c>
      <c r="D288" s="547">
        <f t="shared" si="33"/>
        <v>0.19493580147546855</v>
      </c>
      <c r="E288" s="574">
        <f t="shared" si="34"/>
        <v>-4.6108331383753282E-2</v>
      </c>
    </row>
    <row r="289" spans="1:5" x14ac:dyDescent="0.2">
      <c r="A289" s="512">
        <v>3</v>
      </c>
      <c r="B289" s="511" t="s">
        <v>764</v>
      </c>
      <c r="C289" s="547">
        <f t="shared" si="33"/>
        <v>0.25460799778154147</v>
      </c>
      <c r="D289" s="547">
        <f t="shared" si="33"/>
        <v>0.20922065344383664</v>
      </c>
      <c r="E289" s="574">
        <f t="shared" si="34"/>
        <v>-4.5387344337704832E-2</v>
      </c>
    </row>
    <row r="290" spans="1:5" x14ac:dyDescent="0.2">
      <c r="A290" s="512">
        <v>4</v>
      </c>
      <c r="B290" s="511" t="s">
        <v>114</v>
      </c>
      <c r="C290" s="547">
        <f t="shared" si="33"/>
        <v>0.25460799778154147</v>
      </c>
      <c r="D290" s="547">
        <f t="shared" si="33"/>
        <v>0.20922065344383664</v>
      </c>
      <c r="E290" s="574">
        <f t="shared" si="34"/>
        <v>-4.5387344337704832E-2</v>
      </c>
    </row>
    <row r="291" spans="1:5" x14ac:dyDescent="0.2">
      <c r="A291" s="512">
        <v>5</v>
      </c>
      <c r="B291" s="511" t="s">
        <v>731</v>
      </c>
      <c r="C291" s="547">
        <f t="shared" si="33"/>
        <v>0</v>
      </c>
      <c r="D291" s="547">
        <f t="shared" si="33"/>
        <v>0</v>
      </c>
      <c r="E291" s="574">
        <f t="shared" si="34"/>
        <v>0</v>
      </c>
    </row>
    <row r="292" spans="1:5" x14ac:dyDescent="0.2">
      <c r="A292" s="512">
        <v>6</v>
      </c>
      <c r="B292" s="511" t="s">
        <v>430</v>
      </c>
      <c r="C292" s="547">
        <f t="shared" si="33"/>
        <v>0.19900021767032702</v>
      </c>
      <c r="D292" s="547">
        <f t="shared" si="33"/>
        <v>0.2821354510540558</v>
      </c>
      <c r="E292" s="574">
        <f t="shared" si="34"/>
        <v>8.3135233383728774E-2</v>
      </c>
    </row>
    <row r="293" spans="1:5" x14ac:dyDescent="0.2">
      <c r="A293" s="512">
        <v>7</v>
      </c>
      <c r="B293" s="511" t="s">
        <v>746</v>
      </c>
      <c r="C293" s="547">
        <f t="shared" si="33"/>
        <v>5.2047146992400956E-2</v>
      </c>
      <c r="D293" s="547">
        <f t="shared" si="33"/>
        <v>6.4850603765578448E-3</v>
      </c>
      <c r="E293" s="574">
        <f t="shared" si="34"/>
        <v>-4.5562086615843114E-2</v>
      </c>
    </row>
    <row r="294" spans="1:5" ht="29.25" customHeight="1" x14ac:dyDescent="0.2">
      <c r="A294" s="512"/>
      <c r="B294" s="516" t="s">
        <v>835</v>
      </c>
      <c r="C294" s="575">
        <f t="shared" si="33"/>
        <v>0.24594773034933787</v>
      </c>
      <c r="D294" s="575">
        <f t="shared" si="33"/>
        <v>0.20014473053510826</v>
      </c>
      <c r="E294" s="576">
        <f t="shared" si="34"/>
        <v>-4.5802999814229611E-2</v>
      </c>
    </row>
    <row r="295" spans="1:5" x14ac:dyDescent="0.2">
      <c r="A295" s="512"/>
      <c r="B295" s="516" t="s">
        <v>836</v>
      </c>
      <c r="C295" s="575">
        <f t="shared" si="33"/>
        <v>0.29377983900568805</v>
      </c>
      <c r="D295" s="575">
        <f t="shared" si="33"/>
        <v>0.25945999356581845</v>
      </c>
      <c r="E295" s="576">
        <f t="shared" si="34"/>
        <v>-3.4319845439869601E-2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837</v>
      </c>
      <c r="B297" s="501" t="s">
        <v>838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839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637</v>
      </c>
      <c r="C301" s="514">
        <f>+C48+C47+C50+C51+C52+C59+C58+C61+C62+C63</f>
        <v>115665856</v>
      </c>
      <c r="D301" s="514">
        <f>+D48+D47+D50+D51+D52+D59+D58+D61+D62+D63</f>
        <v>124110337</v>
      </c>
      <c r="E301" s="514">
        <f>D301-C301</f>
        <v>8444481</v>
      </c>
    </row>
    <row r="302" spans="1:5" ht="25.5" x14ac:dyDescent="0.2">
      <c r="A302" s="512">
        <v>2</v>
      </c>
      <c r="B302" s="511" t="s">
        <v>840</v>
      </c>
      <c r="C302" s="546">
        <f>C265</f>
        <v>0</v>
      </c>
      <c r="D302" s="546">
        <f>D265</f>
        <v>0</v>
      </c>
      <c r="E302" s="514">
        <f>D302-C302</f>
        <v>0</v>
      </c>
    </row>
    <row r="303" spans="1:5" x14ac:dyDescent="0.2">
      <c r="A303" s="512"/>
      <c r="B303" s="516" t="s">
        <v>841</v>
      </c>
      <c r="C303" s="517">
        <f>+C301+C302</f>
        <v>115665856</v>
      </c>
      <c r="D303" s="517">
        <f>+D301+D302</f>
        <v>124110337</v>
      </c>
      <c r="E303" s="517">
        <f>D303-C303</f>
        <v>8444481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842</v>
      </c>
      <c r="C305" s="513">
        <v>10275104</v>
      </c>
      <c r="D305" s="578">
        <v>6250607</v>
      </c>
      <c r="E305" s="579">
        <f>D305-C305</f>
        <v>-4024497</v>
      </c>
    </row>
    <row r="306" spans="1:5" x14ac:dyDescent="0.2">
      <c r="A306" s="512">
        <v>4</v>
      </c>
      <c r="B306" s="516" t="s">
        <v>843</v>
      </c>
      <c r="C306" s="580">
        <f>+C303+C305</f>
        <v>125940960</v>
      </c>
      <c r="D306" s="580">
        <f>+D303+D305</f>
        <v>130360944</v>
      </c>
      <c r="E306" s="580">
        <f>D306-C306</f>
        <v>4419984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844</v>
      </c>
      <c r="C308" s="513">
        <v>125941019</v>
      </c>
      <c r="D308" s="513">
        <v>130360493</v>
      </c>
      <c r="E308" s="514">
        <f>D308-C308</f>
        <v>4419474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845</v>
      </c>
      <c r="C310" s="581">
        <f>C306-C308</f>
        <v>-59</v>
      </c>
      <c r="D310" s="582">
        <f>D306-D308</f>
        <v>451</v>
      </c>
      <c r="E310" s="580">
        <f>D310-C310</f>
        <v>510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846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847</v>
      </c>
      <c r="C314" s="514">
        <f>+C14+C15+C16+C19+C25+C26+C27+C30</f>
        <v>345045491</v>
      </c>
      <c r="D314" s="514">
        <f>+D14+D15+D16+D19+D25+D26+D27+D30</f>
        <v>385913045</v>
      </c>
      <c r="E314" s="514">
        <f>D314-C314</f>
        <v>40867554</v>
      </c>
    </row>
    <row r="315" spans="1:5" x14ac:dyDescent="0.2">
      <c r="A315" s="512">
        <v>2</v>
      </c>
      <c r="B315" s="583" t="s">
        <v>848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849</v>
      </c>
      <c r="C316" s="581">
        <f>C314+C315</f>
        <v>345045491</v>
      </c>
      <c r="D316" s="581">
        <f>D314+D315</f>
        <v>385913045</v>
      </c>
      <c r="E316" s="517">
        <f>D316-C316</f>
        <v>40867554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850</v>
      </c>
      <c r="C318" s="513">
        <v>345045549</v>
      </c>
      <c r="D318" s="513">
        <v>385913045</v>
      </c>
      <c r="E318" s="514">
        <f>D318-C318</f>
        <v>40867496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845</v>
      </c>
      <c r="C320" s="581">
        <f>C316-C318</f>
        <v>-58</v>
      </c>
      <c r="D320" s="581">
        <f>D316-D318</f>
        <v>0</v>
      </c>
      <c r="E320" s="517">
        <f>D320-C320</f>
        <v>58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851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852</v>
      </c>
      <c r="C324" s="513">
        <f>+C193+C194</f>
        <v>10070775</v>
      </c>
      <c r="D324" s="513">
        <f>+D193+D194</f>
        <v>10252249</v>
      </c>
      <c r="E324" s="514">
        <f>D324-C324</f>
        <v>181474</v>
      </c>
    </row>
    <row r="325" spans="1:5" x14ac:dyDescent="0.2">
      <c r="A325" s="512">
        <v>2</v>
      </c>
      <c r="B325" s="511" t="s">
        <v>853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854</v>
      </c>
      <c r="C326" s="581">
        <f>C324+C325</f>
        <v>10070775</v>
      </c>
      <c r="D326" s="581">
        <f>D324+D325</f>
        <v>10252249</v>
      </c>
      <c r="E326" s="517">
        <f>D326-C326</f>
        <v>181474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855</v>
      </c>
      <c r="C328" s="513">
        <v>10070775</v>
      </c>
      <c r="D328" s="513">
        <v>10252249</v>
      </c>
      <c r="E328" s="514">
        <f>D328-C328</f>
        <v>181474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856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/>
  <headerFooter>
    <oddHeader>&amp;LOFFICE OF HEALTH CARE ACCESS&amp;CTWELVE MONTHS ACTUAL FILING&amp;RBRISTOL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609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857</v>
      </c>
      <c r="B5" s="696"/>
      <c r="C5" s="697"/>
      <c r="D5" s="585"/>
    </row>
    <row r="6" spans="1:58" s="338" customFormat="1" ht="15.75" customHeight="1" x14ac:dyDescent="0.25">
      <c r="A6" s="695" t="s">
        <v>858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859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860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763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639</v>
      </c>
      <c r="C14" s="513">
        <v>39512803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618</v>
      </c>
      <c r="C15" s="515">
        <v>79117811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764</v>
      </c>
      <c r="C16" s="515">
        <v>23778114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23778114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731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430</v>
      </c>
      <c r="C19" s="515">
        <v>269030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746</v>
      </c>
      <c r="C20" s="515">
        <v>1720349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765</v>
      </c>
      <c r="C21" s="517">
        <f>SUM(C15+C16+C19)</f>
        <v>103164955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705</v>
      </c>
      <c r="C22" s="517">
        <f>SUM(C14+C21)</f>
        <v>142677758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766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639</v>
      </c>
      <c r="C25" s="513">
        <v>102526901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618</v>
      </c>
      <c r="C26" s="515">
        <v>92144018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764</v>
      </c>
      <c r="C27" s="515">
        <v>48026683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48026683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731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430</v>
      </c>
      <c r="C30" s="515">
        <v>537685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746</v>
      </c>
      <c r="C31" s="518">
        <v>5636956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767</v>
      </c>
      <c r="C32" s="517">
        <f>SUM(C26+C27+C30)</f>
        <v>140708386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711</v>
      </c>
      <c r="C33" s="517">
        <f>SUM(C25+C32)</f>
        <v>243235287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636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861</v>
      </c>
      <c r="C36" s="514">
        <f>SUM(C14+C25)</f>
        <v>142039704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862</v>
      </c>
      <c r="C37" s="518">
        <f>SUM(C21+C32)</f>
        <v>243873341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636</v>
      </c>
      <c r="C38" s="517">
        <f>SUM(+C36+C37)</f>
        <v>385913045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333</v>
      </c>
      <c r="B40" s="509" t="s">
        <v>776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639</v>
      </c>
      <c r="C41" s="513">
        <v>23201211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618</v>
      </c>
      <c r="C42" s="515">
        <v>31448123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764</v>
      </c>
      <c r="C43" s="515">
        <v>6283677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6283677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731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430</v>
      </c>
      <c r="C46" s="515">
        <v>67500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746</v>
      </c>
      <c r="C47" s="515">
        <v>13248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777</v>
      </c>
      <c r="C48" s="517">
        <f>SUM(C42+C43+C46)</f>
        <v>37799300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706</v>
      </c>
      <c r="C49" s="517">
        <f>SUM(C41+C48)</f>
        <v>61000511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354</v>
      </c>
      <c r="B51" s="509" t="s">
        <v>778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639</v>
      </c>
      <c r="C52" s="513">
        <v>34947784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618</v>
      </c>
      <c r="C53" s="515">
        <v>17962168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764</v>
      </c>
      <c r="C54" s="515">
        <v>10048174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10048174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731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430</v>
      </c>
      <c r="C57" s="515">
        <v>151700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746</v>
      </c>
      <c r="C58" s="515">
        <v>36556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779</v>
      </c>
      <c r="C59" s="517">
        <f>SUM(C53+C54+C57)</f>
        <v>28162042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712</v>
      </c>
      <c r="C60" s="517">
        <f>SUM(C52+C59)</f>
        <v>63109826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366</v>
      </c>
      <c r="B62" s="521" t="s">
        <v>637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863</v>
      </c>
      <c r="C63" s="514">
        <f>SUM(C41+C52)</f>
        <v>58148995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864</v>
      </c>
      <c r="C64" s="518">
        <f>SUM(C48+C59)</f>
        <v>65961342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637</v>
      </c>
      <c r="C65" s="517">
        <f>SUM(+C63+C64)</f>
        <v>124110337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865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866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639</v>
      </c>
      <c r="C70" s="530">
        <v>2350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618</v>
      </c>
      <c r="C71" s="530">
        <v>3565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764</v>
      </c>
      <c r="C72" s="530">
        <v>1625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1625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731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430</v>
      </c>
      <c r="C75" s="545">
        <v>25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746</v>
      </c>
      <c r="C76" s="545">
        <v>119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794</v>
      </c>
      <c r="C77" s="532">
        <f>SUM(C71+C72+C75)</f>
        <v>5215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708</v>
      </c>
      <c r="C78" s="596">
        <f>SUM(C70+C77)</f>
        <v>7565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799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639</v>
      </c>
      <c r="C81" s="541">
        <v>0.96519999999999995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618</v>
      </c>
      <c r="C82" s="541">
        <v>1.2996000000000001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764</v>
      </c>
      <c r="C83" s="541">
        <f>((C73*C84)+(C74*C85))/(C73+C74)</f>
        <v>0.9425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0.9425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731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430</v>
      </c>
      <c r="C86" s="541">
        <v>0.73570000000000002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746</v>
      </c>
      <c r="C87" s="541">
        <v>0.94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800</v>
      </c>
      <c r="C88" s="543">
        <f>((C71*C82)+(C73*C84)+(C74*C85)+(C75*C86))/(C71+C73+C74+C75)</f>
        <v>1.1856239693192714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709</v>
      </c>
      <c r="C89" s="543">
        <f>((C70*C81)+(C71*C82)+(C73*C84)+(C74*C85)+(C75*C86))/(C70+C71+C73+C74+C75)</f>
        <v>1.1171512227362854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801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802</v>
      </c>
      <c r="C92" s="513">
        <v>128985172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803</v>
      </c>
      <c r="C93" s="546">
        <v>61783743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651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735</v>
      </c>
      <c r="C95" s="513">
        <f>+C92-C93</f>
        <v>67201429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653</v>
      </c>
      <c r="C96" s="597">
        <f>(+C92-C93)/C92</f>
        <v>0.52100119694378511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750</v>
      </c>
      <c r="C98" s="513">
        <v>6283264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736</v>
      </c>
      <c r="C99" s="513">
        <v>4074697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867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805</v>
      </c>
      <c r="C103" s="513">
        <v>3781958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806</v>
      </c>
      <c r="C104" s="513">
        <v>6470291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807</v>
      </c>
      <c r="C105" s="578">
        <f>+C103+C104</f>
        <v>10252249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808</v>
      </c>
      <c r="C107" s="513">
        <v>5173982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693</v>
      </c>
      <c r="C108" s="513">
        <v>134486303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838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839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637</v>
      </c>
      <c r="C114" s="514">
        <f>+C65</f>
        <v>124110337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840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841</v>
      </c>
      <c r="C116" s="517">
        <f>+C114+C115</f>
        <v>124110337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842</v>
      </c>
      <c r="C118" s="578">
        <v>6250607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843</v>
      </c>
      <c r="C119" s="580">
        <f>+C116+C118</f>
        <v>130360944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844</v>
      </c>
      <c r="C121" s="513">
        <v>130360493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845</v>
      </c>
      <c r="C123" s="582">
        <f>C119-C121</f>
        <v>451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846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847</v>
      </c>
      <c r="C127" s="514">
        <f>+C38</f>
        <v>385913045</v>
      </c>
      <c r="D127" s="588"/>
      <c r="AR127" s="507"/>
    </row>
    <row r="128" spans="1:58" s="506" customFormat="1" x14ac:dyDescent="0.2">
      <c r="A128" s="512">
        <v>2</v>
      </c>
      <c r="B128" s="583" t="s">
        <v>848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849</v>
      </c>
      <c r="C129" s="581">
        <f>C127+C128</f>
        <v>385913045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850</v>
      </c>
      <c r="C131" s="513">
        <v>385913045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845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851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852</v>
      </c>
      <c r="C137" s="513">
        <f>C105</f>
        <v>10252249</v>
      </c>
      <c r="D137" s="588"/>
      <c r="AR137" s="507"/>
    </row>
    <row r="138" spans="1:44" s="506" customFormat="1" x14ac:dyDescent="0.2">
      <c r="A138" s="512">
        <v>2</v>
      </c>
      <c r="B138" s="511" t="s">
        <v>868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854</v>
      </c>
      <c r="C139" s="581">
        <f>C137+C138</f>
        <v>10252249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869</v>
      </c>
      <c r="C141" s="513">
        <v>10252249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856</v>
      </c>
      <c r="C143" s="581">
        <f>C139-C141</f>
        <v>0</v>
      </c>
      <c r="D143" s="588"/>
      <c r="AR143" s="507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orientation="portrait" horizontalDpi="1200" verticalDpi="1200"/>
  <headerFooter>
    <oddHeader>&amp;LOFFICE OF HEALTH CARE ACCESS&amp;CTWELVE MONTHS ACTUAL FILING&amp;RBRISTOL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870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613</v>
      </c>
      <c r="D8" s="35" t="s">
        <v>613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615</v>
      </c>
      <c r="D9" s="607" t="s">
        <v>616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871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872</v>
      </c>
      <c r="C12" s="49">
        <v>82</v>
      </c>
      <c r="D12" s="49">
        <v>3402</v>
      </c>
      <c r="E12" s="49">
        <f>+D12-C12</f>
        <v>3320</v>
      </c>
      <c r="F12" s="70">
        <f>IF(C12=0,0,+E12/C12)</f>
        <v>40.487804878048777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873</v>
      </c>
      <c r="C13" s="49">
        <v>79</v>
      </c>
      <c r="D13" s="49">
        <v>3402</v>
      </c>
      <c r="E13" s="49">
        <f>+D13-C13</f>
        <v>3323</v>
      </c>
      <c r="F13" s="70">
        <f>IF(C13=0,0,+E13/C13)</f>
        <v>42.063291139240505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874</v>
      </c>
      <c r="C15" s="51">
        <v>223751</v>
      </c>
      <c r="D15" s="51">
        <v>3781958</v>
      </c>
      <c r="E15" s="51">
        <f>+D15-C15</f>
        <v>3558207</v>
      </c>
      <c r="F15" s="70">
        <f>IF(C15=0,0,+E15/C15)</f>
        <v>15.902530044558461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875</v>
      </c>
      <c r="C16" s="27">
        <f>IF(C13=0,0,+C15/+C13)</f>
        <v>2832.2911392405063</v>
      </c>
      <c r="D16" s="27">
        <f>IF(D13=0,0,+D15/+D13)</f>
        <v>1111.6866549088772</v>
      </c>
      <c r="E16" s="27">
        <f>+D16-C16</f>
        <v>-1720.604484331629</v>
      </c>
      <c r="F16" s="28">
        <f>IF(C16=0,0,+E16/C16)</f>
        <v>-0.60749562800701984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876</v>
      </c>
      <c r="C18" s="210">
        <v>0.35794399999999998</v>
      </c>
      <c r="D18" s="210">
        <v>0.37561099999999997</v>
      </c>
      <c r="E18" s="210">
        <f>+D18-C18</f>
        <v>1.7666999999999988E-2</v>
      </c>
      <c r="F18" s="70">
        <f>IF(C18=0,0,+E18/C18)</f>
        <v>4.9356882640859995E-2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877</v>
      </c>
      <c r="C19" s="27">
        <f>+C15*C18</f>
        <v>80090.32794399999</v>
      </c>
      <c r="D19" s="27">
        <f>+D15*D18</f>
        <v>1420545.0263379999</v>
      </c>
      <c r="E19" s="27">
        <f>+D19-C19</f>
        <v>1340454.6983939998</v>
      </c>
      <c r="F19" s="28">
        <f>IF(C19=0,0,+E19/C19)</f>
        <v>16.736786236301342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878</v>
      </c>
      <c r="C20" s="27">
        <f>IF(C13=0,0,+C19/C13)</f>
        <v>1013.8016195443037</v>
      </c>
      <c r="D20" s="27">
        <f>IF(D13=0,0,+D19/D13)</f>
        <v>417.5617361369782</v>
      </c>
      <c r="E20" s="27">
        <f>+D20-C20</f>
        <v>-596.23988340732546</v>
      </c>
      <c r="F20" s="28">
        <f>IF(C20=0,0,+E20/C20)</f>
        <v>-0.58812283578253788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879</v>
      </c>
      <c r="C22" s="51">
        <v>110509</v>
      </c>
      <c r="D22" s="51">
        <v>879504</v>
      </c>
      <c r="E22" s="51">
        <f>+D22-C22</f>
        <v>768995</v>
      </c>
      <c r="F22" s="70">
        <f>IF(C22=0,0,+E22/C22)</f>
        <v>6.9586640002171771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880</v>
      </c>
      <c r="C23" s="49">
        <v>76227</v>
      </c>
      <c r="D23" s="49">
        <v>2080472</v>
      </c>
      <c r="E23" s="49">
        <f>+D23-C23</f>
        <v>2004245</v>
      </c>
      <c r="F23" s="70">
        <f>IF(C23=0,0,+E23/C23)</f>
        <v>26.293111364739527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881</v>
      </c>
      <c r="C24" s="49">
        <v>37015</v>
      </c>
      <c r="D24" s="49">
        <v>821982</v>
      </c>
      <c r="E24" s="49">
        <f>+D24-C24</f>
        <v>784967</v>
      </c>
      <c r="F24" s="70">
        <f>IF(C24=0,0,+E24/C24)</f>
        <v>21.206727002566527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874</v>
      </c>
      <c r="C25" s="27">
        <f>+C22+C23+C24</f>
        <v>223751</v>
      </c>
      <c r="D25" s="27">
        <f>+D22+D23+D24</f>
        <v>3781958</v>
      </c>
      <c r="E25" s="27">
        <f>+E22+E23+E24</f>
        <v>3558207</v>
      </c>
      <c r="F25" s="28">
        <f>IF(C25=0,0,+E25/C25)</f>
        <v>15.902530044558461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882</v>
      </c>
      <c r="C27" s="49">
        <v>16</v>
      </c>
      <c r="D27" s="49">
        <v>206</v>
      </c>
      <c r="E27" s="49">
        <f>+D27-C27</f>
        <v>190</v>
      </c>
      <c r="F27" s="70">
        <f>IF(C27=0,0,+E27/C27)</f>
        <v>11.875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883</v>
      </c>
      <c r="C28" s="49">
        <v>2</v>
      </c>
      <c r="D28" s="49">
        <v>64</v>
      </c>
      <c r="E28" s="49">
        <f>+D28-C28</f>
        <v>62</v>
      </c>
      <c r="F28" s="70">
        <f>IF(C28=0,0,+E28/C28)</f>
        <v>31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884</v>
      </c>
      <c r="C29" s="49">
        <v>32</v>
      </c>
      <c r="D29" s="49">
        <v>2044</v>
      </c>
      <c r="E29" s="49">
        <f>+D29-C29</f>
        <v>2012</v>
      </c>
      <c r="F29" s="70">
        <f>IF(C29=0,0,+E29/C29)</f>
        <v>62.875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885</v>
      </c>
      <c r="C30" s="49">
        <v>62</v>
      </c>
      <c r="D30" s="49">
        <v>1173</v>
      </c>
      <c r="E30" s="49">
        <f>+D30-C30</f>
        <v>1111</v>
      </c>
      <c r="F30" s="70">
        <f>IF(C30=0,0,+E30/C30)</f>
        <v>17.919354838709676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886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887</v>
      </c>
      <c r="C33" s="51">
        <v>2727226</v>
      </c>
      <c r="D33" s="51">
        <v>1972481</v>
      </c>
      <c r="E33" s="51">
        <f>+D33-C33</f>
        <v>-754745</v>
      </c>
      <c r="F33" s="70">
        <f>IF(C33=0,0,+E33/C33)</f>
        <v>-0.27674457489038312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888</v>
      </c>
      <c r="C34" s="49">
        <v>5862099</v>
      </c>
      <c r="D34" s="49">
        <v>4268954</v>
      </c>
      <c r="E34" s="49">
        <f>+D34-C34</f>
        <v>-1593145</v>
      </c>
      <c r="F34" s="70">
        <f>IF(C34=0,0,+E34/C34)</f>
        <v>-0.27177040169400074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889</v>
      </c>
      <c r="C35" s="49">
        <v>1257699</v>
      </c>
      <c r="D35" s="49">
        <v>228856</v>
      </c>
      <c r="E35" s="49">
        <f>+D35-C35</f>
        <v>-1028843</v>
      </c>
      <c r="F35" s="70">
        <f>IF(C35=0,0,+E35/C35)</f>
        <v>-0.81803595295853782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890</v>
      </c>
      <c r="C36" s="27">
        <f>+C33+C34+C35</f>
        <v>9847024</v>
      </c>
      <c r="D36" s="27">
        <f>+D33+D34+D35</f>
        <v>6470291</v>
      </c>
      <c r="E36" s="27">
        <f>+E33+E34+E35</f>
        <v>-3376733</v>
      </c>
      <c r="F36" s="28">
        <f>IF(C36=0,0,+E36/C36)</f>
        <v>-0.34291913983351724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891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892</v>
      </c>
      <c r="C39" s="51">
        <f>+C25</f>
        <v>223751</v>
      </c>
      <c r="D39" s="51">
        <f>+D25</f>
        <v>3781958</v>
      </c>
      <c r="E39" s="51">
        <f>+D39-C39</f>
        <v>3558207</v>
      </c>
      <c r="F39" s="70">
        <f>IF(C39=0,0,+E39/C39)</f>
        <v>15.902530044558461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893</v>
      </c>
      <c r="C40" s="49">
        <f>+C36</f>
        <v>9847024</v>
      </c>
      <c r="D40" s="49">
        <f>+D36</f>
        <v>6470291</v>
      </c>
      <c r="E40" s="49">
        <f>+D40-C40</f>
        <v>-3376733</v>
      </c>
      <c r="F40" s="70">
        <f>IF(C40=0,0,+E40/C40)</f>
        <v>-0.34291913983351724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894</v>
      </c>
      <c r="C41" s="27">
        <f>+C39+C40</f>
        <v>10070775</v>
      </c>
      <c r="D41" s="27">
        <f>+D39+D40</f>
        <v>10252249</v>
      </c>
      <c r="E41" s="27">
        <f>+E39+E40</f>
        <v>181474</v>
      </c>
      <c r="F41" s="28">
        <f>IF(C41=0,0,+E41/C41)</f>
        <v>1.8019864409640766E-2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895</v>
      </c>
      <c r="C43" s="51">
        <f t="shared" ref="C43:D45" si="0">+C22+C33</f>
        <v>2837735</v>
      </c>
      <c r="D43" s="51">
        <f t="shared" si="0"/>
        <v>2851985</v>
      </c>
      <c r="E43" s="51">
        <f>+D43-C43</f>
        <v>14250</v>
      </c>
      <c r="F43" s="70">
        <f>IF(C43=0,0,+E43/C43)</f>
        <v>5.0216105450297506E-3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896</v>
      </c>
      <c r="C44" s="49">
        <f t="shared" si="0"/>
        <v>5938326</v>
      </c>
      <c r="D44" s="49">
        <f t="shared" si="0"/>
        <v>6349426</v>
      </c>
      <c r="E44" s="49">
        <f>+D44-C44</f>
        <v>411100</v>
      </c>
      <c r="F44" s="70">
        <f>IF(C44=0,0,+E44/C44)</f>
        <v>6.9228263992242925E-2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897</v>
      </c>
      <c r="C45" s="49">
        <f t="shared" si="0"/>
        <v>1294714</v>
      </c>
      <c r="D45" s="49">
        <f t="shared" si="0"/>
        <v>1050838</v>
      </c>
      <c r="E45" s="49">
        <f>+D45-C45</f>
        <v>-243876</v>
      </c>
      <c r="F45" s="70">
        <f>IF(C45=0,0,+E45/C45)</f>
        <v>-0.18836283534433088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894</v>
      </c>
      <c r="C46" s="27">
        <f>+C43+C44+C45</f>
        <v>10070775</v>
      </c>
      <c r="D46" s="27">
        <f>+D43+D44+D45</f>
        <v>10252249</v>
      </c>
      <c r="E46" s="27">
        <f>+E43+E44+E45</f>
        <v>181474</v>
      </c>
      <c r="F46" s="28">
        <f>IF(C46=0,0,+E46/C46)</f>
        <v>1.8019864409640766E-2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898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70" orientation="portrait" horizontalDpi="1200" verticalDpi="1200"/>
  <headerFooter>
    <oddHeader>&amp;LOFFICE OF HEALTH CARE ACCESS&amp;CTWELVE MONTHS ACTUAL FILING&amp;RBRISTOL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609</v>
      </c>
      <c r="B3" s="712"/>
      <c r="C3" s="712"/>
      <c r="D3" s="712"/>
      <c r="E3" s="712"/>
      <c r="F3" s="713"/>
    </row>
    <row r="4" spans="1:14" ht="15.75" customHeight="1" x14ac:dyDescent="0.25">
      <c r="A4" s="711" t="s">
        <v>610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899</v>
      </c>
      <c r="B5" s="712"/>
      <c r="C5" s="712"/>
      <c r="D5" s="712"/>
      <c r="E5" s="712"/>
      <c r="F5" s="713"/>
    </row>
    <row r="6" spans="1:14" ht="15.75" customHeight="1" x14ac:dyDescent="0.25">
      <c r="A6" s="711" t="s">
        <v>900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615</v>
      </c>
      <c r="D9" s="35" t="s">
        <v>616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901</v>
      </c>
      <c r="D10" s="35" t="s">
        <v>901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902</v>
      </c>
      <c r="D11" s="605" t="s">
        <v>902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903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337</v>
      </c>
      <c r="C15" s="51">
        <v>122450596</v>
      </c>
      <c r="D15" s="51">
        <v>128985172</v>
      </c>
      <c r="E15" s="51">
        <f>+D15-C15</f>
        <v>6534576</v>
      </c>
      <c r="F15" s="70">
        <f>+E15/C15</f>
        <v>5.3364999546429322E-2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519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904</v>
      </c>
      <c r="C17" s="51">
        <v>64377873</v>
      </c>
      <c r="D17" s="51">
        <v>67201429</v>
      </c>
      <c r="E17" s="51">
        <f>+D17-C17</f>
        <v>2823556</v>
      </c>
      <c r="F17" s="70">
        <f>+E17/C17</f>
        <v>4.3859106684062087E-2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905</v>
      </c>
      <c r="C19" s="27">
        <f>+C15-C17</f>
        <v>58072723</v>
      </c>
      <c r="D19" s="27">
        <f>+D15-D17</f>
        <v>61783743</v>
      </c>
      <c r="E19" s="27">
        <f>+D19-C19</f>
        <v>3711020</v>
      </c>
      <c r="F19" s="28">
        <f>+E19/C19</f>
        <v>6.3902979028553561E-2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906</v>
      </c>
      <c r="C21" s="628">
        <f>+C17/C15</f>
        <v>0.52574568930640397</v>
      </c>
      <c r="D21" s="628">
        <f>+D17/D15</f>
        <v>0.52100119694378511</v>
      </c>
      <c r="E21" s="628">
        <f>+D21-C21</f>
        <v>-4.7444923626188684E-3</v>
      </c>
      <c r="F21" s="28">
        <f>+E21/C21</f>
        <v>-9.0243105347722289E-3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519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519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519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519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907</v>
      </c>
      <c r="B26" s="715"/>
      <c r="C26" s="715"/>
      <c r="D26" s="715"/>
      <c r="E26" s="715"/>
      <c r="F26" s="716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90" orientation="landscape" horizontalDpi="1200" verticalDpi="1200"/>
  <headerFooter>
    <oddHeader>&amp;L&amp;12OFFICE OF HEALTH CARE ACCESS&amp;C&amp;12TWELVE MONTHS ACTUAL FILING&amp;R&amp;12BRISTOL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908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909</v>
      </c>
      <c r="B6" s="632" t="s">
        <v>910</v>
      </c>
      <c r="C6" s="632" t="s">
        <v>911</v>
      </c>
      <c r="D6" s="632" t="s">
        <v>912</v>
      </c>
      <c r="E6" s="632" t="s">
        <v>913</v>
      </c>
    </row>
    <row r="7" spans="1:6" ht="37.5" customHeight="1" x14ac:dyDescent="0.25">
      <c r="A7" s="633" t="s">
        <v>8</v>
      </c>
      <c r="B7" s="634" t="s">
        <v>914</v>
      </c>
      <c r="C7" s="631" t="s">
        <v>915</v>
      </c>
      <c r="D7" s="631" t="s">
        <v>916</v>
      </c>
      <c r="E7" s="631" t="s">
        <v>917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918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919</v>
      </c>
      <c r="C10" s="641">
        <v>146231302</v>
      </c>
      <c r="D10" s="641">
        <v>131648635</v>
      </c>
      <c r="E10" s="641">
        <v>142677758</v>
      </c>
    </row>
    <row r="11" spans="1:6" ht="26.1" customHeight="1" x14ac:dyDescent="0.25">
      <c r="A11" s="639">
        <v>2</v>
      </c>
      <c r="B11" s="640" t="s">
        <v>920</v>
      </c>
      <c r="C11" s="641">
        <v>215529941</v>
      </c>
      <c r="D11" s="641">
        <v>213396856</v>
      </c>
      <c r="E11" s="641">
        <v>243235287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361761243</v>
      </c>
      <c r="D12" s="641">
        <f>+D11+D10</f>
        <v>345045491</v>
      </c>
      <c r="E12" s="641">
        <f>+E11+E10</f>
        <v>385913045</v>
      </c>
    </row>
    <row r="13" spans="1:6" ht="26.1" customHeight="1" x14ac:dyDescent="0.25">
      <c r="A13" s="639">
        <v>4</v>
      </c>
      <c r="B13" s="640" t="s">
        <v>496</v>
      </c>
      <c r="C13" s="641">
        <v>127394892</v>
      </c>
      <c r="D13" s="641">
        <v>125941019</v>
      </c>
      <c r="E13" s="641">
        <v>130360493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336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921</v>
      </c>
      <c r="C16" s="641">
        <v>130987633</v>
      </c>
      <c r="D16" s="641">
        <v>131894527</v>
      </c>
      <c r="E16" s="641">
        <v>134486303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922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384</v>
      </c>
      <c r="C19" s="644">
        <v>30673</v>
      </c>
      <c r="D19" s="644">
        <v>28670</v>
      </c>
      <c r="E19" s="644">
        <v>29383</v>
      </c>
    </row>
    <row r="20" spans="1:5" ht="26.1" customHeight="1" x14ac:dyDescent="0.25">
      <c r="A20" s="639">
        <v>2</v>
      </c>
      <c r="B20" s="640" t="s">
        <v>385</v>
      </c>
      <c r="C20" s="645">
        <v>7617</v>
      </c>
      <c r="D20" s="645">
        <v>7316</v>
      </c>
      <c r="E20" s="645">
        <v>7565</v>
      </c>
    </row>
    <row r="21" spans="1:5" ht="26.1" customHeight="1" x14ac:dyDescent="0.25">
      <c r="A21" s="639">
        <v>3</v>
      </c>
      <c r="B21" s="640" t="s">
        <v>923</v>
      </c>
      <c r="C21" s="646">
        <f>IF(C20=0,0,+C19/C20)</f>
        <v>4.0269134829985562</v>
      </c>
      <c r="D21" s="646">
        <f>IF(D20=0,0,+D19/D20)</f>
        <v>3.9188080918534718</v>
      </c>
      <c r="E21" s="646">
        <f>IF(E20=0,0,+E19/E20)</f>
        <v>3.8840713813615335</v>
      </c>
    </row>
    <row r="22" spans="1:5" ht="26.1" customHeight="1" x14ac:dyDescent="0.25">
      <c r="A22" s="639">
        <v>4</v>
      </c>
      <c r="B22" s="640" t="s">
        <v>924</v>
      </c>
      <c r="C22" s="645">
        <f>IF(C10=0,0,C19*(C12/C10))</f>
        <v>75881.856037491903</v>
      </c>
      <c r="D22" s="645">
        <f>IF(D10=0,0,D19*(D12/D10))</f>
        <v>75142.854515506377</v>
      </c>
      <c r="E22" s="645">
        <f>IF(E10=0,0,E19*(E12/E10))</f>
        <v>79474.777009286903</v>
      </c>
    </row>
    <row r="23" spans="1:5" ht="26.1" customHeight="1" x14ac:dyDescent="0.25">
      <c r="A23" s="639">
        <v>0</v>
      </c>
      <c r="B23" s="640" t="s">
        <v>925</v>
      </c>
      <c r="C23" s="645">
        <f>IF(C10=0,0,C20*(C12/C10))</f>
        <v>18843.676765806271</v>
      </c>
      <c r="D23" s="645">
        <f>IF(D10=0,0,D20*(D12/D10))</f>
        <v>19174.925833116311</v>
      </c>
      <c r="E23" s="645">
        <f>IF(E10=0,0,E20*(E12/E10))</f>
        <v>20461.718955697357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333</v>
      </c>
      <c r="B25" s="642" t="s">
        <v>926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434</v>
      </c>
      <c r="C26" s="647">
        <v>1.0808632269922542</v>
      </c>
      <c r="D26" s="647">
        <v>1.1123844723892837</v>
      </c>
      <c r="E26" s="647">
        <v>1.1171512227362854</v>
      </c>
    </row>
    <row r="27" spans="1:5" ht="26.1" customHeight="1" x14ac:dyDescent="0.25">
      <c r="A27" s="639">
        <v>2</v>
      </c>
      <c r="B27" s="640" t="s">
        <v>927</v>
      </c>
      <c r="C27" s="645">
        <f>C19*C26</f>
        <v>33153.317761533413</v>
      </c>
      <c r="D27" s="645">
        <f>D19*D26</f>
        <v>31892.062823400764</v>
      </c>
      <c r="E27" s="645">
        <f>E19*E26</f>
        <v>32825.254377660276</v>
      </c>
    </row>
    <row r="28" spans="1:5" ht="26.1" customHeight="1" x14ac:dyDescent="0.25">
      <c r="A28" s="639">
        <v>3</v>
      </c>
      <c r="B28" s="640" t="s">
        <v>928</v>
      </c>
      <c r="C28" s="645">
        <f>C20*C26</f>
        <v>8232.9351999999999</v>
      </c>
      <c r="D28" s="645">
        <f>D20*D26</f>
        <v>8138.2047999999995</v>
      </c>
      <c r="E28" s="645">
        <f>E20*E26</f>
        <v>8451.2489999999998</v>
      </c>
    </row>
    <row r="29" spans="1:5" ht="26.1" customHeight="1" x14ac:dyDescent="0.25">
      <c r="A29" s="639">
        <v>4</v>
      </c>
      <c r="B29" s="640" t="s">
        <v>929</v>
      </c>
      <c r="C29" s="645">
        <f>C22*C26</f>
        <v>82017.907786845171</v>
      </c>
      <c r="D29" s="645">
        <f>D22*D26</f>
        <v>83587.744574056269</v>
      </c>
      <c r="E29" s="645">
        <f>E22*E26</f>
        <v>88785.344312618487</v>
      </c>
    </row>
    <row r="30" spans="1:5" ht="26.1" customHeight="1" x14ac:dyDescent="0.25">
      <c r="A30" s="639">
        <v>5</v>
      </c>
      <c r="B30" s="640" t="s">
        <v>930</v>
      </c>
      <c r="C30" s="645">
        <f>C23*C26</f>
        <v>20367.43727748833</v>
      </c>
      <c r="D30" s="645">
        <f>D23*D26</f>
        <v>21329.889755974735</v>
      </c>
      <c r="E30" s="645">
        <f>E23*E26</f>
        <v>22858.83435064353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354</v>
      </c>
      <c r="B32" s="634" t="s">
        <v>931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932</v>
      </c>
      <c r="C33" s="641">
        <f>IF(C19=0,0,C12/C19)</f>
        <v>11794.126528216999</v>
      </c>
      <c r="D33" s="641">
        <f>IF(D19=0,0,D12/D19)</f>
        <v>12035.071189396582</v>
      </c>
      <c r="E33" s="641">
        <f>IF(E19=0,0,E12/E19)</f>
        <v>13133.888472926523</v>
      </c>
    </row>
    <row r="34" spans="1:5" ht="26.1" customHeight="1" x14ac:dyDescent="0.25">
      <c r="A34" s="639">
        <v>2</v>
      </c>
      <c r="B34" s="640" t="s">
        <v>933</v>
      </c>
      <c r="C34" s="641">
        <f>IF(C20=0,0,C12/C20)</f>
        <v>47493.927136667982</v>
      </c>
      <c r="D34" s="641">
        <f>IF(D20=0,0,D12/D20)</f>
        <v>47163.134363039913</v>
      </c>
      <c r="E34" s="641">
        <f>IF(E20=0,0,E12/E20)</f>
        <v>51012.960343688035</v>
      </c>
    </row>
    <row r="35" spans="1:5" ht="26.1" customHeight="1" x14ac:dyDescent="0.25">
      <c r="A35" s="639">
        <v>3</v>
      </c>
      <c r="B35" s="640" t="s">
        <v>934</v>
      </c>
      <c r="C35" s="641">
        <f>IF(C22=0,0,C12/C22)</f>
        <v>4767.4274443321483</v>
      </c>
      <c r="D35" s="641">
        <f>IF(D22=0,0,D12/D22)</f>
        <v>4591.8603069410528</v>
      </c>
      <c r="E35" s="641">
        <f>IF(E22=0,0,E12/E22)</f>
        <v>4855.7927372970762</v>
      </c>
    </row>
    <row r="36" spans="1:5" ht="26.1" customHeight="1" x14ac:dyDescent="0.25">
      <c r="A36" s="639">
        <v>4</v>
      </c>
      <c r="B36" s="640" t="s">
        <v>935</v>
      </c>
      <c r="C36" s="641">
        <f>IF(C23=0,0,C12/C23)</f>
        <v>19198.017854798476</v>
      </c>
      <c r="D36" s="641">
        <f>IF(D23=0,0,D12/D23)</f>
        <v>17994.619327501365</v>
      </c>
      <c r="E36" s="641">
        <f>IF(E23=0,0,E12/E23)</f>
        <v>18860.245604758755</v>
      </c>
    </row>
    <row r="37" spans="1:5" ht="26.1" customHeight="1" x14ac:dyDescent="0.25">
      <c r="A37" s="639">
        <v>5</v>
      </c>
      <c r="B37" s="640" t="s">
        <v>936</v>
      </c>
      <c r="C37" s="641">
        <f>IF(C29=0,0,C12/C29)</f>
        <v>4410.7592202933856</v>
      </c>
      <c r="D37" s="641">
        <f>IF(D29=0,0,D12/D29)</f>
        <v>4127.9435491204085</v>
      </c>
      <c r="E37" s="641">
        <f>IF(E29=0,0,E12/E29)</f>
        <v>4346.5849908874279</v>
      </c>
    </row>
    <row r="38" spans="1:5" ht="26.1" customHeight="1" x14ac:dyDescent="0.25">
      <c r="A38" s="639">
        <v>6</v>
      </c>
      <c r="B38" s="640" t="s">
        <v>937</v>
      </c>
      <c r="C38" s="641">
        <f>IF(C30=0,0,C12/C30)</f>
        <v>17761.745774459636</v>
      </c>
      <c r="D38" s="641">
        <f>IF(D30=0,0,D12/D30)</f>
        <v>16176.618583007397</v>
      </c>
      <c r="E38" s="641">
        <f>IF(E30=0,0,E12/E30)</f>
        <v>16882.446369761441</v>
      </c>
    </row>
    <row r="39" spans="1:5" ht="26.1" customHeight="1" x14ac:dyDescent="0.25">
      <c r="A39" s="639">
        <v>7</v>
      </c>
      <c r="B39" s="640" t="s">
        <v>938</v>
      </c>
      <c r="C39" s="641">
        <f>IF(C22=0,0,C10/C22)</f>
        <v>1927.0917929017137</v>
      </c>
      <c r="D39" s="641">
        <f>IF(D22=0,0,D10/D22)</f>
        <v>1751.9780935768572</v>
      </c>
      <c r="E39" s="641">
        <f>IF(E22=0,0,E10/E22)</f>
        <v>1795.2583620753992</v>
      </c>
    </row>
    <row r="40" spans="1:5" ht="26.1" customHeight="1" x14ac:dyDescent="0.25">
      <c r="A40" s="639">
        <v>8</v>
      </c>
      <c r="B40" s="640" t="s">
        <v>939</v>
      </c>
      <c r="C40" s="641">
        <f>IF(C23=0,0,C10/C23)</f>
        <v>7760.2319238117725</v>
      </c>
      <c r="D40" s="641">
        <f>IF(D23=0,0,D10/D23)</f>
        <v>6865.6659298590075</v>
      </c>
      <c r="E40" s="641">
        <f>IF(E23=0,0,E10/E23)</f>
        <v>6972.9116262870393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366</v>
      </c>
      <c r="B42" s="634" t="s">
        <v>940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941</v>
      </c>
      <c r="C43" s="641">
        <f>IF(C19=0,0,C13/C19)</f>
        <v>4153.3235092752584</v>
      </c>
      <c r="D43" s="641">
        <f>IF(D19=0,0,D13/D19)</f>
        <v>4392.7805720265087</v>
      </c>
      <c r="E43" s="641">
        <f>IF(E19=0,0,E13/E19)</f>
        <v>4436.5957526460879</v>
      </c>
    </row>
    <row r="44" spans="1:5" ht="26.1" customHeight="1" x14ac:dyDescent="0.25">
      <c r="A44" s="639">
        <v>2</v>
      </c>
      <c r="B44" s="640" t="s">
        <v>942</v>
      </c>
      <c r="C44" s="641">
        <f>IF(C20=0,0,C13/C20)</f>
        <v>16725.074438755415</v>
      </c>
      <c r="D44" s="641">
        <f>IF(D20=0,0,D13/D20)</f>
        <v>17214.464051394203</v>
      </c>
      <c r="E44" s="641">
        <f>IF(E20=0,0,E13/E20)</f>
        <v>17232.054593522804</v>
      </c>
    </row>
    <row r="45" spans="1:5" ht="26.1" customHeight="1" x14ac:dyDescent="0.25">
      <c r="A45" s="639">
        <v>3</v>
      </c>
      <c r="B45" s="640" t="s">
        <v>943</v>
      </c>
      <c r="C45" s="641">
        <f>IF(C22=0,0,C13/C22)</f>
        <v>1678.8584076944085</v>
      </c>
      <c r="D45" s="641">
        <f>IF(D22=0,0,D13/D22)</f>
        <v>1676.0212240008927</v>
      </c>
      <c r="E45" s="641">
        <f>IF(E22=0,0,E13/E22)</f>
        <v>1640.2750395231299</v>
      </c>
    </row>
    <row r="46" spans="1:5" ht="26.1" customHeight="1" x14ac:dyDescent="0.25">
      <c r="A46" s="639">
        <v>4</v>
      </c>
      <c r="B46" s="640" t="s">
        <v>944</v>
      </c>
      <c r="C46" s="641">
        <f>IF(C23=0,0,C13/C23)</f>
        <v>6760.617557990101</v>
      </c>
      <c r="D46" s="641">
        <f>IF(D23=0,0,D13/D23)</f>
        <v>6568.0055347328589</v>
      </c>
      <c r="E46" s="641">
        <f>IF(E23=0,0,E13/E23)</f>
        <v>6370.945338573446</v>
      </c>
    </row>
    <row r="47" spans="1:5" ht="26.1" customHeight="1" x14ac:dyDescent="0.25">
      <c r="A47" s="639">
        <v>5</v>
      </c>
      <c r="B47" s="640" t="s">
        <v>945</v>
      </c>
      <c r="C47" s="641">
        <f>IF(C29=0,0,C13/C29)</f>
        <v>1553.2570317580428</v>
      </c>
      <c r="D47" s="641">
        <f>IF(D29=0,0,D13/D29)</f>
        <v>1506.6923942231745</v>
      </c>
      <c r="E47" s="641">
        <f>IF(E29=0,0,E13/E29)</f>
        <v>1468.2658946615438</v>
      </c>
    </row>
    <row r="48" spans="1:5" ht="26.1" customHeight="1" x14ac:dyDescent="0.25">
      <c r="A48" s="639">
        <v>6</v>
      </c>
      <c r="B48" s="640" t="s">
        <v>946</v>
      </c>
      <c r="C48" s="641">
        <f>IF(C30=0,0,C13/C30)</f>
        <v>6254.8316837487801</v>
      </c>
      <c r="D48" s="641">
        <f>IF(D30=0,0,D13/D30)</f>
        <v>5904.4383464158573</v>
      </c>
      <c r="E48" s="641">
        <f>IF(E30=0,0,E13/E30)</f>
        <v>5702.8495416840906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378</v>
      </c>
      <c r="B50" s="634" t="s">
        <v>947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948</v>
      </c>
      <c r="C51" s="641">
        <f>IF(C19=0,0,C16/C19)</f>
        <v>4270.4539171258111</v>
      </c>
      <c r="D51" s="641">
        <f>IF(D19=0,0,D16/D19)</f>
        <v>4600.4369375653996</v>
      </c>
      <c r="E51" s="641">
        <f>IF(E19=0,0,E16/E19)</f>
        <v>4577.0106183847802</v>
      </c>
    </row>
    <row r="52" spans="1:6" ht="26.1" customHeight="1" x14ac:dyDescent="0.25">
      <c r="A52" s="639">
        <v>2</v>
      </c>
      <c r="B52" s="640" t="s">
        <v>949</v>
      </c>
      <c r="C52" s="641">
        <f>IF(C20=0,0,C16/C20)</f>
        <v>17196.748457397927</v>
      </c>
      <c r="D52" s="641">
        <f>IF(D20=0,0,D16/D20)</f>
        <v>18028.229496992892</v>
      </c>
      <c r="E52" s="641">
        <f>IF(E20=0,0,E16/E20)</f>
        <v>17777.435955056178</v>
      </c>
    </row>
    <row r="53" spans="1:6" ht="26.1" customHeight="1" x14ac:dyDescent="0.25">
      <c r="A53" s="639">
        <v>3</v>
      </c>
      <c r="B53" s="640" t="s">
        <v>950</v>
      </c>
      <c r="C53" s="641">
        <f>IF(C22=0,0,C16/C22)</f>
        <v>1726.2049169604034</v>
      </c>
      <c r="D53" s="641">
        <f>IF(D22=0,0,D16/D22)</f>
        <v>1755.250420687471</v>
      </c>
      <c r="E53" s="641">
        <f>IF(E22=0,0,E16/E22)</f>
        <v>1692.1884912528262</v>
      </c>
    </row>
    <row r="54" spans="1:6" ht="26.1" customHeight="1" x14ac:dyDescent="0.25">
      <c r="A54" s="639">
        <v>4</v>
      </c>
      <c r="B54" s="640" t="s">
        <v>951</v>
      </c>
      <c r="C54" s="641">
        <f>IF(C23=0,0,C16/C23)</f>
        <v>6951.2778545262518</v>
      </c>
      <c r="D54" s="641">
        <f>IF(D23=0,0,D16/D23)</f>
        <v>6878.4895518192725</v>
      </c>
      <c r="E54" s="641">
        <f>IF(E23=0,0,E16/E23)</f>
        <v>6572.5808907444534</v>
      </c>
    </row>
    <row r="55" spans="1:6" ht="26.1" customHeight="1" x14ac:dyDescent="0.25">
      <c r="A55" s="639">
        <v>5</v>
      </c>
      <c r="B55" s="640" t="s">
        <v>952</v>
      </c>
      <c r="C55" s="641">
        <f>IF(C29=0,0,C16/C29)</f>
        <v>1597.0613800637459</v>
      </c>
      <c r="D55" s="641">
        <f>IF(D29=0,0,D16/D29)</f>
        <v>1577.9170459988347</v>
      </c>
      <c r="E55" s="641">
        <f>IF(E29=0,0,E16/E29)</f>
        <v>1514.7353883819576</v>
      </c>
    </row>
    <row r="56" spans="1:6" ht="26.1" customHeight="1" x14ac:dyDescent="0.25">
      <c r="A56" s="639">
        <v>6</v>
      </c>
      <c r="B56" s="640" t="s">
        <v>953</v>
      </c>
      <c r="C56" s="641">
        <f>IF(C30=0,0,C16/C30)</f>
        <v>6431.2280045549805</v>
      </c>
      <c r="D56" s="641">
        <f>IF(D30=0,0,D16/D30)</f>
        <v>6183.5540881337611</v>
      </c>
      <c r="E56" s="641">
        <f>IF(E30=0,0,E16/E30)</f>
        <v>5883.3403723499086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382</v>
      </c>
      <c r="B58" s="642" t="s">
        <v>954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955</v>
      </c>
      <c r="C59" s="649">
        <v>20662698</v>
      </c>
      <c r="D59" s="649">
        <v>20534294</v>
      </c>
      <c r="E59" s="649">
        <v>20544785</v>
      </c>
    </row>
    <row r="60" spans="1:6" ht="26.1" customHeight="1" x14ac:dyDescent="0.25">
      <c r="A60" s="639">
        <v>2</v>
      </c>
      <c r="B60" s="640" t="s">
        <v>956</v>
      </c>
      <c r="C60" s="649">
        <v>6166989</v>
      </c>
      <c r="D60" s="649">
        <v>6098801</v>
      </c>
      <c r="E60" s="649">
        <v>5639912</v>
      </c>
    </row>
    <row r="61" spans="1:6" ht="26.1" customHeight="1" x14ac:dyDescent="0.25">
      <c r="A61" s="650">
        <v>3</v>
      </c>
      <c r="B61" s="651" t="s">
        <v>957</v>
      </c>
      <c r="C61" s="652">
        <f>C59+C60</f>
        <v>26829687</v>
      </c>
      <c r="D61" s="652">
        <f>D59+D60</f>
        <v>26633095</v>
      </c>
      <c r="E61" s="652">
        <f>E59+E60</f>
        <v>26184697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958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959</v>
      </c>
      <c r="C64" s="641">
        <v>365058</v>
      </c>
      <c r="D64" s="641">
        <v>427269</v>
      </c>
      <c r="E64" s="649">
        <v>320735</v>
      </c>
      <c r="F64" s="653"/>
    </row>
    <row r="65" spans="1:6" ht="26.1" customHeight="1" x14ac:dyDescent="0.25">
      <c r="A65" s="639">
        <v>2</v>
      </c>
      <c r="B65" s="640" t="s">
        <v>960</v>
      </c>
      <c r="C65" s="649">
        <v>108955</v>
      </c>
      <c r="D65" s="649">
        <v>126901</v>
      </c>
      <c r="E65" s="649">
        <v>88048</v>
      </c>
      <c r="F65" s="653"/>
    </row>
    <row r="66" spans="1:6" ht="26.1" customHeight="1" x14ac:dyDescent="0.25">
      <c r="A66" s="650">
        <v>3</v>
      </c>
      <c r="B66" s="651" t="s">
        <v>961</v>
      </c>
      <c r="C66" s="654">
        <f>C64+C65</f>
        <v>474013</v>
      </c>
      <c r="D66" s="654">
        <f>D64+D65</f>
        <v>554170</v>
      </c>
      <c r="E66" s="654">
        <f>E64+E65</f>
        <v>408783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408</v>
      </c>
      <c r="B68" s="642" t="s">
        <v>962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963</v>
      </c>
      <c r="C69" s="649">
        <v>30445437</v>
      </c>
      <c r="D69" s="649">
        <v>32130283</v>
      </c>
      <c r="E69" s="649">
        <v>34060540</v>
      </c>
    </row>
    <row r="70" spans="1:6" ht="26.1" customHeight="1" x14ac:dyDescent="0.25">
      <c r="A70" s="639">
        <v>2</v>
      </c>
      <c r="B70" s="640" t="s">
        <v>964</v>
      </c>
      <c r="C70" s="649">
        <v>9086746</v>
      </c>
      <c r="D70" s="649">
        <v>9542875</v>
      </c>
      <c r="E70" s="649">
        <v>9350229</v>
      </c>
    </row>
    <row r="71" spans="1:6" ht="26.1" customHeight="1" x14ac:dyDescent="0.25">
      <c r="A71" s="650">
        <v>3</v>
      </c>
      <c r="B71" s="651" t="s">
        <v>965</v>
      </c>
      <c r="C71" s="652">
        <f>C69+C70</f>
        <v>39532183</v>
      </c>
      <c r="D71" s="652">
        <f>D69+D70</f>
        <v>41673158</v>
      </c>
      <c r="E71" s="652">
        <f>E69+E70</f>
        <v>43410769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424</v>
      </c>
      <c r="B74" s="642" t="s">
        <v>966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967</v>
      </c>
      <c r="C75" s="641">
        <f t="shared" ref="C75:E76" si="0">+C59+C64+C69</f>
        <v>51473193</v>
      </c>
      <c r="D75" s="641">
        <f t="shared" si="0"/>
        <v>53091846</v>
      </c>
      <c r="E75" s="641">
        <f t="shared" si="0"/>
        <v>54926060</v>
      </c>
    </row>
    <row r="76" spans="1:6" ht="26.1" customHeight="1" x14ac:dyDescent="0.25">
      <c r="A76" s="639">
        <v>2</v>
      </c>
      <c r="B76" s="640" t="s">
        <v>968</v>
      </c>
      <c r="C76" s="641">
        <f t="shared" si="0"/>
        <v>15362690</v>
      </c>
      <c r="D76" s="641">
        <f t="shared" si="0"/>
        <v>15768577</v>
      </c>
      <c r="E76" s="641">
        <f t="shared" si="0"/>
        <v>15078189</v>
      </c>
    </row>
    <row r="77" spans="1:6" ht="26.1" customHeight="1" x14ac:dyDescent="0.25">
      <c r="A77" s="650">
        <v>3</v>
      </c>
      <c r="B77" s="651" t="s">
        <v>966</v>
      </c>
      <c r="C77" s="654">
        <f>C75+C76</f>
        <v>66835883</v>
      </c>
      <c r="D77" s="654">
        <f>D75+D76</f>
        <v>68860423</v>
      </c>
      <c r="E77" s="654">
        <f>E75+E76</f>
        <v>70004249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433</v>
      </c>
      <c r="B79" s="642" t="s">
        <v>969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596</v>
      </c>
      <c r="C80" s="646">
        <v>283.39999999999998</v>
      </c>
      <c r="D80" s="646">
        <v>278.2</v>
      </c>
      <c r="E80" s="646">
        <v>281.39999999999998</v>
      </c>
    </row>
    <row r="81" spans="1:5" ht="26.1" customHeight="1" x14ac:dyDescent="0.25">
      <c r="A81" s="639">
        <v>2</v>
      </c>
      <c r="B81" s="640" t="s">
        <v>597</v>
      </c>
      <c r="C81" s="646">
        <v>2.5</v>
      </c>
      <c r="D81" s="646">
        <v>1.9</v>
      </c>
      <c r="E81" s="646">
        <v>1.4</v>
      </c>
    </row>
    <row r="82" spans="1:5" ht="26.1" customHeight="1" x14ac:dyDescent="0.25">
      <c r="A82" s="639">
        <v>3</v>
      </c>
      <c r="B82" s="640" t="s">
        <v>970</v>
      </c>
      <c r="C82" s="646">
        <v>587.4</v>
      </c>
      <c r="D82" s="646">
        <v>580.70000000000005</v>
      </c>
      <c r="E82" s="646">
        <v>580.9</v>
      </c>
    </row>
    <row r="83" spans="1:5" ht="26.1" customHeight="1" x14ac:dyDescent="0.25">
      <c r="A83" s="650">
        <v>4</v>
      </c>
      <c r="B83" s="651" t="s">
        <v>969</v>
      </c>
      <c r="C83" s="656">
        <f>C80+C81+C82</f>
        <v>873.3</v>
      </c>
      <c r="D83" s="656">
        <f>D80+D81+D82</f>
        <v>860.8</v>
      </c>
      <c r="E83" s="656">
        <f>E80+E81+E82</f>
        <v>863.69999999999993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436</v>
      </c>
      <c r="B85" s="642" t="s">
        <v>971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972</v>
      </c>
      <c r="C86" s="649">
        <f>IF(C80=0,0,C59/C80)</f>
        <v>72910.014114326041</v>
      </c>
      <c r="D86" s="649">
        <f>IF(D80=0,0,D59/D80)</f>
        <v>73811.265276779304</v>
      </c>
      <c r="E86" s="649">
        <f>IF(E80=0,0,E59/E80)</f>
        <v>73009.186211798151</v>
      </c>
    </row>
    <row r="87" spans="1:5" ht="26.1" customHeight="1" x14ac:dyDescent="0.25">
      <c r="A87" s="639">
        <v>2</v>
      </c>
      <c r="B87" s="640" t="s">
        <v>973</v>
      </c>
      <c r="C87" s="649">
        <f>IF(C80=0,0,C60/C80)</f>
        <v>21760.723359209598</v>
      </c>
      <c r="D87" s="649">
        <f>IF(D80=0,0,D60/D80)</f>
        <v>21922.361610352265</v>
      </c>
      <c r="E87" s="649">
        <f>IF(E80=0,0,E60/E80)</f>
        <v>20042.331201137175</v>
      </c>
    </row>
    <row r="88" spans="1:5" ht="26.1" customHeight="1" x14ac:dyDescent="0.25">
      <c r="A88" s="650">
        <v>3</v>
      </c>
      <c r="B88" s="651" t="s">
        <v>974</v>
      </c>
      <c r="C88" s="652">
        <f>+C86+C87</f>
        <v>94670.737473535642</v>
      </c>
      <c r="D88" s="652">
        <f>+D86+D87</f>
        <v>95733.62688713157</v>
      </c>
      <c r="E88" s="652">
        <f>+E86+E87</f>
        <v>93051.517412935325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594</v>
      </c>
      <c r="B90" s="642" t="s">
        <v>975</v>
      </c>
    </row>
    <row r="91" spans="1:5" ht="26.1" customHeight="1" x14ac:dyDescent="0.25">
      <c r="A91" s="639">
        <v>1</v>
      </c>
      <c r="B91" s="640" t="s">
        <v>976</v>
      </c>
      <c r="C91" s="641">
        <f>IF(C81=0,0,C64/C81)</f>
        <v>146023.20000000001</v>
      </c>
      <c r="D91" s="641">
        <f>IF(D81=0,0,D64/D81)</f>
        <v>224878.4210526316</v>
      </c>
      <c r="E91" s="641">
        <f>IF(E81=0,0,E64/E81)</f>
        <v>229096.42857142858</v>
      </c>
    </row>
    <row r="92" spans="1:5" ht="26.1" customHeight="1" x14ac:dyDescent="0.25">
      <c r="A92" s="639">
        <v>2</v>
      </c>
      <c r="B92" s="640" t="s">
        <v>977</v>
      </c>
      <c r="C92" s="641">
        <f>IF(C81=0,0,C65/C81)</f>
        <v>43582</v>
      </c>
      <c r="D92" s="641">
        <f>IF(D81=0,0,D65/D81)</f>
        <v>66790</v>
      </c>
      <c r="E92" s="641">
        <f>IF(E81=0,0,E65/E81)</f>
        <v>62891.428571428572</v>
      </c>
    </row>
    <row r="93" spans="1:5" ht="26.1" customHeight="1" x14ac:dyDescent="0.25">
      <c r="A93" s="650">
        <v>3</v>
      </c>
      <c r="B93" s="651" t="s">
        <v>978</v>
      </c>
      <c r="C93" s="654">
        <f>+C91+C92</f>
        <v>189605.2</v>
      </c>
      <c r="D93" s="654">
        <f>+D91+D92</f>
        <v>291668.42105263157</v>
      </c>
      <c r="E93" s="654">
        <f>+E91+E92</f>
        <v>291987.85714285716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979</v>
      </c>
      <c r="B95" s="642" t="s">
        <v>980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981</v>
      </c>
      <c r="C96" s="649">
        <f>IF(C82=0,0,C69/C82)</f>
        <v>51830.842696629217</v>
      </c>
      <c r="D96" s="649">
        <f>IF(D82=0,0,D69/D82)</f>
        <v>55330.261753056649</v>
      </c>
      <c r="E96" s="649">
        <f>IF(E82=0,0,E69/E82)</f>
        <v>58634.085040454469</v>
      </c>
    </row>
    <row r="97" spans="1:5" ht="26.1" customHeight="1" x14ac:dyDescent="0.25">
      <c r="A97" s="639">
        <v>2</v>
      </c>
      <c r="B97" s="640" t="s">
        <v>982</v>
      </c>
      <c r="C97" s="649">
        <f>IF(C82=0,0,C70/C82)</f>
        <v>15469.434797412327</v>
      </c>
      <c r="D97" s="649">
        <f>IF(D82=0,0,D70/D82)</f>
        <v>16433.399345617356</v>
      </c>
      <c r="E97" s="649">
        <f>IF(E82=0,0,E70/E82)</f>
        <v>16096.107763814771</v>
      </c>
    </row>
    <row r="98" spans="1:5" ht="26.1" customHeight="1" x14ac:dyDescent="0.25">
      <c r="A98" s="650">
        <v>3</v>
      </c>
      <c r="B98" s="651" t="s">
        <v>983</v>
      </c>
      <c r="C98" s="654">
        <f>+C96+C97</f>
        <v>67300.27749404154</v>
      </c>
      <c r="D98" s="654">
        <f>+D96+D97</f>
        <v>71763.661098673998</v>
      </c>
      <c r="E98" s="654">
        <f>+E96+E97</f>
        <v>74730.192804269245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984</v>
      </c>
      <c r="B100" s="642" t="s">
        <v>985</v>
      </c>
    </row>
    <row r="101" spans="1:5" ht="26.1" customHeight="1" x14ac:dyDescent="0.25">
      <c r="A101" s="639">
        <v>1</v>
      </c>
      <c r="B101" s="640" t="s">
        <v>986</v>
      </c>
      <c r="C101" s="641">
        <f>IF(C83=0,0,C75/C83)</f>
        <v>58941.020267949163</v>
      </c>
      <c r="D101" s="641">
        <f>IF(D83=0,0,D75/D83)</f>
        <v>61677.330390334573</v>
      </c>
      <c r="E101" s="641">
        <f>IF(E83=0,0,E75/E83)</f>
        <v>63593.90992242677</v>
      </c>
    </row>
    <row r="102" spans="1:5" ht="26.1" customHeight="1" x14ac:dyDescent="0.25">
      <c r="A102" s="639">
        <v>2</v>
      </c>
      <c r="B102" s="640" t="s">
        <v>987</v>
      </c>
      <c r="C102" s="658">
        <f>IF(C83=0,0,C76/C83)</f>
        <v>17591.537844955914</v>
      </c>
      <c r="D102" s="658">
        <f>IF(D83=0,0,D76/D83)</f>
        <v>18318.514172862455</v>
      </c>
      <c r="E102" s="658">
        <f>IF(E83=0,0,E76/E83)</f>
        <v>17457.669329628345</v>
      </c>
    </row>
    <row r="103" spans="1:5" ht="26.1" customHeight="1" x14ac:dyDescent="0.25">
      <c r="A103" s="650">
        <v>3</v>
      </c>
      <c r="B103" s="651" t="s">
        <v>985</v>
      </c>
      <c r="C103" s="654">
        <f>+C101+C102</f>
        <v>76532.55811290507</v>
      </c>
      <c r="D103" s="654">
        <f>+D101+D102</f>
        <v>79995.844563197024</v>
      </c>
      <c r="E103" s="654">
        <f>+E101+E102</f>
        <v>81051.579252055119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988</v>
      </c>
      <c r="B107" s="634" t="s">
        <v>989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990</v>
      </c>
      <c r="C108" s="641">
        <f>IF(C19=0,0,C77/C19)</f>
        <v>2178.9809604538195</v>
      </c>
      <c r="D108" s="641">
        <f>IF(D19=0,0,D77/D19)</f>
        <v>2401.8284966864317</v>
      </c>
      <c r="E108" s="641">
        <f>IF(E19=0,0,E77/E19)</f>
        <v>2382.4745260865125</v>
      </c>
    </row>
    <row r="109" spans="1:5" ht="26.1" customHeight="1" x14ac:dyDescent="0.25">
      <c r="A109" s="639">
        <v>2</v>
      </c>
      <c r="B109" s="640" t="s">
        <v>991</v>
      </c>
      <c r="C109" s="641">
        <f>IF(C20=0,0,C77/C20)</f>
        <v>8774.5678088486275</v>
      </c>
      <c r="D109" s="641">
        <f>IF(D20=0,0,D77/D20)</f>
        <v>9412.3049480590489</v>
      </c>
      <c r="E109" s="641">
        <f>IF(E20=0,0,E77/E20)</f>
        <v>9253.7011235955051</v>
      </c>
    </row>
    <row r="110" spans="1:5" ht="26.1" customHeight="1" x14ac:dyDescent="0.25">
      <c r="A110" s="639">
        <v>3</v>
      </c>
      <c r="B110" s="640" t="s">
        <v>992</v>
      </c>
      <c r="C110" s="641">
        <f>IF(C22=0,0,C77/C22)</f>
        <v>880.78872197034229</v>
      </c>
      <c r="D110" s="641">
        <f>IF(D22=0,0,D77/D22)</f>
        <v>916.39349401865024</v>
      </c>
      <c r="E110" s="641">
        <f>IF(E22=0,0,E77/E22)</f>
        <v>880.83605433482069</v>
      </c>
    </row>
    <row r="111" spans="1:5" ht="26.1" customHeight="1" x14ac:dyDescent="0.25">
      <c r="A111" s="639">
        <v>4</v>
      </c>
      <c r="B111" s="640" t="s">
        <v>993</v>
      </c>
      <c r="C111" s="641">
        <f>IF(C23=0,0,C77/C23)</f>
        <v>3546.8599801754385</v>
      </c>
      <c r="D111" s="641">
        <f>IF(D23=0,0,D77/D23)</f>
        <v>3591.1702396821629</v>
      </c>
      <c r="E111" s="641">
        <f>IF(E23=0,0,E77/E23)</f>
        <v>3421.2301103132895</v>
      </c>
    </row>
    <row r="112" spans="1:5" ht="26.1" customHeight="1" x14ac:dyDescent="0.25">
      <c r="A112" s="639">
        <v>5</v>
      </c>
      <c r="B112" s="640" t="s">
        <v>994</v>
      </c>
      <c r="C112" s="641">
        <f>IF(C29=0,0,C77/C29)</f>
        <v>814.89378116908983</v>
      </c>
      <c r="D112" s="641">
        <f>IF(D29=0,0,D77/D29)</f>
        <v>823.81003759458667</v>
      </c>
      <c r="E112" s="641">
        <f>IF(E29=0,0,E77/E29)</f>
        <v>788.46626706217262</v>
      </c>
    </row>
    <row r="113" spans="1:7" ht="25.5" customHeight="1" x14ac:dyDescent="0.25">
      <c r="A113" s="639">
        <v>6</v>
      </c>
      <c r="B113" s="640" t="s">
        <v>995</v>
      </c>
      <c r="C113" s="641">
        <f>IF(C30=0,0,C77/C30)</f>
        <v>3281.5067546014834</v>
      </c>
      <c r="D113" s="641">
        <f>IF(D30=0,0,D77/D30)</f>
        <v>3228.3534414757792</v>
      </c>
      <c r="E113" s="641">
        <f>IF(E30=0,0,E77/E30)</f>
        <v>3062.4592630651446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/>
  <headerFooter>
    <oddHeader>&amp;L&amp;12OFFICE OF HEALTH CARE ACCESS&amp;C&amp;12TWELVE MONTHS ACTUAL FILING&amp;R&amp;12BRISTOL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345045549</v>
      </c>
      <c r="D12" s="51">
        <v>385913045</v>
      </c>
      <c r="E12" s="51">
        <f t="shared" ref="E12:E19" si="0">D12-C12</f>
        <v>40867496</v>
      </c>
      <c r="F12" s="70">
        <f t="shared" ref="F12:F19" si="1">IF(C12=0,0,E12/C12)</f>
        <v>0.11844087285994813</v>
      </c>
    </row>
    <row r="13" spans="1:8" ht="23.1" customHeight="1" x14ac:dyDescent="0.2">
      <c r="A13" s="25">
        <v>2</v>
      </c>
      <c r="B13" s="48" t="s">
        <v>72</v>
      </c>
      <c r="C13" s="51">
        <v>218880779</v>
      </c>
      <c r="D13" s="51">
        <v>251770594</v>
      </c>
      <c r="E13" s="51">
        <f t="shared" si="0"/>
        <v>32889815</v>
      </c>
      <c r="F13" s="70">
        <f t="shared" si="1"/>
        <v>0.15026360537578312</v>
      </c>
    </row>
    <row r="14" spans="1:8" ht="23.1" customHeight="1" x14ac:dyDescent="0.2">
      <c r="A14" s="25">
        <v>3</v>
      </c>
      <c r="B14" s="48" t="s">
        <v>73</v>
      </c>
      <c r="C14" s="51">
        <v>223751</v>
      </c>
      <c r="D14" s="51">
        <v>3781958</v>
      </c>
      <c r="E14" s="51">
        <f t="shared" si="0"/>
        <v>3558207</v>
      </c>
      <c r="F14" s="70">
        <f t="shared" si="1"/>
        <v>15.902530044558461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125941019</v>
      </c>
      <c r="D16" s="27">
        <f>D12-D13-D14-D15</f>
        <v>130360493</v>
      </c>
      <c r="E16" s="27">
        <f t="shared" si="0"/>
        <v>4419474</v>
      </c>
      <c r="F16" s="28">
        <f t="shared" si="1"/>
        <v>3.5091616973497726E-2</v>
      </c>
    </row>
    <row r="17" spans="1:7" ht="23.1" customHeight="1" x14ac:dyDescent="0.2">
      <c r="A17" s="25">
        <v>5</v>
      </c>
      <c r="B17" s="48" t="s">
        <v>76</v>
      </c>
      <c r="C17" s="51">
        <v>6100777</v>
      </c>
      <c r="D17" s="51">
        <v>5173982</v>
      </c>
      <c r="E17" s="51">
        <f t="shared" si="0"/>
        <v>-926795</v>
      </c>
      <c r="F17" s="70">
        <f t="shared" si="1"/>
        <v>-0.15191425616769799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132041796</v>
      </c>
      <c r="D19" s="27">
        <f>SUM(D16:D18)</f>
        <v>135534475</v>
      </c>
      <c r="E19" s="27">
        <f t="shared" si="0"/>
        <v>3492679</v>
      </c>
      <c r="F19" s="28">
        <f t="shared" si="1"/>
        <v>2.6451313946078105E-2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53091846</v>
      </c>
      <c r="D22" s="51">
        <v>54926060</v>
      </c>
      <c r="E22" s="51">
        <f t="shared" ref="E22:E31" si="2">D22-C22</f>
        <v>1834214</v>
      </c>
      <c r="F22" s="70">
        <f t="shared" ref="F22:F31" si="3">IF(C22=0,0,E22/C22)</f>
        <v>3.454794169334402E-2</v>
      </c>
    </row>
    <row r="23" spans="1:7" ht="23.1" customHeight="1" x14ac:dyDescent="0.2">
      <c r="A23" s="25">
        <v>2</v>
      </c>
      <c r="B23" s="48" t="s">
        <v>81</v>
      </c>
      <c r="C23" s="51">
        <v>15768577</v>
      </c>
      <c r="D23" s="51">
        <v>15078189</v>
      </c>
      <c r="E23" s="51">
        <f t="shared" si="2"/>
        <v>-690388</v>
      </c>
      <c r="F23" s="70">
        <f t="shared" si="3"/>
        <v>-4.378251759813203E-2</v>
      </c>
    </row>
    <row r="24" spans="1:7" ht="23.1" customHeight="1" x14ac:dyDescent="0.2">
      <c r="A24" s="25">
        <v>3</v>
      </c>
      <c r="B24" s="48" t="s">
        <v>82</v>
      </c>
      <c r="C24" s="51">
        <v>6039122</v>
      </c>
      <c r="D24" s="51">
        <v>7870257</v>
      </c>
      <c r="E24" s="51">
        <f t="shared" si="2"/>
        <v>1831135</v>
      </c>
      <c r="F24" s="70">
        <f t="shared" si="3"/>
        <v>0.30321212255688823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15408234</v>
      </c>
      <c r="D25" s="51">
        <v>17934966</v>
      </c>
      <c r="E25" s="51">
        <f t="shared" si="2"/>
        <v>2526732</v>
      </c>
      <c r="F25" s="70">
        <f t="shared" si="3"/>
        <v>0.16398582731804306</v>
      </c>
    </row>
    <row r="26" spans="1:7" ht="23.1" customHeight="1" x14ac:dyDescent="0.2">
      <c r="A26" s="25">
        <v>5</v>
      </c>
      <c r="B26" s="48" t="s">
        <v>84</v>
      </c>
      <c r="C26" s="51">
        <v>5714642</v>
      </c>
      <c r="D26" s="51">
        <v>6320576</v>
      </c>
      <c r="E26" s="51">
        <f t="shared" si="2"/>
        <v>605934</v>
      </c>
      <c r="F26" s="70">
        <f t="shared" si="3"/>
        <v>0.10603183891484366</v>
      </c>
    </row>
    <row r="27" spans="1:7" ht="23.1" customHeight="1" x14ac:dyDescent="0.2">
      <c r="A27" s="25">
        <v>6</v>
      </c>
      <c r="B27" s="48" t="s">
        <v>85</v>
      </c>
      <c r="C27" s="51">
        <v>9847024</v>
      </c>
      <c r="D27" s="51">
        <v>6470291</v>
      </c>
      <c r="E27" s="51">
        <f t="shared" si="2"/>
        <v>-3376733</v>
      </c>
      <c r="F27" s="70">
        <f t="shared" si="3"/>
        <v>-0.34291913983351724</v>
      </c>
    </row>
    <row r="28" spans="1:7" ht="23.1" customHeight="1" x14ac:dyDescent="0.2">
      <c r="A28" s="25">
        <v>7</v>
      </c>
      <c r="B28" s="48" t="s">
        <v>86</v>
      </c>
      <c r="C28" s="51">
        <v>1833355</v>
      </c>
      <c r="D28" s="51">
        <v>1641972</v>
      </c>
      <c r="E28" s="51">
        <f t="shared" si="2"/>
        <v>-191383</v>
      </c>
      <c r="F28" s="70">
        <f t="shared" si="3"/>
        <v>-0.10438949357871224</v>
      </c>
    </row>
    <row r="29" spans="1:7" ht="23.1" customHeight="1" x14ac:dyDescent="0.2">
      <c r="A29" s="25">
        <v>8</v>
      </c>
      <c r="B29" s="48" t="s">
        <v>87</v>
      </c>
      <c r="C29" s="51">
        <v>1107439</v>
      </c>
      <c r="D29" s="51">
        <v>-399676</v>
      </c>
      <c r="E29" s="51">
        <f t="shared" si="2"/>
        <v>-1507115</v>
      </c>
      <c r="F29" s="70">
        <f t="shared" si="3"/>
        <v>-1.3609011421848065</v>
      </c>
    </row>
    <row r="30" spans="1:7" ht="23.1" customHeight="1" x14ac:dyDescent="0.2">
      <c r="A30" s="25">
        <v>9</v>
      </c>
      <c r="B30" s="48" t="s">
        <v>88</v>
      </c>
      <c r="C30" s="51">
        <v>23084288</v>
      </c>
      <c r="D30" s="51">
        <v>24643668</v>
      </c>
      <c r="E30" s="51">
        <f t="shared" si="2"/>
        <v>1559380</v>
      </c>
      <c r="F30" s="70">
        <f t="shared" si="3"/>
        <v>6.7551574473512024E-2</v>
      </c>
    </row>
    <row r="31" spans="1:7" ht="23.1" customHeight="1" x14ac:dyDescent="0.25">
      <c r="A31" s="29"/>
      <c r="B31" s="71" t="s">
        <v>89</v>
      </c>
      <c r="C31" s="27">
        <f>SUM(C22:C30)</f>
        <v>131894527</v>
      </c>
      <c r="D31" s="27">
        <f>SUM(D22:D30)</f>
        <v>134486303</v>
      </c>
      <c r="E31" s="27">
        <f t="shared" si="2"/>
        <v>2591776</v>
      </c>
      <c r="F31" s="28">
        <f t="shared" si="3"/>
        <v>1.9650368055074793E-2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147269</v>
      </c>
      <c r="D33" s="27">
        <f>+D19-D31</f>
        <v>1048172</v>
      </c>
      <c r="E33" s="27">
        <f>D33-C33</f>
        <v>900903</v>
      </c>
      <c r="F33" s="28">
        <f>IF(C33=0,0,E33/C33)</f>
        <v>6.1173974156136053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516585</v>
      </c>
      <c r="D36" s="51">
        <v>355214</v>
      </c>
      <c r="E36" s="51">
        <f>D36-C36</f>
        <v>-161371</v>
      </c>
      <c r="F36" s="70">
        <f>IF(C36=0,0,E36/C36)</f>
        <v>-0.31238034398985648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1526682</v>
      </c>
      <c r="D38" s="51">
        <v>897940</v>
      </c>
      <c r="E38" s="51">
        <f>D38-C38</f>
        <v>-628742</v>
      </c>
      <c r="F38" s="70">
        <f>IF(C38=0,0,E38/C38)</f>
        <v>-0.41183560165116245</v>
      </c>
    </row>
    <row r="39" spans="1:6" ht="23.1" customHeight="1" x14ac:dyDescent="0.25">
      <c r="A39" s="20"/>
      <c r="B39" s="71" t="s">
        <v>95</v>
      </c>
      <c r="C39" s="27">
        <f>SUM(C36:C38)</f>
        <v>2043267</v>
      </c>
      <c r="D39" s="27">
        <f>SUM(D36:D38)</f>
        <v>1253154</v>
      </c>
      <c r="E39" s="27">
        <f>D39-C39</f>
        <v>-790113</v>
      </c>
      <c r="F39" s="28">
        <f>IF(C39=0,0,E39/C39)</f>
        <v>-0.38669101982266635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2190536</v>
      </c>
      <c r="D41" s="27">
        <f>D33+D39</f>
        <v>2301326</v>
      </c>
      <c r="E41" s="27">
        <f>D41-C41</f>
        <v>110790</v>
      </c>
      <c r="F41" s="28">
        <f>IF(C41=0,0,E41/C41)</f>
        <v>5.0576662515475664E-2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2190536</v>
      </c>
      <c r="D48" s="27">
        <f>D41+D46</f>
        <v>2301326</v>
      </c>
      <c r="E48" s="27">
        <f>D48-C48</f>
        <v>110790</v>
      </c>
      <c r="F48" s="28">
        <f>IF(C48=0,0,E48/C48)</f>
        <v>5.0576662515475664E-2</v>
      </c>
    </row>
    <row r="49" spans="1:6" ht="23.1" customHeight="1" x14ac:dyDescent="0.2">
      <c r="A49" s="44"/>
      <c r="B49" s="48" t="s">
        <v>102</v>
      </c>
      <c r="C49" s="51">
        <v>789832</v>
      </c>
      <c r="D49" s="51">
        <v>797743</v>
      </c>
      <c r="E49" s="51">
        <f>D49-C49</f>
        <v>7911</v>
      </c>
      <c r="F49" s="70">
        <f>IF(C49=0,0,E49/C49)</f>
        <v>1.0016054046936564E-2</v>
      </c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FILING&amp;RBRISTOL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7.8554687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60600712</v>
      </c>
      <c r="D14" s="97">
        <v>62592371</v>
      </c>
      <c r="E14" s="97">
        <f t="shared" ref="E14:E25" si="0">D14-C14</f>
        <v>1991659</v>
      </c>
      <c r="F14" s="98">
        <f t="shared" ref="F14:F25" si="1">IF(C14=0,0,E14/C14)</f>
        <v>3.2865273926154528E-2</v>
      </c>
    </row>
    <row r="15" spans="1:6" ht="18" customHeight="1" x14ac:dyDescent="0.25">
      <c r="A15" s="99">
        <v>2</v>
      </c>
      <c r="B15" s="100" t="s">
        <v>113</v>
      </c>
      <c r="C15" s="97">
        <v>12722226</v>
      </c>
      <c r="D15" s="97">
        <v>16525440</v>
      </c>
      <c r="E15" s="97">
        <f t="shared" si="0"/>
        <v>3803214</v>
      </c>
      <c r="F15" s="98">
        <f t="shared" si="1"/>
        <v>0.29894249638388753</v>
      </c>
    </row>
    <row r="16" spans="1:6" ht="18" customHeight="1" x14ac:dyDescent="0.25">
      <c r="A16" s="99">
        <v>3</v>
      </c>
      <c r="B16" s="100" t="s">
        <v>114</v>
      </c>
      <c r="C16" s="97">
        <v>13323161</v>
      </c>
      <c r="D16" s="97">
        <v>22132724</v>
      </c>
      <c r="E16" s="97">
        <f t="shared" si="0"/>
        <v>8809563</v>
      </c>
      <c r="F16" s="98">
        <f t="shared" si="1"/>
        <v>0.66122168755597865</v>
      </c>
    </row>
    <row r="17" spans="1:6" ht="18" customHeight="1" x14ac:dyDescent="0.25">
      <c r="A17" s="99">
        <v>4</v>
      </c>
      <c r="B17" s="100" t="s">
        <v>115</v>
      </c>
      <c r="C17" s="97">
        <v>8184767</v>
      </c>
      <c r="D17" s="97">
        <v>1645390</v>
      </c>
      <c r="E17" s="97">
        <f t="shared" si="0"/>
        <v>-6539377</v>
      </c>
      <c r="F17" s="98">
        <f t="shared" si="1"/>
        <v>-0.79896923150042021</v>
      </c>
    </row>
    <row r="18" spans="1:6" ht="18" customHeight="1" x14ac:dyDescent="0.25">
      <c r="A18" s="99">
        <v>5</v>
      </c>
      <c r="B18" s="100" t="s">
        <v>116</v>
      </c>
      <c r="C18" s="97">
        <v>352195</v>
      </c>
      <c r="D18" s="97">
        <v>269030</v>
      </c>
      <c r="E18" s="97">
        <f t="shared" si="0"/>
        <v>-83165</v>
      </c>
      <c r="F18" s="98">
        <f t="shared" si="1"/>
        <v>-0.23613339201294736</v>
      </c>
    </row>
    <row r="19" spans="1:6" ht="18" customHeight="1" x14ac:dyDescent="0.25">
      <c r="A19" s="99">
        <v>6</v>
      </c>
      <c r="B19" s="100" t="s">
        <v>117</v>
      </c>
      <c r="C19" s="97">
        <v>19569070</v>
      </c>
      <c r="D19" s="97">
        <v>21198971</v>
      </c>
      <c r="E19" s="97">
        <f t="shared" si="0"/>
        <v>1629901</v>
      </c>
      <c r="F19" s="98">
        <f t="shared" si="1"/>
        <v>8.3289650453496261E-2</v>
      </c>
    </row>
    <row r="20" spans="1:6" ht="18" customHeight="1" x14ac:dyDescent="0.25">
      <c r="A20" s="99">
        <v>7</v>
      </c>
      <c r="B20" s="100" t="s">
        <v>118</v>
      </c>
      <c r="C20" s="97">
        <v>14780152</v>
      </c>
      <c r="D20" s="97">
        <v>15385117</v>
      </c>
      <c r="E20" s="97">
        <f t="shared" si="0"/>
        <v>604965</v>
      </c>
      <c r="F20" s="98">
        <f t="shared" si="1"/>
        <v>4.0930905176076671E-2</v>
      </c>
    </row>
    <row r="21" spans="1:6" ht="18" customHeight="1" x14ac:dyDescent="0.25">
      <c r="A21" s="99">
        <v>8</v>
      </c>
      <c r="B21" s="100" t="s">
        <v>119</v>
      </c>
      <c r="C21" s="97">
        <v>1302198</v>
      </c>
      <c r="D21" s="97">
        <v>1208366</v>
      </c>
      <c r="E21" s="97">
        <f t="shared" si="0"/>
        <v>-93832</v>
      </c>
      <c r="F21" s="98">
        <f t="shared" si="1"/>
        <v>-7.2056630404900027E-2</v>
      </c>
    </row>
    <row r="22" spans="1:6" ht="18" customHeight="1" x14ac:dyDescent="0.25">
      <c r="A22" s="99">
        <v>9</v>
      </c>
      <c r="B22" s="100" t="s">
        <v>120</v>
      </c>
      <c r="C22" s="97">
        <v>814154</v>
      </c>
      <c r="D22" s="97">
        <v>1720349</v>
      </c>
      <c r="E22" s="97">
        <f t="shared" si="0"/>
        <v>906195</v>
      </c>
      <c r="F22" s="98">
        <f t="shared" si="1"/>
        <v>1.11305109352776</v>
      </c>
    </row>
    <row r="23" spans="1:6" ht="18" customHeight="1" x14ac:dyDescent="0.25">
      <c r="A23" s="99">
        <v>10</v>
      </c>
      <c r="B23" s="100" t="s">
        <v>121</v>
      </c>
      <c r="C23" s="97">
        <v>0</v>
      </c>
      <c r="D23" s="97">
        <v>0</v>
      </c>
      <c r="E23" s="97">
        <f t="shared" si="0"/>
        <v>0</v>
      </c>
      <c r="F23" s="98">
        <f t="shared" si="1"/>
        <v>0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131648635</v>
      </c>
      <c r="D25" s="103">
        <f>SUM(D14:D24)</f>
        <v>142677758</v>
      </c>
      <c r="E25" s="103">
        <f t="shared" si="0"/>
        <v>11029123</v>
      </c>
      <c r="F25" s="104">
        <f t="shared" si="1"/>
        <v>8.3776964341483684E-2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58428886</v>
      </c>
      <c r="D27" s="97">
        <v>69913177</v>
      </c>
      <c r="E27" s="97">
        <f t="shared" ref="E27:E38" si="2">D27-C27</f>
        <v>11484291</v>
      </c>
      <c r="F27" s="98">
        <f t="shared" ref="F27:F38" si="3">IF(C27=0,0,E27/C27)</f>
        <v>0.19655159949481152</v>
      </c>
    </row>
    <row r="28" spans="1:6" ht="18" customHeight="1" x14ac:dyDescent="0.25">
      <c r="A28" s="99">
        <v>2</v>
      </c>
      <c r="B28" s="100" t="s">
        <v>113</v>
      </c>
      <c r="C28" s="97">
        <v>15745506</v>
      </c>
      <c r="D28" s="97">
        <v>22230841</v>
      </c>
      <c r="E28" s="97">
        <f t="shared" si="2"/>
        <v>6485335</v>
      </c>
      <c r="F28" s="98">
        <f t="shared" si="3"/>
        <v>0.41188482605767002</v>
      </c>
    </row>
    <row r="29" spans="1:6" ht="18" customHeight="1" x14ac:dyDescent="0.25">
      <c r="A29" s="99">
        <v>3</v>
      </c>
      <c r="B29" s="100" t="s">
        <v>114</v>
      </c>
      <c r="C29" s="97">
        <v>23438369</v>
      </c>
      <c r="D29" s="97">
        <v>43050338</v>
      </c>
      <c r="E29" s="97">
        <f t="shared" si="2"/>
        <v>19611969</v>
      </c>
      <c r="F29" s="98">
        <f t="shared" si="3"/>
        <v>0.8367463196777899</v>
      </c>
    </row>
    <row r="30" spans="1:6" ht="18" customHeight="1" x14ac:dyDescent="0.25">
      <c r="A30" s="99">
        <v>4</v>
      </c>
      <c r="B30" s="100" t="s">
        <v>115</v>
      </c>
      <c r="C30" s="97">
        <v>22171679</v>
      </c>
      <c r="D30" s="97">
        <v>4976345</v>
      </c>
      <c r="E30" s="97">
        <f t="shared" si="2"/>
        <v>-17195334</v>
      </c>
      <c r="F30" s="98">
        <f t="shared" si="3"/>
        <v>-0.77555398488314753</v>
      </c>
    </row>
    <row r="31" spans="1:6" ht="18" customHeight="1" x14ac:dyDescent="0.25">
      <c r="A31" s="99">
        <v>5</v>
      </c>
      <c r="B31" s="100" t="s">
        <v>116</v>
      </c>
      <c r="C31" s="97">
        <v>666145</v>
      </c>
      <c r="D31" s="97">
        <v>537685</v>
      </c>
      <c r="E31" s="97">
        <f t="shared" si="2"/>
        <v>-128460</v>
      </c>
      <c r="F31" s="98">
        <f t="shared" si="3"/>
        <v>-0.19284089800268711</v>
      </c>
    </row>
    <row r="32" spans="1:6" ht="18" customHeight="1" x14ac:dyDescent="0.25">
      <c r="A32" s="99">
        <v>6</v>
      </c>
      <c r="B32" s="100" t="s">
        <v>117</v>
      </c>
      <c r="C32" s="97">
        <v>53132267</v>
      </c>
      <c r="D32" s="97">
        <v>55408293</v>
      </c>
      <c r="E32" s="97">
        <f t="shared" si="2"/>
        <v>2276026</v>
      </c>
      <c r="F32" s="98">
        <f t="shared" si="3"/>
        <v>4.2836982656885313E-2</v>
      </c>
    </row>
    <row r="33" spans="1:6" ht="18" customHeight="1" x14ac:dyDescent="0.25">
      <c r="A33" s="99">
        <v>7</v>
      </c>
      <c r="B33" s="100" t="s">
        <v>118</v>
      </c>
      <c r="C33" s="97">
        <v>30837279</v>
      </c>
      <c r="D33" s="97">
        <v>36906213</v>
      </c>
      <c r="E33" s="97">
        <f t="shared" si="2"/>
        <v>6068934</v>
      </c>
      <c r="F33" s="98">
        <f t="shared" si="3"/>
        <v>0.19680510722103595</v>
      </c>
    </row>
    <row r="34" spans="1:6" ht="18" customHeight="1" x14ac:dyDescent="0.25">
      <c r="A34" s="99">
        <v>8</v>
      </c>
      <c r="B34" s="100" t="s">
        <v>119</v>
      </c>
      <c r="C34" s="97">
        <v>3828316</v>
      </c>
      <c r="D34" s="97">
        <v>4575439</v>
      </c>
      <c r="E34" s="97">
        <f t="shared" si="2"/>
        <v>747123</v>
      </c>
      <c r="F34" s="98">
        <f t="shared" si="3"/>
        <v>0.19515708734597667</v>
      </c>
    </row>
    <row r="35" spans="1:6" ht="18" customHeight="1" x14ac:dyDescent="0.25">
      <c r="A35" s="99">
        <v>9</v>
      </c>
      <c r="B35" s="100" t="s">
        <v>120</v>
      </c>
      <c r="C35" s="97">
        <v>5148409</v>
      </c>
      <c r="D35" s="97">
        <v>5636956</v>
      </c>
      <c r="E35" s="97">
        <f t="shared" si="2"/>
        <v>488547</v>
      </c>
      <c r="F35" s="98">
        <f t="shared" si="3"/>
        <v>9.4892810575072803E-2</v>
      </c>
    </row>
    <row r="36" spans="1:6" ht="18" customHeight="1" x14ac:dyDescent="0.25">
      <c r="A36" s="99">
        <v>10</v>
      </c>
      <c r="B36" s="100" t="s">
        <v>121</v>
      </c>
      <c r="C36" s="97">
        <v>0</v>
      </c>
      <c r="D36" s="97">
        <v>0</v>
      </c>
      <c r="E36" s="97">
        <f t="shared" si="2"/>
        <v>0</v>
      </c>
      <c r="F36" s="98">
        <f t="shared" si="3"/>
        <v>0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213396856</v>
      </c>
      <c r="D38" s="103">
        <f>SUM(D27:D37)</f>
        <v>243235287</v>
      </c>
      <c r="E38" s="103">
        <f t="shared" si="2"/>
        <v>29838431</v>
      </c>
      <c r="F38" s="104">
        <f t="shared" si="3"/>
        <v>0.13982601037008718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119029598</v>
      </c>
      <c r="D41" s="103">
        <f t="shared" si="4"/>
        <v>132505548</v>
      </c>
      <c r="E41" s="107">
        <f t="shared" ref="E41:E52" si="5">D41-C41</f>
        <v>13475950</v>
      </c>
      <c r="F41" s="108">
        <f t="shared" ref="F41:F52" si="6">IF(C41=0,0,E41/C41)</f>
        <v>0.113215118142296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28467732</v>
      </c>
      <c r="D42" s="103">
        <f t="shared" si="4"/>
        <v>38756281</v>
      </c>
      <c r="E42" s="107">
        <f t="shared" si="5"/>
        <v>10288549</v>
      </c>
      <c r="F42" s="108">
        <f t="shared" si="6"/>
        <v>0.36141091253774627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36761530</v>
      </c>
      <c r="D43" s="103">
        <f t="shared" si="4"/>
        <v>65183062</v>
      </c>
      <c r="E43" s="107">
        <f t="shared" si="5"/>
        <v>28421532</v>
      </c>
      <c r="F43" s="108">
        <f t="shared" si="6"/>
        <v>0.77313245667413732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30356446</v>
      </c>
      <c r="D44" s="103">
        <f t="shared" si="4"/>
        <v>6621735</v>
      </c>
      <c r="E44" s="107">
        <f t="shared" si="5"/>
        <v>-23734711</v>
      </c>
      <c r="F44" s="108">
        <f t="shared" si="6"/>
        <v>-0.78186725152213143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1018340</v>
      </c>
      <c r="D45" s="103">
        <f t="shared" si="4"/>
        <v>806715</v>
      </c>
      <c r="E45" s="107">
        <f t="shared" si="5"/>
        <v>-211625</v>
      </c>
      <c r="F45" s="108">
        <f t="shared" si="6"/>
        <v>-0.2078136968006756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72701337</v>
      </c>
      <c r="D46" s="103">
        <f t="shared" si="4"/>
        <v>76607264</v>
      </c>
      <c r="E46" s="107">
        <f t="shared" si="5"/>
        <v>3905927</v>
      </c>
      <c r="F46" s="108">
        <f t="shared" si="6"/>
        <v>5.3725655691861621E-2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45617431</v>
      </c>
      <c r="D47" s="103">
        <f t="shared" si="4"/>
        <v>52291330</v>
      </c>
      <c r="E47" s="107">
        <f t="shared" si="5"/>
        <v>6673899</v>
      </c>
      <c r="F47" s="108">
        <f t="shared" si="6"/>
        <v>0.14630150917529749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5130514</v>
      </c>
      <c r="D48" s="103">
        <f t="shared" si="4"/>
        <v>5783805</v>
      </c>
      <c r="E48" s="107">
        <f t="shared" si="5"/>
        <v>653291</v>
      </c>
      <c r="F48" s="108">
        <f t="shared" si="6"/>
        <v>0.12733441522623271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5962563</v>
      </c>
      <c r="D49" s="103">
        <f t="shared" si="4"/>
        <v>7357305</v>
      </c>
      <c r="E49" s="107">
        <f t="shared" si="5"/>
        <v>1394742</v>
      </c>
      <c r="F49" s="108">
        <f t="shared" si="6"/>
        <v>0.23391652213989186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0</v>
      </c>
      <c r="D50" s="103">
        <f t="shared" si="4"/>
        <v>0</v>
      </c>
      <c r="E50" s="107">
        <f t="shared" si="5"/>
        <v>0</v>
      </c>
      <c r="F50" s="108">
        <f t="shared" si="6"/>
        <v>0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345045491</v>
      </c>
      <c r="D52" s="112">
        <f>SUM(D41:D51)</f>
        <v>385913045</v>
      </c>
      <c r="E52" s="111">
        <f t="shared" si="5"/>
        <v>40867554</v>
      </c>
      <c r="F52" s="113">
        <f t="shared" si="6"/>
        <v>0.11844106086289938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24923767</v>
      </c>
      <c r="D57" s="97">
        <v>25401334</v>
      </c>
      <c r="E57" s="97">
        <f t="shared" ref="E57:E68" si="7">D57-C57</f>
        <v>477567</v>
      </c>
      <c r="F57" s="98">
        <f t="shared" ref="F57:F68" si="8">IF(C57=0,0,E57/C57)</f>
        <v>1.9161108350916618E-2</v>
      </c>
    </row>
    <row r="58" spans="1:6" ht="18" customHeight="1" x14ac:dyDescent="0.25">
      <c r="A58" s="99">
        <v>2</v>
      </c>
      <c r="B58" s="100" t="s">
        <v>113</v>
      </c>
      <c r="C58" s="97">
        <v>4266629</v>
      </c>
      <c r="D58" s="97">
        <v>6046789</v>
      </c>
      <c r="E58" s="97">
        <f t="shared" si="7"/>
        <v>1780160</v>
      </c>
      <c r="F58" s="98">
        <f t="shared" si="8"/>
        <v>0.41722868334697016</v>
      </c>
    </row>
    <row r="59" spans="1:6" ht="18" customHeight="1" x14ac:dyDescent="0.25">
      <c r="A59" s="99">
        <v>3</v>
      </c>
      <c r="B59" s="100" t="s">
        <v>114</v>
      </c>
      <c r="C59" s="97">
        <v>4570490</v>
      </c>
      <c r="D59" s="97">
        <v>6059905</v>
      </c>
      <c r="E59" s="97">
        <f t="shared" si="7"/>
        <v>1489415</v>
      </c>
      <c r="F59" s="98">
        <f t="shared" si="8"/>
        <v>0.32587643775612679</v>
      </c>
    </row>
    <row r="60" spans="1:6" ht="18" customHeight="1" x14ac:dyDescent="0.25">
      <c r="A60" s="99">
        <v>4</v>
      </c>
      <c r="B60" s="100" t="s">
        <v>115</v>
      </c>
      <c r="C60" s="97">
        <v>2061734</v>
      </c>
      <c r="D60" s="97">
        <v>223772</v>
      </c>
      <c r="E60" s="97">
        <f t="shared" si="7"/>
        <v>-1837962</v>
      </c>
      <c r="F60" s="98">
        <f t="shared" si="8"/>
        <v>-0.89146417530098454</v>
      </c>
    </row>
    <row r="61" spans="1:6" ht="18" customHeight="1" x14ac:dyDescent="0.25">
      <c r="A61" s="99">
        <v>5</v>
      </c>
      <c r="B61" s="100" t="s">
        <v>116</v>
      </c>
      <c r="C61" s="97">
        <v>145385</v>
      </c>
      <c r="D61" s="97">
        <v>67500</v>
      </c>
      <c r="E61" s="97">
        <f t="shared" si="7"/>
        <v>-77885</v>
      </c>
      <c r="F61" s="98">
        <f t="shared" si="8"/>
        <v>-0.53571551398012174</v>
      </c>
    </row>
    <row r="62" spans="1:6" ht="18" customHeight="1" x14ac:dyDescent="0.25">
      <c r="A62" s="99">
        <v>6</v>
      </c>
      <c r="B62" s="100" t="s">
        <v>117</v>
      </c>
      <c r="C62" s="97">
        <v>7605094</v>
      </c>
      <c r="D62" s="97">
        <v>12927217</v>
      </c>
      <c r="E62" s="97">
        <f t="shared" si="7"/>
        <v>5322123</v>
      </c>
      <c r="F62" s="98">
        <f t="shared" si="8"/>
        <v>0.69981028505367582</v>
      </c>
    </row>
    <row r="63" spans="1:6" ht="18" customHeight="1" x14ac:dyDescent="0.25">
      <c r="A63" s="99">
        <v>7</v>
      </c>
      <c r="B63" s="100" t="s">
        <v>118</v>
      </c>
      <c r="C63" s="97">
        <v>8078790</v>
      </c>
      <c r="D63" s="97">
        <v>9052381</v>
      </c>
      <c r="E63" s="97">
        <f t="shared" si="7"/>
        <v>973591</v>
      </c>
      <c r="F63" s="98">
        <f t="shared" si="8"/>
        <v>0.12051198261125738</v>
      </c>
    </row>
    <row r="64" spans="1:6" ht="18" customHeight="1" x14ac:dyDescent="0.25">
      <c r="A64" s="99">
        <v>8</v>
      </c>
      <c r="B64" s="100" t="s">
        <v>119</v>
      </c>
      <c r="C64" s="97">
        <v>1302196</v>
      </c>
      <c r="D64" s="97">
        <v>1208365</v>
      </c>
      <c r="E64" s="97">
        <f t="shared" si="7"/>
        <v>-93831</v>
      </c>
      <c r="F64" s="98">
        <f t="shared" si="8"/>
        <v>-7.2055973140756083E-2</v>
      </c>
    </row>
    <row r="65" spans="1:6" ht="18" customHeight="1" x14ac:dyDescent="0.25">
      <c r="A65" s="99">
        <v>9</v>
      </c>
      <c r="B65" s="100" t="s">
        <v>120</v>
      </c>
      <c r="C65" s="97">
        <v>20077</v>
      </c>
      <c r="D65" s="97">
        <v>13248</v>
      </c>
      <c r="E65" s="97">
        <f t="shared" si="7"/>
        <v>-6829</v>
      </c>
      <c r="F65" s="98">
        <f t="shared" si="8"/>
        <v>-0.34014045923195696</v>
      </c>
    </row>
    <row r="66" spans="1:6" ht="18" customHeight="1" x14ac:dyDescent="0.25">
      <c r="A66" s="99">
        <v>10</v>
      </c>
      <c r="B66" s="100" t="s">
        <v>121</v>
      </c>
      <c r="C66" s="97">
        <v>0</v>
      </c>
      <c r="D66" s="97">
        <v>0</v>
      </c>
      <c r="E66" s="97">
        <f t="shared" si="7"/>
        <v>0</v>
      </c>
      <c r="F66" s="98">
        <f t="shared" si="8"/>
        <v>0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52974162</v>
      </c>
      <c r="D68" s="103">
        <f>SUM(D57:D67)</f>
        <v>61000511</v>
      </c>
      <c r="E68" s="103">
        <f t="shared" si="7"/>
        <v>8026349</v>
      </c>
      <c r="F68" s="104">
        <f t="shared" si="8"/>
        <v>0.15151441187498163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13974418</v>
      </c>
      <c r="D70" s="97">
        <v>13327132</v>
      </c>
      <c r="E70" s="97">
        <f t="shared" ref="E70:E81" si="9">D70-C70</f>
        <v>-647286</v>
      </c>
      <c r="F70" s="98">
        <f t="shared" ref="F70:F81" si="10">IF(C70=0,0,E70/C70)</f>
        <v>-4.6319352977705404E-2</v>
      </c>
    </row>
    <row r="71" spans="1:6" ht="18" customHeight="1" x14ac:dyDescent="0.25">
      <c r="A71" s="99">
        <v>2</v>
      </c>
      <c r="B71" s="100" t="s">
        <v>113</v>
      </c>
      <c r="C71" s="97">
        <v>3904884</v>
      </c>
      <c r="D71" s="97">
        <v>4635036</v>
      </c>
      <c r="E71" s="97">
        <f t="shared" si="9"/>
        <v>730152</v>
      </c>
      <c r="F71" s="98">
        <f t="shared" si="10"/>
        <v>0.18698429966165447</v>
      </c>
    </row>
    <row r="72" spans="1:6" ht="18" customHeight="1" x14ac:dyDescent="0.25">
      <c r="A72" s="99">
        <v>3</v>
      </c>
      <c r="B72" s="100" t="s">
        <v>114</v>
      </c>
      <c r="C72" s="97">
        <v>6140712</v>
      </c>
      <c r="D72" s="97">
        <v>9412836</v>
      </c>
      <c r="E72" s="97">
        <f t="shared" si="9"/>
        <v>3272124</v>
      </c>
      <c r="F72" s="98">
        <f t="shared" si="10"/>
        <v>0.53285742760774324</v>
      </c>
    </row>
    <row r="73" spans="1:6" ht="18" customHeight="1" x14ac:dyDescent="0.25">
      <c r="A73" s="99">
        <v>4</v>
      </c>
      <c r="B73" s="100" t="s">
        <v>115</v>
      </c>
      <c r="C73" s="97">
        <v>5471971</v>
      </c>
      <c r="D73" s="97">
        <v>635338</v>
      </c>
      <c r="E73" s="97">
        <f t="shared" si="9"/>
        <v>-4836633</v>
      </c>
      <c r="F73" s="98">
        <f t="shared" si="10"/>
        <v>-0.88389229401983305</v>
      </c>
    </row>
    <row r="74" spans="1:6" ht="18" customHeight="1" x14ac:dyDescent="0.25">
      <c r="A74" s="99">
        <v>5</v>
      </c>
      <c r="B74" s="100" t="s">
        <v>116</v>
      </c>
      <c r="C74" s="97">
        <v>132563</v>
      </c>
      <c r="D74" s="97">
        <v>151700</v>
      </c>
      <c r="E74" s="97">
        <f t="shared" si="9"/>
        <v>19137</v>
      </c>
      <c r="F74" s="98">
        <f t="shared" si="10"/>
        <v>0.14436154884847205</v>
      </c>
    </row>
    <row r="75" spans="1:6" ht="18" customHeight="1" x14ac:dyDescent="0.25">
      <c r="A75" s="99">
        <v>6</v>
      </c>
      <c r="B75" s="100" t="s">
        <v>117</v>
      </c>
      <c r="C75" s="97">
        <v>22994993</v>
      </c>
      <c r="D75" s="97">
        <v>18611186</v>
      </c>
      <c r="E75" s="97">
        <f t="shared" si="9"/>
        <v>-4383807</v>
      </c>
      <c r="F75" s="98">
        <f t="shared" si="10"/>
        <v>-0.19064180624016716</v>
      </c>
    </row>
    <row r="76" spans="1:6" ht="18" customHeight="1" x14ac:dyDescent="0.25">
      <c r="A76" s="99">
        <v>7</v>
      </c>
      <c r="B76" s="100" t="s">
        <v>118</v>
      </c>
      <c r="C76" s="97">
        <v>5975878</v>
      </c>
      <c r="D76" s="97">
        <v>11724603</v>
      </c>
      <c r="E76" s="97">
        <f t="shared" si="9"/>
        <v>5748725</v>
      </c>
      <c r="F76" s="98">
        <f t="shared" si="10"/>
        <v>0.96198834715166537</v>
      </c>
    </row>
    <row r="77" spans="1:6" ht="18" customHeight="1" x14ac:dyDescent="0.25">
      <c r="A77" s="99">
        <v>8</v>
      </c>
      <c r="B77" s="100" t="s">
        <v>119</v>
      </c>
      <c r="C77" s="97">
        <v>3828315</v>
      </c>
      <c r="D77" s="97">
        <v>4575439</v>
      </c>
      <c r="E77" s="97">
        <f t="shared" si="9"/>
        <v>747124</v>
      </c>
      <c r="F77" s="98">
        <f t="shared" si="10"/>
        <v>0.19515739953478228</v>
      </c>
    </row>
    <row r="78" spans="1:6" ht="18" customHeight="1" x14ac:dyDescent="0.25">
      <c r="A78" s="99">
        <v>9</v>
      </c>
      <c r="B78" s="100" t="s">
        <v>120</v>
      </c>
      <c r="C78" s="97">
        <v>267960</v>
      </c>
      <c r="D78" s="97">
        <v>36556</v>
      </c>
      <c r="E78" s="97">
        <f t="shared" si="9"/>
        <v>-231404</v>
      </c>
      <c r="F78" s="98">
        <f t="shared" si="10"/>
        <v>-0.86357665323182564</v>
      </c>
    </row>
    <row r="79" spans="1:6" ht="18" customHeight="1" x14ac:dyDescent="0.25">
      <c r="A79" s="99">
        <v>10</v>
      </c>
      <c r="B79" s="100" t="s">
        <v>121</v>
      </c>
      <c r="C79" s="97">
        <v>0</v>
      </c>
      <c r="D79" s="97">
        <v>0</v>
      </c>
      <c r="E79" s="97">
        <f t="shared" si="9"/>
        <v>0</v>
      </c>
      <c r="F79" s="98">
        <f t="shared" si="10"/>
        <v>0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62691694</v>
      </c>
      <c r="D81" s="103">
        <f>SUM(D70:D80)</f>
        <v>63109826</v>
      </c>
      <c r="E81" s="103">
        <f t="shared" si="9"/>
        <v>418132</v>
      </c>
      <c r="F81" s="104">
        <f t="shared" si="10"/>
        <v>6.669655473020078E-3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38898185</v>
      </c>
      <c r="D84" s="103">
        <f t="shared" si="11"/>
        <v>38728466</v>
      </c>
      <c r="E84" s="103">
        <f t="shared" ref="E84:E95" si="12">D84-C84</f>
        <v>-169719</v>
      </c>
      <c r="F84" s="104">
        <f t="shared" ref="F84:F95" si="13">IF(C84=0,0,E84/C84)</f>
        <v>-4.3631598749401803E-3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8171513</v>
      </c>
      <c r="D85" s="103">
        <f t="shared" si="11"/>
        <v>10681825</v>
      </c>
      <c r="E85" s="103">
        <f t="shared" si="12"/>
        <v>2510312</v>
      </c>
      <c r="F85" s="104">
        <f t="shared" si="13"/>
        <v>0.30720283991471348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10711202</v>
      </c>
      <c r="D86" s="103">
        <f t="shared" si="11"/>
        <v>15472741</v>
      </c>
      <c r="E86" s="103">
        <f t="shared" si="12"/>
        <v>4761539</v>
      </c>
      <c r="F86" s="104">
        <f t="shared" si="13"/>
        <v>0.4445382507023955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7533705</v>
      </c>
      <c r="D87" s="103">
        <f t="shared" si="11"/>
        <v>859110</v>
      </c>
      <c r="E87" s="103">
        <f t="shared" si="12"/>
        <v>-6674595</v>
      </c>
      <c r="F87" s="104">
        <f t="shared" si="13"/>
        <v>-0.88596447564644487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277948</v>
      </c>
      <c r="D88" s="103">
        <f t="shared" si="11"/>
        <v>219200</v>
      </c>
      <c r="E88" s="103">
        <f t="shared" si="12"/>
        <v>-58748</v>
      </c>
      <c r="F88" s="104">
        <f t="shared" si="13"/>
        <v>-0.21136327658410925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30600087</v>
      </c>
      <c r="D89" s="103">
        <f t="shared" si="11"/>
        <v>31538403</v>
      </c>
      <c r="E89" s="103">
        <f t="shared" si="12"/>
        <v>938316</v>
      </c>
      <c r="F89" s="104">
        <f t="shared" si="13"/>
        <v>3.0663834387137528E-2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14054668</v>
      </c>
      <c r="D90" s="103">
        <f t="shared" si="11"/>
        <v>20776984</v>
      </c>
      <c r="E90" s="103">
        <f t="shared" si="12"/>
        <v>6722316</v>
      </c>
      <c r="F90" s="104">
        <f t="shared" si="13"/>
        <v>0.47829774420854337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5130511</v>
      </c>
      <c r="D91" s="103">
        <f t="shared" si="11"/>
        <v>5783804</v>
      </c>
      <c r="E91" s="103">
        <f t="shared" si="12"/>
        <v>653293</v>
      </c>
      <c r="F91" s="104">
        <f t="shared" si="13"/>
        <v>0.12733487950810357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288037</v>
      </c>
      <c r="D92" s="103">
        <f t="shared" si="11"/>
        <v>49804</v>
      </c>
      <c r="E92" s="103">
        <f t="shared" si="12"/>
        <v>-238233</v>
      </c>
      <c r="F92" s="104">
        <f t="shared" si="13"/>
        <v>-0.82709165836333531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0</v>
      </c>
      <c r="D93" s="103">
        <f t="shared" si="11"/>
        <v>0</v>
      </c>
      <c r="E93" s="103">
        <f t="shared" si="12"/>
        <v>0</v>
      </c>
      <c r="F93" s="104">
        <f t="shared" si="13"/>
        <v>0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115665856</v>
      </c>
      <c r="D95" s="112">
        <f>SUM(D84:D94)</f>
        <v>124110337</v>
      </c>
      <c r="E95" s="112">
        <f t="shared" si="12"/>
        <v>8444481</v>
      </c>
      <c r="F95" s="113">
        <f t="shared" si="13"/>
        <v>7.3007552029874745E-2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2787</v>
      </c>
      <c r="D100" s="117">
        <v>2875</v>
      </c>
      <c r="E100" s="117">
        <f t="shared" ref="E100:E111" si="14">D100-C100</f>
        <v>88</v>
      </c>
      <c r="F100" s="98">
        <f t="shared" ref="F100:F111" si="15">IF(C100=0,0,E100/C100)</f>
        <v>3.1575170434158591E-2</v>
      </c>
    </row>
    <row r="101" spans="1:6" ht="18" customHeight="1" x14ac:dyDescent="0.25">
      <c r="A101" s="99">
        <v>2</v>
      </c>
      <c r="B101" s="100" t="s">
        <v>113</v>
      </c>
      <c r="C101" s="117">
        <v>591</v>
      </c>
      <c r="D101" s="117">
        <v>690</v>
      </c>
      <c r="E101" s="117">
        <f t="shared" si="14"/>
        <v>99</v>
      </c>
      <c r="F101" s="98">
        <f t="shared" si="15"/>
        <v>0.16751269035532995</v>
      </c>
    </row>
    <row r="102" spans="1:6" ht="18" customHeight="1" x14ac:dyDescent="0.25">
      <c r="A102" s="99">
        <v>3</v>
      </c>
      <c r="B102" s="100" t="s">
        <v>114</v>
      </c>
      <c r="C102" s="117">
        <v>858</v>
      </c>
      <c r="D102" s="117">
        <v>1499</v>
      </c>
      <c r="E102" s="117">
        <f t="shared" si="14"/>
        <v>641</v>
      </c>
      <c r="F102" s="98">
        <f t="shared" si="15"/>
        <v>0.74708624708624705</v>
      </c>
    </row>
    <row r="103" spans="1:6" ht="18" customHeight="1" x14ac:dyDescent="0.25">
      <c r="A103" s="99">
        <v>4</v>
      </c>
      <c r="B103" s="100" t="s">
        <v>115</v>
      </c>
      <c r="C103" s="117">
        <v>735</v>
      </c>
      <c r="D103" s="117">
        <v>126</v>
      </c>
      <c r="E103" s="117">
        <f t="shared" si="14"/>
        <v>-609</v>
      </c>
      <c r="F103" s="98">
        <f t="shared" si="15"/>
        <v>-0.82857142857142863</v>
      </c>
    </row>
    <row r="104" spans="1:6" ht="18" customHeight="1" x14ac:dyDescent="0.25">
      <c r="A104" s="99">
        <v>5</v>
      </c>
      <c r="B104" s="100" t="s">
        <v>116</v>
      </c>
      <c r="C104" s="117">
        <v>25</v>
      </c>
      <c r="D104" s="117">
        <v>25</v>
      </c>
      <c r="E104" s="117">
        <f t="shared" si="14"/>
        <v>0</v>
      </c>
      <c r="F104" s="98">
        <f t="shared" si="15"/>
        <v>0</v>
      </c>
    </row>
    <row r="105" spans="1:6" ht="18" customHeight="1" x14ac:dyDescent="0.25">
      <c r="A105" s="99">
        <v>6</v>
      </c>
      <c r="B105" s="100" t="s">
        <v>117</v>
      </c>
      <c r="C105" s="117">
        <v>1291</v>
      </c>
      <c r="D105" s="117">
        <v>1295</v>
      </c>
      <c r="E105" s="117">
        <f t="shared" si="14"/>
        <v>4</v>
      </c>
      <c r="F105" s="98">
        <f t="shared" si="15"/>
        <v>3.0983733539891559E-3</v>
      </c>
    </row>
    <row r="106" spans="1:6" ht="18" customHeight="1" x14ac:dyDescent="0.25">
      <c r="A106" s="99">
        <v>7</v>
      </c>
      <c r="B106" s="100" t="s">
        <v>118</v>
      </c>
      <c r="C106" s="117">
        <v>959</v>
      </c>
      <c r="D106" s="117">
        <v>905</v>
      </c>
      <c r="E106" s="117">
        <f t="shared" si="14"/>
        <v>-54</v>
      </c>
      <c r="F106" s="98">
        <f t="shared" si="15"/>
        <v>-5.6308654848800835E-2</v>
      </c>
    </row>
    <row r="107" spans="1:6" ht="18" customHeight="1" x14ac:dyDescent="0.25">
      <c r="A107" s="99">
        <v>8</v>
      </c>
      <c r="B107" s="100" t="s">
        <v>119</v>
      </c>
      <c r="C107" s="117">
        <v>32</v>
      </c>
      <c r="D107" s="117">
        <v>31</v>
      </c>
      <c r="E107" s="117">
        <f t="shared" si="14"/>
        <v>-1</v>
      </c>
      <c r="F107" s="98">
        <f t="shared" si="15"/>
        <v>-3.125E-2</v>
      </c>
    </row>
    <row r="108" spans="1:6" ht="18" customHeight="1" x14ac:dyDescent="0.25">
      <c r="A108" s="99">
        <v>9</v>
      </c>
      <c r="B108" s="100" t="s">
        <v>120</v>
      </c>
      <c r="C108" s="117">
        <v>38</v>
      </c>
      <c r="D108" s="117">
        <v>119</v>
      </c>
      <c r="E108" s="117">
        <f t="shared" si="14"/>
        <v>81</v>
      </c>
      <c r="F108" s="98">
        <f t="shared" si="15"/>
        <v>2.1315789473684212</v>
      </c>
    </row>
    <row r="109" spans="1:6" ht="18" customHeight="1" x14ac:dyDescent="0.25">
      <c r="A109" s="99">
        <v>10</v>
      </c>
      <c r="B109" s="100" t="s">
        <v>121</v>
      </c>
      <c r="C109" s="117">
        <v>0</v>
      </c>
      <c r="D109" s="117">
        <v>0</v>
      </c>
      <c r="E109" s="117">
        <f t="shared" si="14"/>
        <v>0</v>
      </c>
      <c r="F109" s="98">
        <f t="shared" si="15"/>
        <v>0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7316</v>
      </c>
      <c r="D111" s="118">
        <f>SUM(D100:D110)</f>
        <v>7565</v>
      </c>
      <c r="E111" s="118">
        <f t="shared" si="14"/>
        <v>249</v>
      </c>
      <c r="F111" s="104">
        <f t="shared" si="15"/>
        <v>3.4034991798797154E-2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13091</v>
      </c>
      <c r="D113" s="117">
        <v>12803</v>
      </c>
      <c r="E113" s="117">
        <f t="shared" ref="E113:E124" si="16">D113-C113</f>
        <v>-288</v>
      </c>
      <c r="F113" s="98">
        <f t="shared" ref="F113:F124" si="17">IF(C113=0,0,E113/C113)</f>
        <v>-2.1999847223283173E-2</v>
      </c>
    </row>
    <row r="114" spans="1:6" ht="18" customHeight="1" x14ac:dyDescent="0.25">
      <c r="A114" s="99">
        <v>2</v>
      </c>
      <c r="B114" s="100" t="s">
        <v>113</v>
      </c>
      <c r="C114" s="117">
        <v>2559</v>
      </c>
      <c r="D114" s="117">
        <v>3116</v>
      </c>
      <c r="E114" s="117">
        <f t="shared" si="16"/>
        <v>557</v>
      </c>
      <c r="F114" s="98">
        <f t="shared" si="17"/>
        <v>0.21766314966783901</v>
      </c>
    </row>
    <row r="115" spans="1:6" ht="18" customHeight="1" x14ac:dyDescent="0.25">
      <c r="A115" s="99">
        <v>3</v>
      </c>
      <c r="B115" s="100" t="s">
        <v>114</v>
      </c>
      <c r="C115" s="117">
        <v>3561</v>
      </c>
      <c r="D115" s="117">
        <v>5689</v>
      </c>
      <c r="E115" s="117">
        <f t="shared" si="16"/>
        <v>2128</v>
      </c>
      <c r="F115" s="98">
        <f t="shared" si="17"/>
        <v>0.59758494804830109</v>
      </c>
    </row>
    <row r="116" spans="1:6" ht="18" customHeight="1" x14ac:dyDescent="0.25">
      <c r="A116" s="99">
        <v>4</v>
      </c>
      <c r="B116" s="100" t="s">
        <v>115</v>
      </c>
      <c r="C116" s="117">
        <v>2092</v>
      </c>
      <c r="D116" s="117">
        <v>420</v>
      </c>
      <c r="E116" s="117">
        <f t="shared" si="16"/>
        <v>-1672</v>
      </c>
      <c r="F116" s="98">
        <f t="shared" si="17"/>
        <v>-0.79923518164435947</v>
      </c>
    </row>
    <row r="117" spans="1:6" ht="18" customHeight="1" x14ac:dyDescent="0.25">
      <c r="A117" s="99">
        <v>5</v>
      </c>
      <c r="B117" s="100" t="s">
        <v>116</v>
      </c>
      <c r="C117" s="117">
        <v>81</v>
      </c>
      <c r="D117" s="117">
        <v>65</v>
      </c>
      <c r="E117" s="117">
        <f t="shared" si="16"/>
        <v>-16</v>
      </c>
      <c r="F117" s="98">
        <f t="shared" si="17"/>
        <v>-0.19753086419753085</v>
      </c>
    </row>
    <row r="118" spans="1:6" ht="18" customHeight="1" x14ac:dyDescent="0.25">
      <c r="A118" s="99">
        <v>6</v>
      </c>
      <c r="B118" s="100" t="s">
        <v>117</v>
      </c>
      <c r="C118" s="117">
        <v>4117</v>
      </c>
      <c r="D118" s="117">
        <v>3997</v>
      </c>
      <c r="E118" s="117">
        <f t="shared" si="16"/>
        <v>-120</v>
      </c>
      <c r="F118" s="98">
        <f t="shared" si="17"/>
        <v>-2.914743745445713E-2</v>
      </c>
    </row>
    <row r="119" spans="1:6" ht="18" customHeight="1" x14ac:dyDescent="0.25">
      <c r="A119" s="99">
        <v>7</v>
      </c>
      <c r="B119" s="100" t="s">
        <v>118</v>
      </c>
      <c r="C119" s="117">
        <v>2952</v>
      </c>
      <c r="D119" s="117">
        <v>2848</v>
      </c>
      <c r="E119" s="117">
        <f t="shared" si="16"/>
        <v>-104</v>
      </c>
      <c r="F119" s="98">
        <f t="shared" si="17"/>
        <v>-3.5230352303523033E-2</v>
      </c>
    </row>
    <row r="120" spans="1:6" ht="18" customHeight="1" x14ac:dyDescent="0.25">
      <c r="A120" s="99">
        <v>8</v>
      </c>
      <c r="B120" s="100" t="s">
        <v>119</v>
      </c>
      <c r="C120" s="117">
        <v>60</v>
      </c>
      <c r="D120" s="117">
        <v>75</v>
      </c>
      <c r="E120" s="117">
        <f t="shared" si="16"/>
        <v>15</v>
      </c>
      <c r="F120" s="98">
        <f t="shared" si="17"/>
        <v>0.25</v>
      </c>
    </row>
    <row r="121" spans="1:6" ht="18" customHeight="1" x14ac:dyDescent="0.25">
      <c r="A121" s="99">
        <v>9</v>
      </c>
      <c r="B121" s="100" t="s">
        <v>120</v>
      </c>
      <c r="C121" s="117">
        <v>157</v>
      </c>
      <c r="D121" s="117">
        <v>370</v>
      </c>
      <c r="E121" s="117">
        <f t="shared" si="16"/>
        <v>213</v>
      </c>
      <c r="F121" s="98">
        <f t="shared" si="17"/>
        <v>1.3566878980891719</v>
      </c>
    </row>
    <row r="122" spans="1:6" ht="18" customHeight="1" x14ac:dyDescent="0.25">
      <c r="A122" s="99">
        <v>10</v>
      </c>
      <c r="B122" s="100" t="s">
        <v>121</v>
      </c>
      <c r="C122" s="117">
        <v>0</v>
      </c>
      <c r="D122" s="117">
        <v>0</v>
      </c>
      <c r="E122" s="117">
        <f t="shared" si="16"/>
        <v>0</v>
      </c>
      <c r="F122" s="98">
        <f t="shared" si="17"/>
        <v>0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28670</v>
      </c>
      <c r="D124" s="118">
        <f>SUM(D113:D123)</f>
        <v>29383</v>
      </c>
      <c r="E124" s="118">
        <f t="shared" si="16"/>
        <v>713</v>
      </c>
      <c r="F124" s="104">
        <f t="shared" si="17"/>
        <v>2.4869201255667946E-2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51621</v>
      </c>
      <c r="D126" s="117">
        <v>56763</v>
      </c>
      <c r="E126" s="117">
        <f t="shared" ref="E126:E137" si="18">D126-C126</f>
        <v>5142</v>
      </c>
      <c r="F126" s="98">
        <f t="shared" ref="F126:F137" si="19">IF(C126=0,0,E126/C126)</f>
        <v>9.9610623583425345E-2</v>
      </c>
    </row>
    <row r="127" spans="1:6" ht="18" customHeight="1" x14ac:dyDescent="0.25">
      <c r="A127" s="99">
        <v>2</v>
      </c>
      <c r="B127" s="100" t="s">
        <v>113</v>
      </c>
      <c r="C127" s="117">
        <v>9220</v>
      </c>
      <c r="D127" s="117">
        <v>14543</v>
      </c>
      <c r="E127" s="117">
        <f t="shared" si="18"/>
        <v>5323</v>
      </c>
      <c r="F127" s="98">
        <f t="shared" si="19"/>
        <v>0.57733188720173534</v>
      </c>
    </row>
    <row r="128" spans="1:6" ht="18" customHeight="1" x14ac:dyDescent="0.25">
      <c r="A128" s="99">
        <v>3</v>
      </c>
      <c r="B128" s="100" t="s">
        <v>114</v>
      </c>
      <c r="C128" s="117">
        <v>20707</v>
      </c>
      <c r="D128" s="117">
        <v>34953</v>
      </c>
      <c r="E128" s="117">
        <f t="shared" si="18"/>
        <v>14246</v>
      </c>
      <c r="F128" s="98">
        <f t="shared" si="19"/>
        <v>0.68797991017530302</v>
      </c>
    </row>
    <row r="129" spans="1:6" ht="18" customHeight="1" x14ac:dyDescent="0.25">
      <c r="A129" s="99">
        <v>4</v>
      </c>
      <c r="B129" s="100" t="s">
        <v>115</v>
      </c>
      <c r="C129" s="117">
        <v>17231</v>
      </c>
      <c r="D129" s="117">
        <v>4240</v>
      </c>
      <c r="E129" s="117">
        <f t="shared" si="18"/>
        <v>-12991</v>
      </c>
      <c r="F129" s="98">
        <f t="shared" si="19"/>
        <v>-0.75393186698392434</v>
      </c>
    </row>
    <row r="130" spans="1:6" ht="18" customHeight="1" x14ac:dyDescent="0.25">
      <c r="A130" s="99">
        <v>5</v>
      </c>
      <c r="B130" s="100" t="s">
        <v>116</v>
      </c>
      <c r="C130" s="117">
        <v>589</v>
      </c>
      <c r="D130" s="117">
        <v>437</v>
      </c>
      <c r="E130" s="117">
        <f t="shared" si="18"/>
        <v>-152</v>
      </c>
      <c r="F130" s="98">
        <f t="shared" si="19"/>
        <v>-0.25806451612903225</v>
      </c>
    </row>
    <row r="131" spans="1:6" ht="18" customHeight="1" x14ac:dyDescent="0.25">
      <c r="A131" s="99">
        <v>6</v>
      </c>
      <c r="B131" s="100" t="s">
        <v>117</v>
      </c>
      <c r="C131" s="117">
        <v>46941</v>
      </c>
      <c r="D131" s="117">
        <v>44986</v>
      </c>
      <c r="E131" s="117">
        <f t="shared" si="18"/>
        <v>-1955</v>
      </c>
      <c r="F131" s="98">
        <f t="shared" si="19"/>
        <v>-4.1648026245712705E-2</v>
      </c>
    </row>
    <row r="132" spans="1:6" ht="18" customHeight="1" x14ac:dyDescent="0.25">
      <c r="A132" s="99">
        <v>7</v>
      </c>
      <c r="B132" s="100" t="s">
        <v>118</v>
      </c>
      <c r="C132" s="117">
        <v>27244</v>
      </c>
      <c r="D132" s="117">
        <v>29964</v>
      </c>
      <c r="E132" s="117">
        <f t="shared" si="18"/>
        <v>2720</v>
      </c>
      <c r="F132" s="98">
        <f t="shared" si="19"/>
        <v>9.9838496549699021E-2</v>
      </c>
    </row>
    <row r="133" spans="1:6" ht="18" customHeight="1" x14ac:dyDescent="0.25">
      <c r="A133" s="99">
        <v>8</v>
      </c>
      <c r="B133" s="100" t="s">
        <v>119</v>
      </c>
      <c r="C133" s="117">
        <v>3382</v>
      </c>
      <c r="D133" s="117">
        <v>3715</v>
      </c>
      <c r="E133" s="117">
        <f t="shared" si="18"/>
        <v>333</v>
      </c>
      <c r="F133" s="98">
        <f t="shared" si="19"/>
        <v>9.8462448255470139E-2</v>
      </c>
    </row>
    <row r="134" spans="1:6" ht="18" customHeight="1" x14ac:dyDescent="0.25">
      <c r="A134" s="99">
        <v>9</v>
      </c>
      <c r="B134" s="100" t="s">
        <v>120</v>
      </c>
      <c r="C134" s="117">
        <v>4549</v>
      </c>
      <c r="D134" s="117">
        <v>4577</v>
      </c>
      <c r="E134" s="117">
        <f t="shared" si="18"/>
        <v>28</v>
      </c>
      <c r="F134" s="98">
        <f t="shared" si="19"/>
        <v>6.1551989448230381E-3</v>
      </c>
    </row>
    <row r="135" spans="1:6" ht="18" customHeight="1" x14ac:dyDescent="0.25">
      <c r="A135" s="99">
        <v>10</v>
      </c>
      <c r="B135" s="100" t="s">
        <v>121</v>
      </c>
      <c r="C135" s="117">
        <v>0</v>
      </c>
      <c r="D135" s="117">
        <v>0</v>
      </c>
      <c r="E135" s="117">
        <f t="shared" si="18"/>
        <v>0</v>
      </c>
      <c r="F135" s="98">
        <f t="shared" si="19"/>
        <v>0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181484</v>
      </c>
      <c r="D137" s="118">
        <f>SUM(D126:D136)</f>
        <v>194178</v>
      </c>
      <c r="E137" s="118">
        <f t="shared" si="18"/>
        <v>12694</v>
      </c>
      <c r="F137" s="104">
        <f t="shared" si="19"/>
        <v>6.9945559939168192E-2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6333175</v>
      </c>
      <c r="D142" s="97">
        <v>5994603</v>
      </c>
      <c r="E142" s="97">
        <f t="shared" ref="E142:E153" si="20">D142-C142</f>
        <v>-338572</v>
      </c>
      <c r="F142" s="98">
        <f t="shared" ref="F142:F153" si="21">IF(C142=0,0,E142/C142)</f>
        <v>-5.346007334393886E-2</v>
      </c>
    </row>
    <row r="143" spans="1:6" ht="18" customHeight="1" x14ac:dyDescent="0.25">
      <c r="A143" s="99">
        <v>2</v>
      </c>
      <c r="B143" s="100" t="s">
        <v>113</v>
      </c>
      <c r="C143" s="97">
        <v>1323932</v>
      </c>
      <c r="D143" s="97">
        <v>1544716</v>
      </c>
      <c r="E143" s="97">
        <f t="shared" si="20"/>
        <v>220784</v>
      </c>
      <c r="F143" s="98">
        <f t="shared" si="21"/>
        <v>0.16676385191988713</v>
      </c>
    </row>
    <row r="144" spans="1:6" ht="18" customHeight="1" x14ac:dyDescent="0.25">
      <c r="A144" s="99">
        <v>3</v>
      </c>
      <c r="B144" s="100" t="s">
        <v>114</v>
      </c>
      <c r="C144" s="97">
        <v>6897105</v>
      </c>
      <c r="D144" s="97">
        <v>11395844</v>
      </c>
      <c r="E144" s="97">
        <f t="shared" si="20"/>
        <v>4498739</v>
      </c>
      <c r="F144" s="98">
        <f t="shared" si="21"/>
        <v>0.6522648270542496</v>
      </c>
    </row>
    <row r="145" spans="1:6" ht="18" customHeight="1" x14ac:dyDescent="0.25">
      <c r="A145" s="99">
        <v>4</v>
      </c>
      <c r="B145" s="100" t="s">
        <v>115</v>
      </c>
      <c r="C145" s="97">
        <v>7652537</v>
      </c>
      <c r="D145" s="97">
        <v>1591944</v>
      </c>
      <c r="E145" s="97">
        <f t="shared" si="20"/>
        <v>-6060593</v>
      </c>
      <c r="F145" s="98">
        <f t="shared" si="21"/>
        <v>-0.79197173434117341</v>
      </c>
    </row>
    <row r="146" spans="1:6" ht="18" customHeight="1" x14ac:dyDescent="0.25">
      <c r="A146" s="99">
        <v>5</v>
      </c>
      <c r="B146" s="100" t="s">
        <v>116</v>
      </c>
      <c r="C146" s="97">
        <v>239793</v>
      </c>
      <c r="D146" s="97">
        <v>153258</v>
      </c>
      <c r="E146" s="97">
        <f t="shared" si="20"/>
        <v>-86535</v>
      </c>
      <c r="F146" s="98">
        <f t="shared" si="21"/>
        <v>-0.3608737536124908</v>
      </c>
    </row>
    <row r="147" spans="1:6" ht="18" customHeight="1" x14ac:dyDescent="0.25">
      <c r="A147" s="99">
        <v>6</v>
      </c>
      <c r="B147" s="100" t="s">
        <v>117</v>
      </c>
      <c r="C147" s="97">
        <v>7737018</v>
      </c>
      <c r="D147" s="97">
        <v>6222781</v>
      </c>
      <c r="E147" s="97">
        <f t="shared" si="20"/>
        <v>-1514237</v>
      </c>
      <c r="F147" s="98">
        <f t="shared" si="21"/>
        <v>-0.19571325800198475</v>
      </c>
    </row>
    <row r="148" spans="1:6" ht="18" customHeight="1" x14ac:dyDescent="0.25">
      <c r="A148" s="99">
        <v>7</v>
      </c>
      <c r="B148" s="100" t="s">
        <v>118</v>
      </c>
      <c r="C148" s="97">
        <v>4768653</v>
      </c>
      <c r="D148" s="97">
        <v>4283859</v>
      </c>
      <c r="E148" s="97">
        <f t="shared" si="20"/>
        <v>-484794</v>
      </c>
      <c r="F148" s="98">
        <f t="shared" si="21"/>
        <v>-0.10166267077935845</v>
      </c>
    </row>
    <row r="149" spans="1:6" ht="18" customHeight="1" x14ac:dyDescent="0.25">
      <c r="A149" s="99">
        <v>8</v>
      </c>
      <c r="B149" s="100" t="s">
        <v>119</v>
      </c>
      <c r="C149" s="97">
        <v>503591</v>
      </c>
      <c r="D149" s="97">
        <v>510541</v>
      </c>
      <c r="E149" s="97">
        <f t="shared" si="20"/>
        <v>6950</v>
      </c>
      <c r="F149" s="98">
        <f t="shared" si="21"/>
        <v>1.3800882065009104E-2</v>
      </c>
    </row>
    <row r="150" spans="1:6" ht="18" customHeight="1" x14ac:dyDescent="0.25">
      <c r="A150" s="99">
        <v>9</v>
      </c>
      <c r="B150" s="100" t="s">
        <v>120</v>
      </c>
      <c r="C150" s="97">
        <v>2710172</v>
      </c>
      <c r="D150" s="97">
        <v>2751561</v>
      </c>
      <c r="E150" s="97">
        <f t="shared" si="20"/>
        <v>41389</v>
      </c>
      <c r="F150" s="98">
        <f t="shared" si="21"/>
        <v>1.5271724451437031E-2</v>
      </c>
    </row>
    <row r="151" spans="1:6" ht="18" customHeight="1" x14ac:dyDescent="0.25">
      <c r="A151" s="99">
        <v>10</v>
      </c>
      <c r="B151" s="100" t="s">
        <v>121</v>
      </c>
      <c r="C151" s="97">
        <v>0</v>
      </c>
      <c r="D151" s="97">
        <v>0</v>
      </c>
      <c r="E151" s="97">
        <f t="shared" si="20"/>
        <v>0</v>
      </c>
      <c r="F151" s="98">
        <f t="shared" si="21"/>
        <v>0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38165976</v>
      </c>
      <c r="D153" s="103">
        <f>SUM(D142:D152)</f>
        <v>34449107</v>
      </c>
      <c r="E153" s="103">
        <f t="shared" si="20"/>
        <v>-3716869</v>
      </c>
      <c r="F153" s="104">
        <f t="shared" si="21"/>
        <v>-9.7386976295326499E-2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1514703</v>
      </c>
      <c r="D155" s="97">
        <v>1142715</v>
      </c>
      <c r="E155" s="97">
        <f t="shared" ref="E155:E166" si="22">D155-C155</f>
        <v>-371988</v>
      </c>
      <c r="F155" s="98">
        <f t="shared" ref="F155:F166" si="23">IF(C155=0,0,E155/C155)</f>
        <v>-0.24558477800598533</v>
      </c>
    </row>
    <row r="156" spans="1:6" ht="18" customHeight="1" x14ac:dyDescent="0.25">
      <c r="A156" s="99">
        <v>2</v>
      </c>
      <c r="B156" s="100" t="s">
        <v>113</v>
      </c>
      <c r="C156" s="97">
        <v>328335</v>
      </c>
      <c r="D156" s="97">
        <v>322067</v>
      </c>
      <c r="E156" s="97">
        <f t="shared" si="22"/>
        <v>-6268</v>
      </c>
      <c r="F156" s="98">
        <f t="shared" si="23"/>
        <v>-1.9090258425084137E-2</v>
      </c>
    </row>
    <row r="157" spans="1:6" ht="18" customHeight="1" x14ac:dyDescent="0.25">
      <c r="A157" s="99">
        <v>3</v>
      </c>
      <c r="B157" s="100" t="s">
        <v>114</v>
      </c>
      <c r="C157" s="97">
        <v>1807000</v>
      </c>
      <c r="D157" s="97">
        <v>2491669</v>
      </c>
      <c r="E157" s="97">
        <f t="shared" si="22"/>
        <v>684669</v>
      </c>
      <c r="F157" s="98">
        <f t="shared" si="23"/>
        <v>0.37889817376867735</v>
      </c>
    </row>
    <row r="158" spans="1:6" ht="18" customHeight="1" x14ac:dyDescent="0.25">
      <c r="A158" s="99">
        <v>4</v>
      </c>
      <c r="B158" s="100" t="s">
        <v>115</v>
      </c>
      <c r="C158" s="97">
        <v>1888646</v>
      </c>
      <c r="D158" s="97">
        <v>203246</v>
      </c>
      <c r="E158" s="97">
        <f t="shared" si="22"/>
        <v>-1685400</v>
      </c>
      <c r="F158" s="98">
        <f t="shared" si="23"/>
        <v>-0.89238533849117307</v>
      </c>
    </row>
    <row r="159" spans="1:6" ht="18" customHeight="1" x14ac:dyDescent="0.25">
      <c r="A159" s="99">
        <v>5</v>
      </c>
      <c r="B159" s="100" t="s">
        <v>116</v>
      </c>
      <c r="C159" s="97">
        <v>47719</v>
      </c>
      <c r="D159" s="97">
        <v>43240</v>
      </c>
      <c r="E159" s="97">
        <f t="shared" si="22"/>
        <v>-4479</v>
      </c>
      <c r="F159" s="98">
        <f t="shared" si="23"/>
        <v>-9.3861983696221632E-2</v>
      </c>
    </row>
    <row r="160" spans="1:6" ht="18" customHeight="1" x14ac:dyDescent="0.25">
      <c r="A160" s="99">
        <v>6</v>
      </c>
      <c r="B160" s="100" t="s">
        <v>117</v>
      </c>
      <c r="C160" s="97">
        <v>3348486</v>
      </c>
      <c r="D160" s="97">
        <v>2090180</v>
      </c>
      <c r="E160" s="97">
        <f t="shared" si="22"/>
        <v>-1258306</v>
      </c>
      <c r="F160" s="98">
        <f t="shared" si="23"/>
        <v>-0.37578356307895566</v>
      </c>
    </row>
    <row r="161" spans="1:6" ht="18" customHeight="1" x14ac:dyDescent="0.25">
      <c r="A161" s="99">
        <v>7</v>
      </c>
      <c r="B161" s="100" t="s">
        <v>118</v>
      </c>
      <c r="C161" s="97">
        <v>924105</v>
      </c>
      <c r="D161" s="97">
        <v>1360924</v>
      </c>
      <c r="E161" s="97">
        <f t="shared" si="22"/>
        <v>436819</v>
      </c>
      <c r="F161" s="98">
        <f t="shared" si="23"/>
        <v>0.47269412025689722</v>
      </c>
    </row>
    <row r="162" spans="1:6" ht="18" customHeight="1" x14ac:dyDescent="0.25">
      <c r="A162" s="99">
        <v>8</v>
      </c>
      <c r="B162" s="100" t="s">
        <v>119</v>
      </c>
      <c r="C162" s="97">
        <v>503591</v>
      </c>
      <c r="D162" s="97">
        <v>510541</v>
      </c>
      <c r="E162" s="97">
        <f t="shared" si="22"/>
        <v>6950</v>
      </c>
      <c r="F162" s="98">
        <f t="shared" si="23"/>
        <v>1.3800882065009104E-2</v>
      </c>
    </row>
    <row r="163" spans="1:6" ht="18" customHeight="1" x14ac:dyDescent="0.25">
      <c r="A163" s="99">
        <v>9</v>
      </c>
      <c r="B163" s="100" t="s">
        <v>120</v>
      </c>
      <c r="C163" s="97">
        <v>141057</v>
      </c>
      <c r="D163" s="97">
        <v>17844</v>
      </c>
      <c r="E163" s="97">
        <f t="shared" si="22"/>
        <v>-123213</v>
      </c>
      <c r="F163" s="98">
        <f t="shared" si="23"/>
        <v>-0.87349794763818878</v>
      </c>
    </row>
    <row r="164" spans="1:6" ht="18" customHeight="1" x14ac:dyDescent="0.25">
      <c r="A164" s="99">
        <v>10</v>
      </c>
      <c r="B164" s="100" t="s">
        <v>121</v>
      </c>
      <c r="C164" s="97">
        <v>0</v>
      </c>
      <c r="D164" s="97">
        <v>0</v>
      </c>
      <c r="E164" s="97">
        <f t="shared" si="22"/>
        <v>0</v>
      </c>
      <c r="F164" s="98">
        <f t="shared" si="23"/>
        <v>0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10503642</v>
      </c>
      <c r="D166" s="103">
        <f>SUM(D155:D165)</f>
        <v>8182426</v>
      </c>
      <c r="E166" s="103">
        <f t="shared" si="22"/>
        <v>-2321216</v>
      </c>
      <c r="F166" s="104">
        <f t="shared" si="23"/>
        <v>-0.22099153798273019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5422</v>
      </c>
      <c r="D168" s="117">
        <v>4968</v>
      </c>
      <c r="E168" s="117">
        <f t="shared" ref="E168:E179" si="24">D168-C168</f>
        <v>-454</v>
      </c>
      <c r="F168" s="98">
        <f t="shared" ref="F168:F179" si="25">IF(C168=0,0,E168/C168)</f>
        <v>-8.3732939874585022E-2</v>
      </c>
    </row>
    <row r="169" spans="1:6" ht="18" customHeight="1" x14ac:dyDescent="0.25">
      <c r="A169" s="99">
        <v>2</v>
      </c>
      <c r="B169" s="100" t="s">
        <v>113</v>
      </c>
      <c r="C169" s="117">
        <v>1197</v>
      </c>
      <c r="D169" s="117">
        <v>1270</v>
      </c>
      <c r="E169" s="117">
        <f t="shared" si="24"/>
        <v>73</v>
      </c>
      <c r="F169" s="98">
        <f t="shared" si="25"/>
        <v>6.0985797827903088E-2</v>
      </c>
    </row>
    <row r="170" spans="1:6" ht="18" customHeight="1" x14ac:dyDescent="0.25">
      <c r="A170" s="99">
        <v>3</v>
      </c>
      <c r="B170" s="100" t="s">
        <v>114</v>
      </c>
      <c r="C170" s="117">
        <v>6251</v>
      </c>
      <c r="D170" s="117">
        <v>11612</v>
      </c>
      <c r="E170" s="117">
        <f t="shared" si="24"/>
        <v>5361</v>
      </c>
      <c r="F170" s="98">
        <f t="shared" si="25"/>
        <v>0.85762278035514317</v>
      </c>
    </row>
    <row r="171" spans="1:6" ht="18" customHeight="1" x14ac:dyDescent="0.25">
      <c r="A171" s="99">
        <v>4</v>
      </c>
      <c r="B171" s="100" t="s">
        <v>115</v>
      </c>
      <c r="C171" s="117">
        <v>7585</v>
      </c>
      <c r="D171" s="117">
        <v>1696</v>
      </c>
      <c r="E171" s="117">
        <f t="shared" si="24"/>
        <v>-5889</v>
      </c>
      <c r="F171" s="98">
        <f t="shared" si="25"/>
        <v>-0.77640079103493742</v>
      </c>
    </row>
    <row r="172" spans="1:6" ht="18" customHeight="1" x14ac:dyDescent="0.25">
      <c r="A172" s="99">
        <v>5</v>
      </c>
      <c r="B172" s="100" t="s">
        <v>116</v>
      </c>
      <c r="C172" s="117">
        <v>183</v>
      </c>
      <c r="D172" s="117">
        <v>133</v>
      </c>
      <c r="E172" s="117">
        <f t="shared" si="24"/>
        <v>-50</v>
      </c>
      <c r="F172" s="98">
        <f t="shared" si="25"/>
        <v>-0.27322404371584702</v>
      </c>
    </row>
    <row r="173" spans="1:6" ht="18" customHeight="1" x14ac:dyDescent="0.25">
      <c r="A173" s="99">
        <v>6</v>
      </c>
      <c r="B173" s="100" t="s">
        <v>117</v>
      </c>
      <c r="C173" s="117">
        <v>6297</v>
      </c>
      <c r="D173" s="117">
        <v>5680</v>
      </c>
      <c r="E173" s="117">
        <f t="shared" si="24"/>
        <v>-617</v>
      </c>
      <c r="F173" s="98">
        <f t="shared" si="25"/>
        <v>-9.7983166587263776E-2</v>
      </c>
    </row>
    <row r="174" spans="1:6" ht="18" customHeight="1" x14ac:dyDescent="0.25">
      <c r="A174" s="99">
        <v>7</v>
      </c>
      <c r="B174" s="100" t="s">
        <v>118</v>
      </c>
      <c r="C174" s="117">
        <v>3914</v>
      </c>
      <c r="D174" s="117">
        <v>3892</v>
      </c>
      <c r="E174" s="117">
        <f t="shared" si="24"/>
        <v>-22</v>
      </c>
      <c r="F174" s="98">
        <f t="shared" si="25"/>
        <v>-5.620848237097598E-3</v>
      </c>
    </row>
    <row r="175" spans="1:6" ht="18" customHeight="1" x14ac:dyDescent="0.25">
      <c r="A175" s="99">
        <v>8</v>
      </c>
      <c r="B175" s="100" t="s">
        <v>119</v>
      </c>
      <c r="C175" s="117">
        <v>517</v>
      </c>
      <c r="D175" s="117">
        <v>513</v>
      </c>
      <c r="E175" s="117">
        <f t="shared" si="24"/>
        <v>-4</v>
      </c>
      <c r="F175" s="98">
        <f t="shared" si="25"/>
        <v>-7.7369439071566732E-3</v>
      </c>
    </row>
    <row r="176" spans="1:6" ht="18" customHeight="1" x14ac:dyDescent="0.25">
      <c r="A176" s="99">
        <v>9</v>
      </c>
      <c r="B176" s="100" t="s">
        <v>120</v>
      </c>
      <c r="C176" s="117">
        <v>3131</v>
      </c>
      <c r="D176" s="117">
        <v>2478</v>
      </c>
      <c r="E176" s="117">
        <f t="shared" si="24"/>
        <v>-653</v>
      </c>
      <c r="F176" s="98">
        <f t="shared" si="25"/>
        <v>-0.20855956563398276</v>
      </c>
    </row>
    <row r="177" spans="1:6" ht="18" customHeight="1" x14ac:dyDescent="0.25">
      <c r="A177" s="99">
        <v>10</v>
      </c>
      <c r="B177" s="100" t="s">
        <v>121</v>
      </c>
      <c r="C177" s="117">
        <v>0</v>
      </c>
      <c r="D177" s="117">
        <v>0</v>
      </c>
      <c r="E177" s="117">
        <f t="shared" si="24"/>
        <v>0</v>
      </c>
      <c r="F177" s="98">
        <f t="shared" si="25"/>
        <v>0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34497</v>
      </c>
      <c r="D179" s="118">
        <f>SUM(D168:D178)</f>
        <v>32242</v>
      </c>
      <c r="E179" s="118">
        <f t="shared" si="24"/>
        <v>-2255</v>
      </c>
      <c r="F179" s="104">
        <f t="shared" si="25"/>
        <v>-6.53680030147549E-2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FILING&amp;RBRISTOL HOSPITAL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1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20534294</v>
      </c>
      <c r="D15" s="146">
        <v>20544785</v>
      </c>
      <c r="E15" s="146">
        <f>+D15-C15</f>
        <v>10491</v>
      </c>
      <c r="F15" s="150">
        <f>IF(C15=0,0,E15/C15)</f>
        <v>5.1090142178737675E-4</v>
      </c>
    </row>
    <row r="16" spans="1:7" ht="15" customHeight="1" x14ac:dyDescent="0.2">
      <c r="A16" s="141">
        <v>2</v>
      </c>
      <c r="B16" s="149" t="s">
        <v>158</v>
      </c>
      <c r="C16" s="146">
        <v>427269</v>
      </c>
      <c r="D16" s="146">
        <v>320735</v>
      </c>
      <c r="E16" s="146">
        <f>+D16-C16</f>
        <v>-106534</v>
      </c>
      <c r="F16" s="150">
        <f>IF(C16=0,0,E16/C16)</f>
        <v>-0.24933706868506725</v>
      </c>
    </row>
    <row r="17" spans="1:7" ht="15" customHeight="1" x14ac:dyDescent="0.2">
      <c r="A17" s="141">
        <v>3</v>
      </c>
      <c r="B17" s="149" t="s">
        <v>159</v>
      </c>
      <c r="C17" s="146">
        <v>32130283</v>
      </c>
      <c r="D17" s="146">
        <v>34060540</v>
      </c>
      <c r="E17" s="146">
        <f>+D17-C17</f>
        <v>1930257</v>
      </c>
      <c r="F17" s="150">
        <f>IF(C17=0,0,E17/C17)</f>
        <v>6.0075941441287646E-2</v>
      </c>
    </row>
    <row r="18" spans="1:7" ht="15.75" customHeight="1" x14ac:dyDescent="0.25">
      <c r="A18" s="141"/>
      <c r="B18" s="151" t="s">
        <v>160</v>
      </c>
      <c r="C18" s="147">
        <f>SUM(C15:C17)</f>
        <v>53091846</v>
      </c>
      <c r="D18" s="147">
        <f>SUM(D15:D17)</f>
        <v>54926060</v>
      </c>
      <c r="E18" s="147">
        <f>+D18-C18</f>
        <v>1834214</v>
      </c>
      <c r="F18" s="148">
        <f>IF(C18=0,0,E18/C18)</f>
        <v>3.454794169334402E-2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6098801</v>
      </c>
      <c r="D21" s="146">
        <v>5639912</v>
      </c>
      <c r="E21" s="146">
        <f>+D21-C21</f>
        <v>-458889</v>
      </c>
      <c r="F21" s="150">
        <f>IF(C21=0,0,E21/C21)</f>
        <v>-7.5242494385371811E-2</v>
      </c>
    </row>
    <row r="22" spans="1:7" ht="15" customHeight="1" x14ac:dyDescent="0.2">
      <c r="A22" s="141">
        <v>2</v>
      </c>
      <c r="B22" s="149" t="s">
        <v>163</v>
      </c>
      <c r="C22" s="146">
        <v>126901</v>
      </c>
      <c r="D22" s="146">
        <v>88048</v>
      </c>
      <c r="E22" s="146">
        <f>+D22-C22</f>
        <v>-38853</v>
      </c>
      <c r="F22" s="150">
        <f>IF(C22=0,0,E22/C22)</f>
        <v>-0.30616780009613792</v>
      </c>
    </row>
    <row r="23" spans="1:7" ht="15" customHeight="1" x14ac:dyDescent="0.2">
      <c r="A23" s="141">
        <v>3</v>
      </c>
      <c r="B23" s="149" t="s">
        <v>164</v>
      </c>
      <c r="C23" s="146">
        <v>9542875</v>
      </c>
      <c r="D23" s="146">
        <v>9350229</v>
      </c>
      <c r="E23" s="146">
        <f>+D23-C23</f>
        <v>-192646</v>
      </c>
      <c r="F23" s="150">
        <f>IF(C23=0,0,E23/C23)</f>
        <v>-2.0187417313964607E-2</v>
      </c>
    </row>
    <row r="24" spans="1:7" ht="15.75" customHeight="1" x14ac:dyDescent="0.25">
      <c r="A24" s="141"/>
      <c r="B24" s="151" t="s">
        <v>165</v>
      </c>
      <c r="C24" s="147">
        <f>SUM(C21:C23)</f>
        <v>15768577</v>
      </c>
      <c r="D24" s="147">
        <f>SUM(D21:D23)</f>
        <v>15078189</v>
      </c>
      <c r="E24" s="147">
        <f>+D24-C24</f>
        <v>-690388</v>
      </c>
      <c r="F24" s="148">
        <f>IF(C24=0,0,E24/C24)</f>
        <v>-4.378251759813203E-2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728690</v>
      </c>
      <c r="D27" s="146">
        <v>379722</v>
      </c>
      <c r="E27" s="146">
        <f>+D27-C27</f>
        <v>-348968</v>
      </c>
      <c r="F27" s="150">
        <f>IF(C27=0,0,E27/C27)</f>
        <v>-0.47889774801355856</v>
      </c>
    </row>
    <row r="28" spans="1:7" ht="15" customHeight="1" x14ac:dyDescent="0.2">
      <c r="A28" s="141">
        <v>2</v>
      </c>
      <c r="B28" s="149" t="s">
        <v>168</v>
      </c>
      <c r="C28" s="146">
        <v>6039122</v>
      </c>
      <c r="D28" s="146">
        <v>7870257</v>
      </c>
      <c r="E28" s="146">
        <f>+D28-C28</f>
        <v>1831135</v>
      </c>
      <c r="F28" s="150">
        <f>IF(C28=0,0,E28/C28)</f>
        <v>0.30321212255688823</v>
      </c>
    </row>
    <row r="29" spans="1:7" ht="15" customHeight="1" x14ac:dyDescent="0.2">
      <c r="A29" s="141">
        <v>3</v>
      </c>
      <c r="B29" s="149" t="s">
        <v>169</v>
      </c>
      <c r="C29" s="146">
        <v>465603</v>
      </c>
      <c r="D29" s="146">
        <v>641547</v>
      </c>
      <c r="E29" s="146">
        <f>+D29-C29</f>
        <v>175944</v>
      </c>
      <c r="F29" s="150">
        <f>IF(C29=0,0,E29/C29)</f>
        <v>0.37788416311750567</v>
      </c>
    </row>
    <row r="30" spans="1:7" ht="15.75" customHeight="1" x14ac:dyDescent="0.25">
      <c r="A30" s="141"/>
      <c r="B30" s="151" t="s">
        <v>170</v>
      </c>
      <c r="C30" s="147">
        <f>SUM(C27:C29)</f>
        <v>7233415</v>
      </c>
      <c r="D30" s="147">
        <f>SUM(D27:D29)</f>
        <v>8891526</v>
      </c>
      <c r="E30" s="147">
        <f>+D30-C30</f>
        <v>1658111</v>
      </c>
      <c r="F30" s="148">
        <f>IF(C30=0,0,E30/C30)</f>
        <v>0.22922934741059375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9311049</v>
      </c>
      <c r="D33" s="146">
        <v>10584242</v>
      </c>
      <c r="E33" s="146">
        <f>+D33-C33</f>
        <v>1273193</v>
      </c>
      <c r="F33" s="150">
        <f>IF(C33=0,0,E33/C33)</f>
        <v>0.13674001715596171</v>
      </c>
    </row>
    <row r="34" spans="1:7" ht="15" customHeight="1" x14ac:dyDescent="0.2">
      <c r="A34" s="141">
        <v>2</v>
      </c>
      <c r="B34" s="149" t="s">
        <v>174</v>
      </c>
      <c r="C34" s="146">
        <v>6097185</v>
      </c>
      <c r="D34" s="146">
        <v>7350724</v>
      </c>
      <c r="E34" s="146">
        <f>+D34-C34</f>
        <v>1253539</v>
      </c>
      <c r="F34" s="150">
        <f>IF(C34=0,0,E34/C34)</f>
        <v>0.2055930728688731</v>
      </c>
    </row>
    <row r="35" spans="1:7" ht="15.75" customHeight="1" x14ac:dyDescent="0.25">
      <c r="A35" s="141"/>
      <c r="B35" s="151" t="s">
        <v>175</v>
      </c>
      <c r="C35" s="147">
        <f>SUM(C33:C34)</f>
        <v>15408234</v>
      </c>
      <c r="D35" s="147">
        <f>SUM(D33:D34)</f>
        <v>17934966</v>
      </c>
      <c r="E35" s="147">
        <f>+D35-C35</f>
        <v>2526732</v>
      </c>
      <c r="F35" s="148">
        <f>IF(C35=0,0,E35/C35)</f>
        <v>0.16398582731804306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2282807</v>
      </c>
      <c r="D38" s="146">
        <v>2160045</v>
      </c>
      <c r="E38" s="146">
        <f>+D38-C38</f>
        <v>-122762</v>
      </c>
      <c r="F38" s="150">
        <f>IF(C38=0,0,E38/C38)</f>
        <v>-5.3776775697638918E-2</v>
      </c>
    </row>
    <row r="39" spans="1:7" ht="15" customHeight="1" x14ac:dyDescent="0.2">
      <c r="A39" s="141">
        <v>2</v>
      </c>
      <c r="B39" s="149" t="s">
        <v>179</v>
      </c>
      <c r="C39" s="146">
        <v>3377134</v>
      </c>
      <c r="D39" s="146">
        <v>4105937</v>
      </c>
      <c r="E39" s="146">
        <f>+D39-C39</f>
        <v>728803</v>
      </c>
      <c r="F39" s="150">
        <f>IF(C39=0,0,E39/C39)</f>
        <v>0.21580517681560754</v>
      </c>
    </row>
    <row r="40" spans="1:7" ht="15" customHeight="1" x14ac:dyDescent="0.2">
      <c r="A40" s="141">
        <v>3</v>
      </c>
      <c r="B40" s="149" t="s">
        <v>180</v>
      </c>
      <c r="C40" s="146">
        <v>54701</v>
      </c>
      <c r="D40" s="146">
        <v>54594</v>
      </c>
      <c r="E40" s="146">
        <f>+D40-C40</f>
        <v>-107</v>
      </c>
      <c r="F40" s="150">
        <f>IF(C40=0,0,E40/C40)</f>
        <v>-1.9560885541397783E-3</v>
      </c>
    </row>
    <row r="41" spans="1:7" ht="15.75" customHeight="1" x14ac:dyDescent="0.25">
      <c r="A41" s="141"/>
      <c r="B41" s="151" t="s">
        <v>181</v>
      </c>
      <c r="C41" s="147">
        <f>SUM(C38:C40)</f>
        <v>5714642</v>
      </c>
      <c r="D41" s="147">
        <f>SUM(D38:D40)</f>
        <v>6320576</v>
      </c>
      <c r="E41" s="147">
        <f>+D41-C41</f>
        <v>605934</v>
      </c>
      <c r="F41" s="148">
        <f>IF(C41=0,0,E41/C41)</f>
        <v>0.10603183891484366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9847024</v>
      </c>
      <c r="D44" s="146">
        <v>6470291</v>
      </c>
      <c r="E44" s="146">
        <f>+D44-C44</f>
        <v>-3376733</v>
      </c>
      <c r="F44" s="150">
        <f>IF(C44=0,0,E44/C44)</f>
        <v>-0.34291913983351724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1833355</v>
      </c>
      <c r="D47" s="146">
        <v>1641972</v>
      </c>
      <c r="E47" s="146">
        <f>+D47-C47</f>
        <v>-191383</v>
      </c>
      <c r="F47" s="150">
        <f>IF(C47=0,0,E47/C47)</f>
        <v>-0.10438949357871224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1107439</v>
      </c>
      <c r="D50" s="146">
        <v>-399676</v>
      </c>
      <c r="E50" s="146">
        <f>+D50-C50</f>
        <v>-1507115</v>
      </c>
      <c r="F50" s="150">
        <f>IF(C50=0,0,E50/C50)</f>
        <v>-1.3609011421848065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49515</v>
      </c>
      <c r="D53" s="146">
        <v>59970</v>
      </c>
      <c r="E53" s="146">
        <f t="shared" ref="E53:E59" si="0">+D53-C53</f>
        <v>10455</v>
      </c>
      <c r="F53" s="150">
        <f t="shared" ref="F53:F59" si="1">IF(C53=0,0,E53/C53)</f>
        <v>0.21114813692820358</v>
      </c>
    </row>
    <row r="54" spans="1:7" ht="15" customHeight="1" x14ac:dyDescent="0.2">
      <c r="A54" s="141">
        <v>2</v>
      </c>
      <c r="B54" s="149" t="s">
        <v>193</v>
      </c>
      <c r="C54" s="146">
        <v>763304</v>
      </c>
      <c r="D54" s="146">
        <v>683094</v>
      </c>
      <c r="E54" s="146">
        <f t="shared" si="0"/>
        <v>-80210</v>
      </c>
      <c r="F54" s="150">
        <f t="shared" si="1"/>
        <v>-0.10508264073029881</v>
      </c>
    </row>
    <row r="55" spans="1:7" ht="15" customHeight="1" x14ac:dyDescent="0.2">
      <c r="A55" s="141">
        <v>3</v>
      </c>
      <c r="B55" s="149" t="s">
        <v>194</v>
      </c>
      <c r="C55" s="146">
        <v>8646</v>
      </c>
      <c r="D55" s="146">
        <v>5557</v>
      </c>
      <c r="E55" s="146">
        <f t="shared" si="0"/>
        <v>-3089</v>
      </c>
      <c r="F55" s="150">
        <f t="shared" si="1"/>
        <v>-0.35727504048114733</v>
      </c>
    </row>
    <row r="56" spans="1:7" ht="15" customHeight="1" x14ac:dyDescent="0.2">
      <c r="A56" s="141">
        <v>4</v>
      </c>
      <c r="B56" s="149" t="s">
        <v>195</v>
      </c>
      <c r="C56" s="146">
        <v>1467910</v>
      </c>
      <c r="D56" s="146">
        <v>1460795</v>
      </c>
      <c r="E56" s="146">
        <f t="shared" si="0"/>
        <v>-7115</v>
      </c>
      <c r="F56" s="150">
        <f t="shared" si="1"/>
        <v>-4.8470274063123764E-3</v>
      </c>
    </row>
    <row r="57" spans="1:7" ht="15" customHeight="1" x14ac:dyDescent="0.2">
      <c r="A57" s="141">
        <v>5</v>
      </c>
      <c r="B57" s="149" t="s">
        <v>196</v>
      </c>
      <c r="C57" s="146">
        <v>354329</v>
      </c>
      <c r="D57" s="146">
        <v>222485</v>
      </c>
      <c r="E57" s="146">
        <f t="shared" si="0"/>
        <v>-131844</v>
      </c>
      <c r="F57" s="150">
        <f t="shared" si="1"/>
        <v>-0.3720948609907741</v>
      </c>
    </row>
    <row r="58" spans="1:7" ht="15" customHeight="1" x14ac:dyDescent="0.2">
      <c r="A58" s="141">
        <v>6</v>
      </c>
      <c r="B58" s="149" t="s">
        <v>197</v>
      </c>
      <c r="C58" s="146">
        <v>2188</v>
      </c>
      <c r="D58" s="146">
        <v>184311</v>
      </c>
      <c r="E58" s="146">
        <f t="shared" si="0"/>
        <v>182123</v>
      </c>
      <c r="F58" s="150">
        <f t="shared" si="1"/>
        <v>83.237202925045708</v>
      </c>
    </row>
    <row r="59" spans="1:7" ht="15.75" customHeight="1" x14ac:dyDescent="0.25">
      <c r="A59" s="141"/>
      <c r="B59" s="151" t="s">
        <v>198</v>
      </c>
      <c r="C59" s="147">
        <f>SUM(C53:C58)</f>
        <v>2645892</v>
      </c>
      <c r="D59" s="147">
        <f>SUM(D53:D58)</f>
        <v>2616212</v>
      </c>
      <c r="E59" s="147">
        <f t="shared" si="0"/>
        <v>-29680</v>
      </c>
      <c r="F59" s="148">
        <f t="shared" si="1"/>
        <v>-1.12173890695463E-2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101882</v>
      </c>
      <c r="D62" s="146">
        <v>152353</v>
      </c>
      <c r="E62" s="146">
        <f t="shared" ref="E62:E90" si="2">+D62-C62</f>
        <v>50471</v>
      </c>
      <c r="F62" s="150">
        <f t="shared" ref="F62:F90" si="3">IF(C62=0,0,E62/C62)</f>
        <v>0.49538682004672074</v>
      </c>
    </row>
    <row r="63" spans="1:7" ht="15" customHeight="1" x14ac:dyDescent="0.2">
      <c r="A63" s="141">
        <v>2</v>
      </c>
      <c r="B63" s="149" t="s">
        <v>202</v>
      </c>
      <c r="C63" s="146">
        <v>539671</v>
      </c>
      <c r="D63" s="146">
        <v>756903</v>
      </c>
      <c r="E63" s="146">
        <f t="shared" si="2"/>
        <v>217232</v>
      </c>
      <c r="F63" s="150">
        <f t="shared" si="3"/>
        <v>0.40252672461555283</v>
      </c>
    </row>
    <row r="64" spans="1:7" ht="15" customHeight="1" x14ac:dyDescent="0.2">
      <c r="A64" s="141">
        <v>3</v>
      </c>
      <c r="B64" s="149" t="s">
        <v>203</v>
      </c>
      <c r="C64" s="146">
        <v>809556</v>
      </c>
      <c r="D64" s="146">
        <v>1226968</v>
      </c>
      <c r="E64" s="146">
        <f t="shared" si="2"/>
        <v>417412</v>
      </c>
      <c r="F64" s="150">
        <f t="shared" si="3"/>
        <v>0.51560608531096053</v>
      </c>
    </row>
    <row r="65" spans="1:6" ht="15" customHeight="1" x14ac:dyDescent="0.2">
      <c r="A65" s="141">
        <v>4</v>
      </c>
      <c r="B65" s="149" t="s">
        <v>204</v>
      </c>
      <c r="C65" s="146">
        <v>265871</v>
      </c>
      <c r="D65" s="146">
        <v>280608</v>
      </c>
      <c r="E65" s="146">
        <f t="shared" si="2"/>
        <v>14737</v>
      </c>
      <c r="F65" s="150">
        <f t="shared" si="3"/>
        <v>5.5429136686588609E-2</v>
      </c>
    </row>
    <row r="66" spans="1:6" ht="15" customHeight="1" x14ac:dyDescent="0.2">
      <c r="A66" s="141">
        <v>5</v>
      </c>
      <c r="B66" s="149" t="s">
        <v>205</v>
      </c>
      <c r="C66" s="146">
        <v>704935</v>
      </c>
      <c r="D66" s="146">
        <v>1326236</v>
      </c>
      <c r="E66" s="146">
        <f t="shared" si="2"/>
        <v>621301</v>
      </c>
      <c r="F66" s="150">
        <f t="shared" si="3"/>
        <v>0.88135927425932892</v>
      </c>
    </row>
    <row r="67" spans="1:6" ht="15" customHeight="1" x14ac:dyDescent="0.2">
      <c r="A67" s="141">
        <v>6</v>
      </c>
      <c r="B67" s="149" t="s">
        <v>206</v>
      </c>
      <c r="C67" s="146">
        <v>915674</v>
      </c>
      <c r="D67" s="146">
        <v>905894</v>
      </c>
      <c r="E67" s="146">
        <f t="shared" si="2"/>
        <v>-9780</v>
      </c>
      <c r="F67" s="150">
        <f t="shared" si="3"/>
        <v>-1.0680657089750282E-2</v>
      </c>
    </row>
    <row r="68" spans="1:6" ht="15" customHeight="1" x14ac:dyDescent="0.2">
      <c r="A68" s="141">
        <v>7</v>
      </c>
      <c r="B68" s="149" t="s">
        <v>207</v>
      </c>
      <c r="C68" s="146">
        <v>599137</v>
      </c>
      <c r="D68" s="146">
        <v>733462</v>
      </c>
      <c r="E68" s="146">
        <f t="shared" si="2"/>
        <v>134325</v>
      </c>
      <c r="F68" s="150">
        <f t="shared" si="3"/>
        <v>0.22419747069535015</v>
      </c>
    </row>
    <row r="69" spans="1:6" ht="15" customHeight="1" x14ac:dyDescent="0.2">
      <c r="A69" s="141">
        <v>8</v>
      </c>
      <c r="B69" s="149" t="s">
        <v>208</v>
      </c>
      <c r="C69" s="146">
        <v>299883</v>
      </c>
      <c r="D69" s="146">
        <v>1341717</v>
      </c>
      <c r="E69" s="146">
        <f t="shared" si="2"/>
        <v>1041834</v>
      </c>
      <c r="F69" s="150">
        <f t="shared" si="3"/>
        <v>3.47413491261592</v>
      </c>
    </row>
    <row r="70" spans="1:6" ht="15" customHeight="1" x14ac:dyDescent="0.2">
      <c r="A70" s="141">
        <v>9</v>
      </c>
      <c r="B70" s="149" t="s">
        <v>209</v>
      </c>
      <c r="C70" s="146">
        <v>204579</v>
      </c>
      <c r="D70" s="146">
        <v>241530</v>
      </c>
      <c r="E70" s="146">
        <f t="shared" si="2"/>
        <v>36951</v>
      </c>
      <c r="F70" s="150">
        <f t="shared" si="3"/>
        <v>0.18061971170061444</v>
      </c>
    </row>
    <row r="71" spans="1:6" ht="15" customHeight="1" x14ac:dyDescent="0.2">
      <c r="A71" s="141">
        <v>10</v>
      </c>
      <c r="B71" s="149" t="s">
        <v>210</v>
      </c>
      <c r="C71" s="146">
        <v>6369</v>
      </c>
      <c r="D71" s="146">
        <v>1433</v>
      </c>
      <c r="E71" s="146">
        <f t="shared" si="2"/>
        <v>-4936</v>
      </c>
      <c r="F71" s="150">
        <f t="shared" si="3"/>
        <v>-0.77500392526299267</v>
      </c>
    </row>
    <row r="72" spans="1:6" ht="15" customHeight="1" x14ac:dyDescent="0.2">
      <c r="A72" s="141">
        <v>11</v>
      </c>
      <c r="B72" s="149" t="s">
        <v>211</v>
      </c>
      <c r="C72" s="146">
        <v>64477</v>
      </c>
      <c r="D72" s="146">
        <v>72985</v>
      </c>
      <c r="E72" s="146">
        <f t="shared" si="2"/>
        <v>8508</v>
      </c>
      <c r="F72" s="150">
        <f t="shared" si="3"/>
        <v>0.13195403011926735</v>
      </c>
    </row>
    <row r="73" spans="1:6" ht="15" customHeight="1" x14ac:dyDescent="0.2">
      <c r="A73" s="141">
        <v>12</v>
      </c>
      <c r="B73" s="149" t="s">
        <v>212</v>
      </c>
      <c r="C73" s="146">
        <v>587611</v>
      </c>
      <c r="D73" s="146">
        <v>227699</v>
      </c>
      <c r="E73" s="146">
        <f t="shared" si="2"/>
        <v>-359912</v>
      </c>
      <c r="F73" s="150">
        <f t="shared" si="3"/>
        <v>-0.61250044672410831</v>
      </c>
    </row>
    <row r="74" spans="1:6" ht="15" customHeight="1" x14ac:dyDescent="0.2">
      <c r="A74" s="141">
        <v>13</v>
      </c>
      <c r="B74" s="149" t="s">
        <v>213</v>
      </c>
      <c r="C74" s="146">
        <v>79835</v>
      </c>
      <c r="D74" s="146">
        <v>588</v>
      </c>
      <c r="E74" s="146">
        <f t="shared" si="2"/>
        <v>-79247</v>
      </c>
      <c r="F74" s="150">
        <f t="shared" si="3"/>
        <v>-0.99263480929416925</v>
      </c>
    </row>
    <row r="75" spans="1:6" ht="15" customHeight="1" x14ac:dyDescent="0.2">
      <c r="A75" s="141">
        <v>14</v>
      </c>
      <c r="B75" s="149" t="s">
        <v>214</v>
      </c>
      <c r="C75" s="146">
        <v>128723</v>
      </c>
      <c r="D75" s="146">
        <v>179786</v>
      </c>
      <c r="E75" s="146">
        <f t="shared" si="2"/>
        <v>51063</v>
      </c>
      <c r="F75" s="150">
        <f t="shared" si="3"/>
        <v>0.39668901439525184</v>
      </c>
    </row>
    <row r="76" spans="1:6" ht="15" customHeight="1" x14ac:dyDescent="0.2">
      <c r="A76" s="141">
        <v>15</v>
      </c>
      <c r="B76" s="149" t="s">
        <v>215</v>
      </c>
      <c r="C76" s="146">
        <v>1230650</v>
      </c>
      <c r="D76" s="146">
        <v>851838</v>
      </c>
      <c r="E76" s="146">
        <f t="shared" si="2"/>
        <v>-378812</v>
      </c>
      <c r="F76" s="150">
        <f t="shared" si="3"/>
        <v>-0.30781456953642383</v>
      </c>
    </row>
    <row r="77" spans="1:6" ht="15" customHeight="1" x14ac:dyDescent="0.2">
      <c r="A77" s="141">
        <v>16</v>
      </c>
      <c r="B77" s="149" t="s">
        <v>216</v>
      </c>
      <c r="C77" s="146">
        <v>0</v>
      </c>
      <c r="D77" s="146">
        <v>0</v>
      </c>
      <c r="E77" s="146">
        <f t="shared" si="2"/>
        <v>0</v>
      </c>
      <c r="F77" s="150">
        <f t="shared" si="3"/>
        <v>0</v>
      </c>
    </row>
    <row r="78" spans="1:6" ht="15" customHeight="1" x14ac:dyDescent="0.2">
      <c r="A78" s="141">
        <v>17</v>
      </c>
      <c r="B78" s="149" t="s">
        <v>217</v>
      </c>
      <c r="C78" s="146">
        <v>0</v>
      </c>
      <c r="D78" s="146">
        <v>1723852</v>
      </c>
      <c r="E78" s="146">
        <f t="shared" si="2"/>
        <v>1723852</v>
      </c>
      <c r="F78" s="150">
        <f t="shared" si="3"/>
        <v>0</v>
      </c>
    </row>
    <row r="79" spans="1:6" ht="15" customHeight="1" x14ac:dyDescent="0.2">
      <c r="A79" s="141">
        <v>18</v>
      </c>
      <c r="B79" s="149" t="s">
        <v>218</v>
      </c>
      <c r="C79" s="146">
        <v>0</v>
      </c>
      <c r="D79" s="146">
        <v>79946</v>
      </c>
      <c r="E79" s="146">
        <f t="shared" si="2"/>
        <v>79946</v>
      </c>
      <c r="F79" s="150">
        <f t="shared" si="3"/>
        <v>0</v>
      </c>
    </row>
    <row r="80" spans="1:6" ht="15" customHeight="1" x14ac:dyDescent="0.2">
      <c r="A80" s="141">
        <v>19</v>
      </c>
      <c r="B80" s="149" t="s">
        <v>219</v>
      </c>
      <c r="C80" s="146">
        <v>0</v>
      </c>
      <c r="D80" s="146">
        <v>694305</v>
      </c>
      <c r="E80" s="146">
        <f t="shared" si="2"/>
        <v>694305</v>
      </c>
      <c r="F80" s="150">
        <f t="shared" si="3"/>
        <v>0</v>
      </c>
    </row>
    <row r="81" spans="1:7" ht="15" customHeight="1" x14ac:dyDescent="0.2">
      <c r="A81" s="141">
        <v>20</v>
      </c>
      <c r="B81" s="149" t="s">
        <v>220</v>
      </c>
      <c r="C81" s="146">
        <v>0</v>
      </c>
      <c r="D81" s="146">
        <v>2360953</v>
      </c>
      <c r="E81" s="146">
        <f t="shared" si="2"/>
        <v>2360953</v>
      </c>
      <c r="F81" s="150">
        <f t="shared" si="3"/>
        <v>0</v>
      </c>
    </row>
    <row r="82" spans="1:7" ht="15" customHeight="1" x14ac:dyDescent="0.2">
      <c r="A82" s="141">
        <v>21</v>
      </c>
      <c r="B82" s="149" t="s">
        <v>221</v>
      </c>
      <c r="C82" s="146">
        <v>0</v>
      </c>
      <c r="D82" s="146">
        <v>1177987</v>
      </c>
      <c r="E82" s="146">
        <f t="shared" si="2"/>
        <v>1177987</v>
      </c>
      <c r="F82" s="150">
        <f t="shared" si="3"/>
        <v>0</v>
      </c>
    </row>
    <row r="83" spans="1:7" ht="15" customHeight="1" x14ac:dyDescent="0.2">
      <c r="A83" s="141">
        <v>22</v>
      </c>
      <c r="B83" s="149" t="s">
        <v>222</v>
      </c>
      <c r="C83" s="146">
        <v>0</v>
      </c>
      <c r="D83" s="146">
        <v>53159</v>
      </c>
      <c r="E83" s="146">
        <f t="shared" si="2"/>
        <v>53159</v>
      </c>
      <c r="F83" s="150">
        <f t="shared" si="3"/>
        <v>0</v>
      </c>
    </row>
    <row r="84" spans="1:7" ht="15" customHeight="1" x14ac:dyDescent="0.2">
      <c r="A84" s="141">
        <v>23</v>
      </c>
      <c r="B84" s="149" t="s">
        <v>223</v>
      </c>
      <c r="C84" s="146">
        <v>0</v>
      </c>
      <c r="D84" s="146">
        <v>104050</v>
      </c>
      <c r="E84" s="146">
        <f t="shared" si="2"/>
        <v>104050</v>
      </c>
      <c r="F84" s="150">
        <f t="shared" si="3"/>
        <v>0</v>
      </c>
    </row>
    <row r="85" spans="1:7" ht="15" customHeight="1" x14ac:dyDescent="0.2">
      <c r="A85" s="141">
        <v>24</v>
      </c>
      <c r="B85" s="149" t="s">
        <v>224</v>
      </c>
      <c r="C85" s="146">
        <v>0</v>
      </c>
      <c r="D85" s="146">
        <v>0</v>
      </c>
      <c r="E85" s="146">
        <f t="shared" si="2"/>
        <v>0</v>
      </c>
      <c r="F85" s="150">
        <f t="shared" si="3"/>
        <v>0</v>
      </c>
    </row>
    <row r="86" spans="1:7" ht="15" customHeight="1" x14ac:dyDescent="0.2">
      <c r="A86" s="141">
        <v>25</v>
      </c>
      <c r="B86" s="149" t="s">
        <v>225</v>
      </c>
      <c r="C86" s="146">
        <v>0</v>
      </c>
      <c r="D86" s="146">
        <v>212486</v>
      </c>
      <c r="E86" s="146">
        <f t="shared" si="2"/>
        <v>212486</v>
      </c>
      <c r="F86" s="150">
        <f t="shared" si="3"/>
        <v>0</v>
      </c>
    </row>
    <row r="87" spans="1:7" ht="15" customHeight="1" x14ac:dyDescent="0.2">
      <c r="A87" s="141">
        <v>26</v>
      </c>
      <c r="B87" s="149" t="s">
        <v>226</v>
      </c>
      <c r="C87" s="146">
        <v>0</v>
      </c>
      <c r="D87" s="146">
        <v>371186</v>
      </c>
      <c r="E87" s="146">
        <f t="shared" si="2"/>
        <v>371186</v>
      </c>
      <c r="F87" s="150">
        <f t="shared" si="3"/>
        <v>0</v>
      </c>
    </row>
    <row r="88" spans="1:7" ht="15" customHeight="1" x14ac:dyDescent="0.2">
      <c r="A88" s="141">
        <v>27</v>
      </c>
      <c r="B88" s="149" t="s">
        <v>227</v>
      </c>
      <c r="C88" s="146">
        <v>0</v>
      </c>
      <c r="D88" s="146">
        <v>271857</v>
      </c>
      <c r="E88" s="146">
        <f t="shared" si="2"/>
        <v>271857</v>
      </c>
      <c r="F88" s="150">
        <f t="shared" si="3"/>
        <v>0</v>
      </c>
    </row>
    <row r="89" spans="1:7" ht="15" customHeight="1" x14ac:dyDescent="0.2">
      <c r="A89" s="141">
        <v>28</v>
      </c>
      <c r="B89" s="149" t="s">
        <v>228</v>
      </c>
      <c r="C89" s="146">
        <v>12705250</v>
      </c>
      <c r="D89" s="146">
        <v>5656406</v>
      </c>
      <c r="E89" s="146">
        <f t="shared" si="2"/>
        <v>-7048844</v>
      </c>
      <c r="F89" s="150">
        <f t="shared" si="3"/>
        <v>-0.55479774109128122</v>
      </c>
    </row>
    <row r="90" spans="1:7" ht="15.75" customHeight="1" x14ac:dyDescent="0.25">
      <c r="A90" s="141"/>
      <c r="B90" s="151" t="s">
        <v>229</v>
      </c>
      <c r="C90" s="147">
        <f>SUM(C62:C89)</f>
        <v>19244103</v>
      </c>
      <c r="D90" s="147">
        <f>SUM(D62:D89)</f>
        <v>21006187</v>
      </c>
      <c r="E90" s="147">
        <f t="shared" si="2"/>
        <v>1762084</v>
      </c>
      <c r="F90" s="148">
        <f t="shared" si="3"/>
        <v>9.1564880940410681E-2</v>
      </c>
      <c r="G90" s="124"/>
    </row>
    <row r="91" spans="1:7" ht="15.75" customHeight="1" x14ac:dyDescent="0.25">
      <c r="A91" s="141"/>
      <c r="B91" s="152"/>
      <c r="C91" s="146"/>
      <c r="D91" s="146"/>
      <c r="E91" s="147"/>
      <c r="F91" s="148"/>
      <c r="G91" s="124"/>
    </row>
    <row r="92" spans="1:7" ht="15.75" customHeight="1" x14ac:dyDescent="0.25">
      <c r="A92" s="144" t="s">
        <v>230</v>
      </c>
      <c r="B92" s="145" t="s">
        <v>231</v>
      </c>
      <c r="C92" s="146"/>
      <c r="D92" s="146"/>
      <c r="E92" s="147"/>
      <c r="F92" s="148"/>
      <c r="G92" s="124"/>
    </row>
    <row r="93" spans="1:7" ht="15" customHeight="1" x14ac:dyDescent="0.2">
      <c r="A93" s="141">
        <v>1</v>
      </c>
      <c r="B93" s="149" t="s">
        <v>232</v>
      </c>
      <c r="C93" s="146">
        <v>0</v>
      </c>
      <c r="D93" s="146">
        <v>0</v>
      </c>
      <c r="E93" s="146">
        <f>+D93-C93</f>
        <v>0</v>
      </c>
      <c r="F93" s="150">
        <f>IF(C93=0,0,E93/C93)</f>
        <v>0</v>
      </c>
    </row>
    <row r="94" spans="1:7" ht="15.75" customHeight="1" x14ac:dyDescent="0.25">
      <c r="A94" s="141"/>
      <c r="B94" s="152"/>
      <c r="C94" s="146"/>
      <c r="D94" s="146"/>
      <c r="E94" s="147"/>
      <c r="F94" s="148"/>
      <c r="G94" s="124"/>
    </row>
    <row r="95" spans="1:7" ht="15.75" customHeight="1" x14ac:dyDescent="0.25">
      <c r="A95" s="153"/>
      <c r="B95" s="154" t="s">
        <v>233</v>
      </c>
      <c r="C95" s="147">
        <f>+C93+C90+C59+C50+C47+C44+C41+C35+C30+C24+C18</f>
        <v>131894527</v>
      </c>
      <c r="D95" s="147">
        <f>+D93+D90+D59+D50+D47+D44+D41+D35+D30+D24+D18</f>
        <v>134486303</v>
      </c>
      <c r="E95" s="147">
        <f>+D95-C95</f>
        <v>2591776</v>
      </c>
      <c r="F95" s="148">
        <f>IF(C95=0,0,E95/C95)</f>
        <v>1.9650368055074793E-2</v>
      </c>
      <c r="G95" s="155"/>
    </row>
    <row r="96" spans="1:7" ht="15.75" customHeight="1" x14ac:dyDescent="0.25">
      <c r="A96" s="153"/>
      <c r="B96" s="154"/>
      <c r="C96" s="146"/>
      <c r="D96" s="146"/>
      <c r="E96" s="146"/>
      <c r="F96" s="156"/>
      <c r="G96" s="124"/>
    </row>
    <row r="97" spans="1:7" ht="15.75" customHeight="1" x14ac:dyDescent="0.25">
      <c r="A97" s="153"/>
      <c r="B97" s="157" t="s">
        <v>234</v>
      </c>
      <c r="C97" s="146"/>
      <c r="D97" s="146"/>
      <c r="E97" s="146"/>
      <c r="F97" s="156"/>
      <c r="G97" s="124"/>
    </row>
    <row r="98" spans="1:7" ht="15.75" customHeight="1" x14ac:dyDescent="0.25">
      <c r="A98" s="153"/>
      <c r="B98" s="157"/>
      <c r="C98" s="146"/>
      <c r="D98" s="146"/>
      <c r="E98" s="146"/>
      <c r="F98" s="156"/>
      <c r="G98" s="124"/>
    </row>
    <row r="99" spans="1:7" ht="15.75" customHeight="1" x14ac:dyDescent="0.25">
      <c r="A99" s="153"/>
      <c r="B99" s="157"/>
      <c r="C99" s="146"/>
      <c r="D99" s="146"/>
      <c r="E99" s="146"/>
      <c r="F99" s="156"/>
      <c r="G99" s="124"/>
    </row>
    <row r="100" spans="1:7" ht="15.75" customHeight="1" x14ac:dyDescent="0.25">
      <c r="A100" s="158" t="s">
        <v>44</v>
      </c>
      <c r="B100" s="142" t="s">
        <v>235</v>
      </c>
      <c r="C100" s="143"/>
      <c r="D100" s="143"/>
      <c r="E100" s="159"/>
      <c r="F100" s="160"/>
      <c r="G100" s="155"/>
    </row>
    <row r="101" spans="1:7" ht="15.75" customHeight="1" x14ac:dyDescent="0.25">
      <c r="A101" s="141"/>
      <c r="B101" s="142"/>
      <c r="C101" s="143"/>
      <c r="D101" s="143"/>
      <c r="E101" s="159"/>
      <c r="F101" s="160"/>
      <c r="G101" s="155"/>
    </row>
    <row r="102" spans="1:7" ht="15.75" customHeight="1" x14ac:dyDescent="0.25">
      <c r="A102" s="144" t="s">
        <v>110</v>
      </c>
      <c r="B102" s="145" t="s">
        <v>236</v>
      </c>
      <c r="C102" s="146"/>
      <c r="D102" s="146"/>
      <c r="E102" s="147"/>
      <c r="F102" s="160"/>
      <c r="G102" s="155"/>
    </row>
    <row r="103" spans="1:7" ht="15" customHeight="1" x14ac:dyDescent="0.2">
      <c r="A103" s="141">
        <v>1</v>
      </c>
      <c r="B103" s="161" t="s">
        <v>237</v>
      </c>
      <c r="C103" s="146">
        <v>3076169</v>
      </c>
      <c r="D103" s="146">
        <v>3274606</v>
      </c>
      <c r="E103" s="146">
        <f t="shared" ref="E103:E121" si="4">D103-C103</f>
        <v>198437</v>
      </c>
      <c r="F103" s="150">
        <f t="shared" ref="F103:F121" si="5">IF(C103=0,0,E103/C103)</f>
        <v>6.4507834257480648E-2</v>
      </c>
      <c r="G103" s="155"/>
    </row>
    <row r="104" spans="1:7" ht="15" customHeight="1" x14ac:dyDescent="0.2">
      <c r="A104" s="141">
        <v>2</v>
      </c>
      <c r="B104" s="161" t="s">
        <v>238</v>
      </c>
      <c r="C104" s="146">
        <v>1448042</v>
      </c>
      <c r="D104" s="146">
        <v>1533538</v>
      </c>
      <c r="E104" s="146">
        <f t="shared" si="4"/>
        <v>85496</v>
      </c>
      <c r="F104" s="150">
        <f t="shared" si="5"/>
        <v>5.904248633672228E-2</v>
      </c>
      <c r="G104" s="155"/>
    </row>
    <row r="105" spans="1:7" ht="15" customHeight="1" x14ac:dyDescent="0.2">
      <c r="A105" s="141">
        <v>3</v>
      </c>
      <c r="B105" s="161" t="s">
        <v>239</v>
      </c>
      <c r="C105" s="146">
        <v>2155951</v>
      </c>
      <c r="D105" s="146">
        <v>2260372</v>
      </c>
      <c r="E105" s="146">
        <f t="shared" si="4"/>
        <v>104421</v>
      </c>
      <c r="F105" s="150">
        <f t="shared" si="5"/>
        <v>4.843384659484376E-2</v>
      </c>
      <c r="G105" s="155"/>
    </row>
    <row r="106" spans="1:7" ht="15" customHeight="1" x14ac:dyDescent="0.2">
      <c r="A106" s="141">
        <v>4</v>
      </c>
      <c r="B106" s="161" t="s">
        <v>240</v>
      </c>
      <c r="C106" s="146">
        <v>778767</v>
      </c>
      <c r="D106" s="146">
        <v>751684</v>
      </c>
      <c r="E106" s="146">
        <f t="shared" si="4"/>
        <v>-27083</v>
      </c>
      <c r="F106" s="150">
        <f t="shared" si="5"/>
        <v>-3.477676891804609E-2</v>
      </c>
      <c r="G106" s="155"/>
    </row>
    <row r="107" spans="1:7" ht="15" customHeight="1" x14ac:dyDescent="0.2">
      <c r="A107" s="141">
        <v>5</v>
      </c>
      <c r="B107" s="161" t="s">
        <v>241</v>
      </c>
      <c r="C107" s="146">
        <v>3646517</v>
      </c>
      <c r="D107" s="146">
        <v>4122221</v>
      </c>
      <c r="E107" s="146">
        <f t="shared" si="4"/>
        <v>475704</v>
      </c>
      <c r="F107" s="150">
        <f t="shared" si="5"/>
        <v>0.13045434862911651</v>
      </c>
      <c r="G107" s="155"/>
    </row>
    <row r="108" spans="1:7" ht="15" customHeight="1" x14ac:dyDescent="0.2">
      <c r="A108" s="141">
        <v>6</v>
      </c>
      <c r="B108" s="161" t="s">
        <v>242</v>
      </c>
      <c r="C108" s="146">
        <v>222386</v>
      </c>
      <c r="D108" s="146">
        <v>226123</v>
      </c>
      <c r="E108" s="146">
        <f t="shared" si="4"/>
        <v>3737</v>
      </c>
      <c r="F108" s="150">
        <f t="shared" si="5"/>
        <v>1.6804115366974539E-2</v>
      </c>
      <c r="G108" s="155"/>
    </row>
    <row r="109" spans="1:7" ht="15" customHeight="1" x14ac:dyDescent="0.2">
      <c r="A109" s="141">
        <v>7</v>
      </c>
      <c r="B109" s="161" t="s">
        <v>243</v>
      </c>
      <c r="C109" s="146">
        <v>966644</v>
      </c>
      <c r="D109" s="146">
        <v>749526</v>
      </c>
      <c r="E109" s="146">
        <f t="shared" si="4"/>
        <v>-217118</v>
      </c>
      <c r="F109" s="150">
        <f t="shared" si="5"/>
        <v>-0.22461009430565959</v>
      </c>
      <c r="G109" s="155"/>
    </row>
    <row r="110" spans="1:7" ht="15" customHeight="1" x14ac:dyDescent="0.2">
      <c r="A110" s="141">
        <v>8</v>
      </c>
      <c r="B110" s="161" t="s">
        <v>244</v>
      </c>
      <c r="C110" s="146">
        <v>1281955</v>
      </c>
      <c r="D110" s="146">
        <v>1201673</v>
      </c>
      <c r="E110" s="146">
        <f t="shared" si="4"/>
        <v>-80282</v>
      </c>
      <c r="F110" s="150">
        <f t="shared" si="5"/>
        <v>-6.2624663112199733E-2</v>
      </c>
      <c r="G110" s="155"/>
    </row>
    <row r="111" spans="1:7" ht="15" customHeight="1" x14ac:dyDescent="0.2">
      <c r="A111" s="141">
        <v>9</v>
      </c>
      <c r="B111" s="161" t="s">
        <v>245</v>
      </c>
      <c r="C111" s="146">
        <v>670907</v>
      </c>
      <c r="D111" s="146">
        <v>664289</v>
      </c>
      <c r="E111" s="146">
        <f t="shared" si="4"/>
        <v>-6618</v>
      </c>
      <c r="F111" s="150">
        <f t="shared" si="5"/>
        <v>-9.8642583845451014E-3</v>
      </c>
      <c r="G111" s="155"/>
    </row>
    <row r="112" spans="1:7" ht="15" customHeight="1" x14ac:dyDescent="0.2">
      <c r="A112" s="141">
        <v>10</v>
      </c>
      <c r="B112" s="161" t="s">
        <v>246</v>
      </c>
      <c r="C112" s="146">
        <v>1630200</v>
      </c>
      <c r="D112" s="146">
        <v>1641499</v>
      </c>
      <c r="E112" s="146">
        <f t="shared" si="4"/>
        <v>11299</v>
      </c>
      <c r="F112" s="150">
        <f t="shared" si="5"/>
        <v>6.9310514047356154E-3</v>
      </c>
      <c r="G112" s="155"/>
    </row>
    <row r="113" spans="1:7" ht="15" customHeight="1" x14ac:dyDescent="0.2">
      <c r="A113" s="141">
        <v>11</v>
      </c>
      <c r="B113" s="161" t="s">
        <v>247</v>
      </c>
      <c r="C113" s="146">
        <v>1563822</v>
      </c>
      <c r="D113" s="146">
        <v>1580551</v>
      </c>
      <c r="E113" s="146">
        <f t="shared" si="4"/>
        <v>16729</v>
      </c>
      <c r="F113" s="150">
        <f t="shared" si="5"/>
        <v>1.0697509051541671E-2</v>
      </c>
      <c r="G113" s="155"/>
    </row>
    <row r="114" spans="1:7" ht="15" customHeight="1" x14ac:dyDescent="0.2">
      <c r="A114" s="141">
        <v>12</v>
      </c>
      <c r="B114" s="161" t="s">
        <v>248</v>
      </c>
      <c r="C114" s="146">
        <v>375593</v>
      </c>
      <c r="D114" s="146">
        <v>537804</v>
      </c>
      <c r="E114" s="146">
        <f t="shared" si="4"/>
        <v>162211</v>
      </c>
      <c r="F114" s="150">
        <f t="shared" si="5"/>
        <v>0.43187972086806731</v>
      </c>
      <c r="G114" s="155"/>
    </row>
    <row r="115" spans="1:7" ht="15" customHeight="1" x14ac:dyDescent="0.2">
      <c r="A115" s="141">
        <v>13</v>
      </c>
      <c r="B115" s="161" t="s">
        <v>249</v>
      </c>
      <c r="C115" s="146">
        <v>2287979</v>
      </c>
      <c r="D115" s="146">
        <v>5574</v>
      </c>
      <c r="E115" s="146">
        <f t="shared" si="4"/>
        <v>-2282405</v>
      </c>
      <c r="F115" s="150">
        <f t="shared" si="5"/>
        <v>-0.9975637888284814</v>
      </c>
      <c r="G115" s="155"/>
    </row>
    <row r="116" spans="1:7" ht="15" customHeight="1" x14ac:dyDescent="0.2">
      <c r="A116" s="141">
        <v>14</v>
      </c>
      <c r="B116" s="161" t="s">
        <v>250</v>
      </c>
      <c r="C116" s="146">
        <v>397058</v>
      </c>
      <c r="D116" s="146">
        <v>390234</v>
      </c>
      <c r="E116" s="146">
        <f t="shared" si="4"/>
        <v>-6824</v>
      </c>
      <c r="F116" s="150">
        <f t="shared" si="5"/>
        <v>-1.7186406016249517E-2</v>
      </c>
      <c r="G116" s="155"/>
    </row>
    <row r="117" spans="1:7" ht="15" customHeight="1" x14ac:dyDescent="0.2">
      <c r="A117" s="141">
        <v>15</v>
      </c>
      <c r="B117" s="161" t="s">
        <v>207</v>
      </c>
      <c r="C117" s="146">
        <v>2467271</v>
      </c>
      <c r="D117" s="146">
        <v>4808127</v>
      </c>
      <c r="E117" s="146">
        <f t="shared" si="4"/>
        <v>2340856</v>
      </c>
      <c r="F117" s="150">
        <f t="shared" si="5"/>
        <v>0.94876322868464791</v>
      </c>
      <c r="G117" s="155"/>
    </row>
    <row r="118" spans="1:7" ht="15" customHeight="1" x14ac:dyDescent="0.2">
      <c r="A118" s="141">
        <v>16</v>
      </c>
      <c r="B118" s="161" t="s">
        <v>251</v>
      </c>
      <c r="C118" s="146">
        <v>466471</v>
      </c>
      <c r="D118" s="146">
        <v>447642</v>
      </c>
      <c r="E118" s="146">
        <f t="shared" si="4"/>
        <v>-18829</v>
      </c>
      <c r="F118" s="150">
        <f t="shared" si="5"/>
        <v>-4.036478151910837E-2</v>
      </c>
      <c r="G118" s="155"/>
    </row>
    <row r="119" spans="1:7" ht="15" customHeight="1" x14ac:dyDescent="0.2">
      <c r="A119" s="141">
        <v>17</v>
      </c>
      <c r="B119" s="161" t="s">
        <v>252</v>
      </c>
      <c r="C119" s="146">
        <v>7671766</v>
      </c>
      <c r="D119" s="146">
        <v>8827328</v>
      </c>
      <c r="E119" s="146">
        <f t="shared" si="4"/>
        <v>1155562</v>
      </c>
      <c r="F119" s="150">
        <f t="shared" si="5"/>
        <v>0.15062529279438397</v>
      </c>
      <c r="G119" s="155"/>
    </row>
    <row r="120" spans="1:7" ht="15" customHeight="1" x14ac:dyDescent="0.2">
      <c r="A120" s="141">
        <v>18</v>
      </c>
      <c r="B120" s="161" t="s">
        <v>253</v>
      </c>
      <c r="C120" s="146">
        <v>1650244</v>
      </c>
      <c r="D120" s="146">
        <v>1440548</v>
      </c>
      <c r="E120" s="146">
        <f t="shared" si="4"/>
        <v>-209696</v>
      </c>
      <c r="F120" s="150">
        <f t="shared" si="5"/>
        <v>-0.12706969393616943</v>
      </c>
      <c r="G120" s="155"/>
    </row>
    <row r="121" spans="1:7" ht="15.75" customHeight="1" x14ac:dyDescent="0.25">
      <c r="A121" s="141"/>
      <c r="B121" s="154" t="s">
        <v>254</v>
      </c>
      <c r="C121" s="147">
        <f>SUM(C103:C120)</f>
        <v>32757742</v>
      </c>
      <c r="D121" s="147">
        <f>SUM(D103:D120)</f>
        <v>34463339</v>
      </c>
      <c r="E121" s="147">
        <f t="shared" si="4"/>
        <v>1705597</v>
      </c>
      <c r="F121" s="148">
        <f t="shared" si="5"/>
        <v>5.2066989232652239E-2</v>
      </c>
      <c r="G121" s="155"/>
    </row>
    <row r="122" spans="1:7" ht="15.75" customHeight="1" x14ac:dyDescent="0.25">
      <c r="A122" s="141"/>
      <c r="B122" s="162"/>
      <c r="C122" s="146"/>
      <c r="D122" s="146"/>
      <c r="E122" s="147"/>
      <c r="F122" s="160"/>
      <c r="G122" s="155"/>
    </row>
    <row r="123" spans="1:7" ht="15.75" customHeight="1" x14ac:dyDescent="0.25">
      <c r="A123" s="144" t="s">
        <v>124</v>
      </c>
      <c r="B123" s="145" t="s">
        <v>255</v>
      </c>
      <c r="C123" s="146"/>
      <c r="D123" s="146"/>
      <c r="E123" s="147"/>
      <c r="F123" s="160"/>
      <c r="G123" s="155"/>
    </row>
    <row r="124" spans="1:7" ht="15" customHeight="1" x14ac:dyDescent="0.2">
      <c r="A124" s="141">
        <v>1</v>
      </c>
      <c r="B124" s="161" t="s">
        <v>256</v>
      </c>
      <c r="C124" s="146">
        <v>2002193</v>
      </c>
      <c r="D124" s="146">
        <v>1885173</v>
      </c>
      <c r="E124" s="146">
        <f t="shared" ref="E124:E130" si="6">D124-C124</f>
        <v>-117020</v>
      </c>
      <c r="F124" s="150">
        <f t="shared" ref="F124:F130" si="7">IF(C124=0,0,E124/C124)</f>
        <v>-5.8445914055238433E-2</v>
      </c>
      <c r="G124" s="155"/>
    </row>
    <row r="125" spans="1:7" ht="15" customHeight="1" x14ac:dyDescent="0.2">
      <c r="A125" s="141">
        <v>2</v>
      </c>
      <c r="B125" s="161" t="s">
        <v>257</v>
      </c>
      <c r="C125" s="146">
        <v>0</v>
      </c>
      <c r="D125" s="146">
        <v>0</v>
      </c>
      <c r="E125" s="146">
        <f t="shared" si="6"/>
        <v>0</v>
      </c>
      <c r="F125" s="150">
        <f t="shared" si="7"/>
        <v>0</v>
      </c>
      <c r="G125" s="155"/>
    </row>
    <row r="126" spans="1:7" ht="15" customHeight="1" x14ac:dyDescent="0.2">
      <c r="A126" s="141">
        <v>3</v>
      </c>
      <c r="B126" s="161" t="s">
        <v>258</v>
      </c>
      <c r="C126" s="146">
        <v>1674165</v>
      </c>
      <c r="D126" s="146">
        <v>1668183</v>
      </c>
      <c r="E126" s="146">
        <f t="shared" si="6"/>
        <v>-5982</v>
      </c>
      <c r="F126" s="150">
        <f t="shared" si="7"/>
        <v>-3.5731245128168372E-3</v>
      </c>
      <c r="G126" s="155"/>
    </row>
    <row r="127" spans="1:7" ht="15" customHeight="1" x14ac:dyDescent="0.2">
      <c r="A127" s="141">
        <v>4</v>
      </c>
      <c r="B127" s="161" t="s">
        <v>259</v>
      </c>
      <c r="C127" s="146">
        <v>1862629</v>
      </c>
      <c r="D127" s="146">
        <v>1858801</v>
      </c>
      <c r="E127" s="146">
        <f t="shared" si="6"/>
        <v>-3828</v>
      </c>
      <c r="F127" s="150">
        <f t="shared" si="7"/>
        <v>-2.0551596694779262E-3</v>
      </c>
      <c r="G127" s="155"/>
    </row>
    <row r="128" spans="1:7" ht="15" customHeight="1" x14ac:dyDescent="0.2">
      <c r="A128" s="141">
        <v>5</v>
      </c>
      <c r="B128" s="161" t="s">
        <v>260</v>
      </c>
      <c r="C128" s="146">
        <v>893342</v>
      </c>
      <c r="D128" s="146">
        <v>1044000</v>
      </c>
      <c r="E128" s="146">
        <f t="shared" si="6"/>
        <v>150658</v>
      </c>
      <c r="F128" s="150">
        <f t="shared" si="7"/>
        <v>0.16864537881348912</v>
      </c>
      <c r="G128" s="155"/>
    </row>
    <row r="129" spans="1:7" ht="15" customHeight="1" x14ac:dyDescent="0.2">
      <c r="A129" s="141">
        <v>6</v>
      </c>
      <c r="B129" s="161" t="s">
        <v>261</v>
      </c>
      <c r="C129" s="146">
        <v>196355</v>
      </c>
      <c r="D129" s="146">
        <v>216754</v>
      </c>
      <c r="E129" s="146">
        <f t="shared" si="6"/>
        <v>20399</v>
      </c>
      <c r="F129" s="150">
        <f t="shared" si="7"/>
        <v>0.10388836546051794</v>
      </c>
      <c r="G129" s="155"/>
    </row>
    <row r="130" spans="1:7" ht="15.75" customHeight="1" x14ac:dyDescent="0.25">
      <c r="A130" s="141"/>
      <c r="B130" s="154" t="s">
        <v>262</v>
      </c>
      <c r="C130" s="147">
        <f>SUM(C124:C129)</f>
        <v>6628684</v>
      </c>
      <c r="D130" s="147">
        <f>SUM(D124:D129)</f>
        <v>6672911</v>
      </c>
      <c r="E130" s="147">
        <f t="shared" si="6"/>
        <v>44227</v>
      </c>
      <c r="F130" s="148">
        <f t="shared" si="7"/>
        <v>6.6720634140954678E-3</v>
      </c>
      <c r="G130" s="155"/>
    </row>
    <row r="131" spans="1:7" ht="15.75" customHeight="1" x14ac:dyDescent="0.25">
      <c r="A131" s="141"/>
      <c r="B131" s="162"/>
      <c r="C131" s="146"/>
      <c r="D131" s="146"/>
      <c r="E131" s="147"/>
      <c r="F131" s="160"/>
      <c r="G131" s="155"/>
    </row>
    <row r="132" spans="1:7" ht="15.75" customHeight="1" x14ac:dyDescent="0.25">
      <c r="A132" s="144" t="s">
        <v>141</v>
      </c>
      <c r="B132" s="145" t="s">
        <v>263</v>
      </c>
      <c r="C132" s="146"/>
      <c r="D132" s="146"/>
      <c r="E132" s="147"/>
      <c r="F132" s="160"/>
      <c r="G132" s="155"/>
    </row>
    <row r="133" spans="1:7" ht="15" customHeight="1" x14ac:dyDescent="0.2">
      <c r="A133" s="141">
        <v>1</v>
      </c>
      <c r="B133" s="161" t="s">
        <v>264</v>
      </c>
      <c r="C133" s="146">
        <v>8202012</v>
      </c>
      <c r="D133" s="146">
        <v>7969509</v>
      </c>
      <c r="E133" s="146">
        <f t="shared" ref="E133:E167" si="8">D133-C133</f>
        <v>-232503</v>
      </c>
      <c r="F133" s="150">
        <f t="shared" ref="F133:F167" si="9">IF(C133=0,0,E133/C133)</f>
        <v>-2.8347068987463076E-2</v>
      </c>
      <c r="G133" s="155"/>
    </row>
    <row r="134" spans="1:7" ht="15" customHeight="1" x14ac:dyDescent="0.2">
      <c r="A134" s="141">
        <v>2</v>
      </c>
      <c r="B134" s="161" t="s">
        <v>265</v>
      </c>
      <c r="C134" s="146">
        <v>784741</v>
      </c>
      <c r="D134" s="146">
        <v>728785</v>
      </c>
      <c r="E134" s="146">
        <f t="shared" si="8"/>
        <v>-55956</v>
      </c>
      <c r="F134" s="150">
        <f t="shared" si="9"/>
        <v>-7.1305054788777439E-2</v>
      </c>
      <c r="G134" s="155"/>
    </row>
    <row r="135" spans="1:7" ht="15" customHeight="1" x14ac:dyDescent="0.2">
      <c r="A135" s="141">
        <v>3</v>
      </c>
      <c r="B135" s="161" t="s">
        <v>266</v>
      </c>
      <c r="C135" s="146">
        <v>154701</v>
      </c>
      <c r="D135" s="146">
        <v>293016</v>
      </c>
      <c r="E135" s="146">
        <f t="shared" si="8"/>
        <v>138315</v>
      </c>
      <c r="F135" s="150">
        <f t="shared" si="9"/>
        <v>0.89407954699711056</v>
      </c>
      <c r="G135" s="155"/>
    </row>
    <row r="136" spans="1:7" ht="15" customHeight="1" x14ac:dyDescent="0.2">
      <c r="A136" s="141">
        <v>4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5</v>
      </c>
      <c r="B137" s="161" t="s">
        <v>268</v>
      </c>
      <c r="C137" s="146">
        <v>2769717</v>
      </c>
      <c r="D137" s="146">
        <v>3045284</v>
      </c>
      <c r="E137" s="146">
        <f t="shared" si="8"/>
        <v>275567</v>
      </c>
      <c r="F137" s="150">
        <f t="shared" si="9"/>
        <v>9.9492836271720175E-2</v>
      </c>
      <c r="G137" s="155"/>
    </row>
    <row r="138" spans="1:7" ht="15" customHeight="1" x14ac:dyDescent="0.2">
      <c r="A138" s="141">
        <v>6</v>
      </c>
      <c r="B138" s="161" t="s">
        <v>269</v>
      </c>
      <c r="C138" s="146">
        <v>457825</v>
      </c>
      <c r="D138" s="146">
        <v>457872</v>
      </c>
      <c r="E138" s="146">
        <f t="shared" si="8"/>
        <v>47</v>
      </c>
      <c r="F138" s="150">
        <f t="shared" si="9"/>
        <v>1.026593130562988E-4</v>
      </c>
      <c r="G138" s="155"/>
    </row>
    <row r="139" spans="1:7" ht="15" customHeight="1" x14ac:dyDescent="0.2">
      <c r="A139" s="141">
        <v>7</v>
      </c>
      <c r="B139" s="161" t="s">
        <v>270</v>
      </c>
      <c r="C139" s="146">
        <v>4295</v>
      </c>
      <c r="D139" s="146">
        <v>5321</v>
      </c>
      <c r="E139" s="146">
        <f t="shared" si="8"/>
        <v>1026</v>
      </c>
      <c r="F139" s="150">
        <f t="shared" si="9"/>
        <v>0.23888242142025612</v>
      </c>
      <c r="G139" s="155"/>
    </row>
    <row r="140" spans="1:7" ht="15" customHeight="1" x14ac:dyDescent="0.2">
      <c r="A140" s="141">
        <v>8</v>
      </c>
      <c r="B140" s="161" t="s">
        <v>271</v>
      </c>
      <c r="C140" s="146">
        <v>625172</v>
      </c>
      <c r="D140" s="146">
        <v>512257</v>
      </c>
      <c r="E140" s="146">
        <f t="shared" si="8"/>
        <v>-112915</v>
      </c>
      <c r="F140" s="150">
        <f t="shared" si="9"/>
        <v>-0.18061429494603085</v>
      </c>
      <c r="G140" s="155"/>
    </row>
    <row r="141" spans="1:7" ht="15" customHeight="1" x14ac:dyDescent="0.2">
      <c r="A141" s="141">
        <v>9</v>
      </c>
      <c r="B141" s="161" t="s">
        <v>272</v>
      </c>
      <c r="C141" s="146">
        <v>784817</v>
      </c>
      <c r="D141" s="146">
        <v>616758</v>
      </c>
      <c r="E141" s="146">
        <f t="shared" si="8"/>
        <v>-168059</v>
      </c>
      <c r="F141" s="150">
        <f t="shared" si="9"/>
        <v>-0.21413781811556071</v>
      </c>
      <c r="G141" s="155"/>
    </row>
    <row r="142" spans="1:7" ht="15" customHeight="1" x14ac:dyDescent="0.2">
      <c r="A142" s="141">
        <v>10</v>
      </c>
      <c r="B142" s="161" t="s">
        <v>273</v>
      </c>
      <c r="C142" s="146">
        <v>5029617</v>
      </c>
      <c r="D142" s="146">
        <v>7607400</v>
      </c>
      <c r="E142" s="146">
        <f t="shared" si="8"/>
        <v>2577783</v>
      </c>
      <c r="F142" s="150">
        <f t="shared" si="9"/>
        <v>0.51252073468019532</v>
      </c>
      <c r="G142" s="155"/>
    </row>
    <row r="143" spans="1:7" ht="15" customHeight="1" x14ac:dyDescent="0.2">
      <c r="A143" s="141">
        <v>11</v>
      </c>
      <c r="B143" s="161" t="s">
        <v>274</v>
      </c>
      <c r="C143" s="146">
        <v>0</v>
      </c>
      <c r="D143" s="146">
        <v>0</v>
      </c>
      <c r="E143" s="146">
        <f t="shared" si="8"/>
        <v>0</v>
      </c>
      <c r="F143" s="150">
        <f t="shared" si="9"/>
        <v>0</v>
      </c>
      <c r="G143" s="155"/>
    </row>
    <row r="144" spans="1:7" ht="15" customHeight="1" x14ac:dyDescent="0.2">
      <c r="A144" s="141">
        <v>12</v>
      </c>
      <c r="B144" s="161" t="s">
        <v>275</v>
      </c>
      <c r="C144" s="146">
        <v>660421</v>
      </c>
      <c r="D144" s="146">
        <v>617472</v>
      </c>
      <c r="E144" s="146">
        <f t="shared" si="8"/>
        <v>-42949</v>
      </c>
      <c r="F144" s="150">
        <f t="shared" si="9"/>
        <v>-6.5032759406499788E-2</v>
      </c>
      <c r="G144" s="155"/>
    </row>
    <row r="145" spans="1:7" ht="15" customHeight="1" x14ac:dyDescent="0.2">
      <c r="A145" s="141">
        <v>13</v>
      </c>
      <c r="B145" s="161" t="s">
        <v>276</v>
      </c>
      <c r="C145" s="146">
        <v>0</v>
      </c>
      <c r="D145" s="146">
        <v>0</v>
      </c>
      <c r="E145" s="146">
        <f t="shared" si="8"/>
        <v>0</v>
      </c>
      <c r="F145" s="150">
        <f t="shared" si="9"/>
        <v>0</v>
      </c>
      <c r="G145" s="155"/>
    </row>
    <row r="146" spans="1:7" ht="15" customHeight="1" x14ac:dyDescent="0.2">
      <c r="A146" s="141">
        <v>14</v>
      </c>
      <c r="B146" s="161" t="s">
        <v>277</v>
      </c>
      <c r="C146" s="146">
        <v>22971</v>
      </c>
      <c r="D146" s="146">
        <v>24368</v>
      </c>
      <c r="E146" s="146">
        <f t="shared" si="8"/>
        <v>1397</v>
      </c>
      <c r="F146" s="150">
        <f t="shared" si="9"/>
        <v>6.0815811240259456E-2</v>
      </c>
      <c r="G146" s="155"/>
    </row>
    <row r="147" spans="1:7" ht="15" customHeight="1" x14ac:dyDescent="0.2">
      <c r="A147" s="141">
        <v>15</v>
      </c>
      <c r="B147" s="161" t="s">
        <v>278</v>
      </c>
      <c r="C147" s="146">
        <v>197817</v>
      </c>
      <c r="D147" s="146">
        <v>232728</v>
      </c>
      <c r="E147" s="146">
        <f t="shared" si="8"/>
        <v>34911</v>
      </c>
      <c r="F147" s="150">
        <f t="shared" si="9"/>
        <v>0.17648129331655016</v>
      </c>
      <c r="G147" s="155"/>
    </row>
    <row r="148" spans="1:7" ht="15" customHeight="1" x14ac:dyDescent="0.2">
      <c r="A148" s="141">
        <v>16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17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18</v>
      </c>
      <c r="B150" s="161" t="s">
        <v>281</v>
      </c>
      <c r="C150" s="146">
        <v>917780</v>
      </c>
      <c r="D150" s="146">
        <v>875391</v>
      </c>
      <c r="E150" s="146">
        <f t="shared" si="8"/>
        <v>-42389</v>
      </c>
      <c r="F150" s="150">
        <f t="shared" si="9"/>
        <v>-4.6186449911743553E-2</v>
      </c>
      <c r="G150" s="155"/>
    </row>
    <row r="151" spans="1:7" ht="15" customHeight="1" x14ac:dyDescent="0.2">
      <c r="A151" s="141">
        <v>19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20</v>
      </c>
      <c r="B152" s="161" t="s">
        <v>283</v>
      </c>
      <c r="C152" s="146">
        <v>195514</v>
      </c>
      <c r="D152" s="146">
        <v>211999</v>
      </c>
      <c r="E152" s="146">
        <f t="shared" si="8"/>
        <v>16485</v>
      </c>
      <c r="F152" s="150">
        <f t="shared" si="9"/>
        <v>8.4316212649733518E-2</v>
      </c>
      <c r="G152" s="155"/>
    </row>
    <row r="153" spans="1:7" ht="15" customHeight="1" x14ac:dyDescent="0.2">
      <c r="A153" s="141">
        <v>21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22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" customHeight="1" x14ac:dyDescent="0.2">
      <c r="A155" s="141">
        <v>23</v>
      </c>
      <c r="B155" s="161" t="s">
        <v>286</v>
      </c>
      <c r="C155" s="146">
        <v>0</v>
      </c>
      <c r="D155" s="146">
        <v>0</v>
      </c>
      <c r="E155" s="146">
        <f t="shared" si="8"/>
        <v>0</v>
      </c>
      <c r="F155" s="150">
        <f t="shared" si="9"/>
        <v>0</v>
      </c>
      <c r="G155" s="155"/>
    </row>
    <row r="156" spans="1:7" ht="15" customHeight="1" x14ac:dyDescent="0.2">
      <c r="A156" s="141">
        <v>24</v>
      </c>
      <c r="B156" s="161" t="s">
        <v>287</v>
      </c>
      <c r="C156" s="146">
        <v>4140507</v>
      </c>
      <c r="D156" s="146">
        <v>4734167</v>
      </c>
      <c r="E156" s="146">
        <f t="shared" si="8"/>
        <v>593660</v>
      </c>
      <c r="F156" s="150">
        <f t="shared" si="9"/>
        <v>0.14337857658494479</v>
      </c>
      <c r="G156" s="155"/>
    </row>
    <row r="157" spans="1:7" ht="15" customHeight="1" x14ac:dyDescent="0.2">
      <c r="A157" s="141">
        <v>25</v>
      </c>
      <c r="B157" s="161" t="s">
        <v>288</v>
      </c>
      <c r="C157" s="146">
        <v>497498</v>
      </c>
      <c r="D157" s="146">
        <v>377606</v>
      </c>
      <c r="E157" s="146">
        <f t="shared" si="8"/>
        <v>-119892</v>
      </c>
      <c r="F157" s="150">
        <f t="shared" si="9"/>
        <v>-0.24098991352729057</v>
      </c>
      <c r="G157" s="155"/>
    </row>
    <row r="158" spans="1:7" ht="15" customHeight="1" x14ac:dyDescent="0.2">
      <c r="A158" s="141">
        <v>26</v>
      </c>
      <c r="B158" s="161" t="s">
        <v>289</v>
      </c>
      <c r="C158" s="146">
        <v>217493</v>
      </c>
      <c r="D158" s="146">
        <v>225182</v>
      </c>
      <c r="E158" s="146">
        <f t="shared" si="8"/>
        <v>7689</v>
      </c>
      <c r="F158" s="150">
        <f t="shared" si="9"/>
        <v>3.5352861931188591E-2</v>
      </c>
      <c r="G158" s="155"/>
    </row>
    <row r="159" spans="1:7" ht="15" customHeight="1" x14ac:dyDescent="0.2">
      <c r="A159" s="141">
        <v>27</v>
      </c>
      <c r="B159" s="161" t="s">
        <v>290</v>
      </c>
      <c r="C159" s="146">
        <v>0</v>
      </c>
      <c r="D159" s="146">
        <v>0</v>
      </c>
      <c r="E159" s="146">
        <f t="shared" si="8"/>
        <v>0</v>
      </c>
      <c r="F159" s="150">
        <f t="shared" si="9"/>
        <v>0</v>
      </c>
      <c r="G159" s="155"/>
    </row>
    <row r="160" spans="1:7" ht="15" customHeight="1" x14ac:dyDescent="0.2">
      <c r="A160" s="141">
        <v>28</v>
      </c>
      <c r="B160" s="161" t="s">
        <v>291</v>
      </c>
      <c r="C160" s="146">
        <v>1124651</v>
      </c>
      <c r="D160" s="146">
        <v>1127851</v>
      </c>
      <c r="E160" s="146">
        <f t="shared" si="8"/>
        <v>3200</v>
      </c>
      <c r="F160" s="150">
        <f t="shared" si="9"/>
        <v>2.8453271281490881E-3</v>
      </c>
      <c r="G160" s="155"/>
    </row>
    <row r="161" spans="1:7" ht="15" customHeight="1" x14ac:dyDescent="0.2">
      <c r="A161" s="141">
        <v>29</v>
      </c>
      <c r="B161" s="161" t="s">
        <v>292</v>
      </c>
      <c r="C161" s="146">
        <v>20058</v>
      </c>
      <c r="D161" s="146">
        <v>143310</v>
      </c>
      <c r="E161" s="146">
        <f t="shared" si="8"/>
        <v>123252</v>
      </c>
      <c r="F161" s="150">
        <f t="shared" si="9"/>
        <v>6.1447801376009572</v>
      </c>
      <c r="G161" s="155"/>
    </row>
    <row r="162" spans="1:7" ht="15" customHeight="1" x14ac:dyDescent="0.2">
      <c r="A162" s="141">
        <v>30</v>
      </c>
      <c r="B162" s="161" t="s">
        <v>293</v>
      </c>
      <c r="C162" s="146">
        <v>0</v>
      </c>
      <c r="D162" s="146">
        <v>0</v>
      </c>
      <c r="E162" s="146">
        <f t="shared" si="8"/>
        <v>0</v>
      </c>
      <c r="F162" s="150">
        <f t="shared" si="9"/>
        <v>0</v>
      </c>
      <c r="G162" s="155"/>
    </row>
    <row r="163" spans="1:7" ht="15" customHeight="1" x14ac:dyDescent="0.2">
      <c r="A163" s="141">
        <v>31</v>
      </c>
      <c r="B163" s="161" t="s">
        <v>294</v>
      </c>
      <c r="C163" s="146">
        <v>0</v>
      </c>
      <c r="D163" s="146">
        <v>0</v>
      </c>
      <c r="E163" s="146">
        <f t="shared" si="8"/>
        <v>0</v>
      </c>
      <c r="F163" s="150">
        <f t="shared" si="9"/>
        <v>0</v>
      </c>
      <c r="G163" s="155"/>
    </row>
    <row r="164" spans="1:7" ht="15" customHeight="1" x14ac:dyDescent="0.2">
      <c r="A164" s="141">
        <v>32</v>
      </c>
      <c r="B164" s="161" t="s">
        <v>295</v>
      </c>
      <c r="C164" s="146">
        <v>1526872</v>
      </c>
      <c r="D164" s="146">
        <v>1630184</v>
      </c>
      <c r="E164" s="146">
        <f t="shared" si="8"/>
        <v>103312</v>
      </c>
      <c r="F164" s="150">
        <f t="shared" si="9"/>
        <v>6.7662515259956299E-2</v>
      </c>
      <c r="G164" s="155"/>
    </row>
    <row r="165" spans="1:7" ht="15" customHeight="1" x14ac:dyDescent="0.2">
      <c r="A165" s="141">
        <v>33</v>
      </c>
      <c r="B165" s="161" t="s">
        <v>296</v>
      </c>
      <c r="C165" s="146">
        <v>0</v>
      </c>
      <c r="D165" s="146">
        <v>0</v>
      </c>
      <c r="E165" s="146">
        <f t="shared" si="8"/>
        <v>0</v>
      </c>
      <c r="F165" s="150">
        <f t="shared" si="9"/>
        <v>0</v>
      </c>
      <c r="G165" s="155"/>
    </row>
    <row r="166" spans="1:7" ht="15" customHeight="1" x14ac:dyDescent="0.2">
      <c r="A166" s="141">
        <v>34</v>
      </c>
      <c r="B166" s="161" t="s">
        <v>297</v>
      </c>
      <c r="C166" s="146">
        <v>2259202</v>
      </c>
      <c r="D166" s="146">
        <v>2177288</v>
      </c>
      <c r="E166" s="146">
        <f t="shared" si="8"/>
        <v>-81914</v>
      </c>
      <c r="F166" s="150">
        <f t="shared" si="9"/>
        <v>-3.6257935324065751E-2</v>
      </c>
      <c r="G166" s="155"/>
    </row>
    <row r="167" spans="1:7" ht="15.75" customHeight="1" x14ac:dyDescent="0.25">
      <c r="A167" s="141"/>
      <c r="B167" s="154" t="s">
        <v>298</v>
      </c>
      <c r="C167" s="147">
        <f>SUM(C133:C166)</f>
        <v>30593681</v>
      </c>
      <c r="D167" s="147">
        <f>SUM(D133:D166)</f>
        <v>33613748</v>
      </c>
      <c r="E167" s="147">
        <f t="shared" si="8"/>
        <v>3020067</v>
      </c>
      <c r="F167" s="148">
        <f t="shared" si="9"/>
        <v>9.8715385049612039E-2</v>
      </c>
      <c r="G167" s="155"/>
    </row>
    <row r="168" spans="1:7" ht="15.75" customHeight="1" x14ac:dyDescent="0.25">
      <c r="A168" s="141"/>
      <c r="B168" s="162"/>
      <c r="C168" s="146"/>
      <c r="D168" s="146"/>
      <c r="E168" s="147"/>
      <c r="F168" s="160"/>
      <c r="G168" s="155"/>
    </row>
    <row r="169" spans="1:7" ht="15.75" customHeight="1" x14ac:dyDescent="0.25">
      <c r="A169" s="144" t="s">
        <v>171</v>
      </c>
      <c r="B169" s="145" t="s">
        <v>299</v>
      </c>
      <c r="C169" s="146"/>
      <c r="D169" s="146"/>
      <c r="E169" s="147"/>
      <c r="F169" s="160"/>
      <c r="G169" s="155"/>
    </row>
    <row r="170" spans="1:7" ht="15" customHeight="1" x14ac:dyDescent="0.2">
      <c r="A170" s="141">
        <v>1</v>
      </c>
      <c r="B170" s="161" t="s">
        <v>300</v>
      </c>
      <c r="C170" s="146">
        <v>7647962</v>
      </c>
      <c r="D170" s="146">
        <v>7568545</v>
      </c>
      <c r="E170" s="146">
        <f t="shared" ref="E170:E183" si="10">D170-C170</f>
        <v>-79417</v>
      </c>
      <c r="F170" s="150">
        <f t="shared" ref="F170:F183" si="11">IF(C170=0,0,E170/C170)</f>
        <v>-1.0384073561034953E-2</v>
      </c>
      <c r="G170" s="155"/>
    </row>
    <row r="171" spans="1:7" ht="15" customHeight="1" x14ac:dyDescent="0.2">
      <c r="A171" s="141">
        <v>2</v>
      </c>
      <c r="B171" s="161" t="s">
        <v>301</v>
      </c>
      <c r="C171" s="146">
        <v>2775574</v>
      </c>
      <c r="D171" s="146">
        <v>2886011</v>
      </c>
      <c r="E171" s="146">
        <f t="shared" si="10"/>
        <v>110437</v>
      </c>
      <c r="F171" s="150">
        <f t="shared" si="11"/>
        <v>3.9788886911319966E-2</v>
      </c>
      <c r="G171" s="155"/>
    </row>
    <row r="172" spans="1:7" ht="15" customHeight="1" x14ac:dyDescent="0.2">
      <c r="A172" s="141">
        <v>3</v>
      </c>
      <c r="B172" s="161" t="s">
        <v>302</v>
      </c>
      <c r="C172" s="146">
        <v>0</v>
      </c>
      <c r="D172" s="146">
        <v>0</v>
      </c>
      <c r="E172" s="146">
        <f t="shared" si="10"/>
        <v>0</v>
      </c>
      <c r="F172" s="150">
        <f t="shared" si="11"/>
        <v>0</v>
      </c>
      <c r="G172" s="155"/>
    </row>
    <row r="173" spans="1:7" ht="15" customHeight="1" x14ac:dyDescent="0.2">
      <c r="A173" s="141">
        <v>4</v>
      </c>
      <c r="B173" s="161" t="s">
        <v>303</v>
      </c>
      <c r="C173" s="146">
        <v>2264898</v>
      </c>
      <c r="D173" s="146">
        <v>2300302</v>
      </c>
      <c r="E173" s="146">
        <f t="shared" si="10"/>
        <v>35404</v>
      </c>
      <c r="F173" s="150">
        <f t="shared" si="11"/>
        <v>1.5631609017271418E-2</v>
      </c>
      <c r="G173" s="155"/>
    </row>
    <row r="174" spans="1:7" ht="15" customHeight="1" x14ac:dyDescent="0.2">
      <c r="A174" s="141">
        <v>5</v>
      </c>
      <c r="B174" s="161" t="s">
        <v>304</v>
      </c>
      <c r="C174" s="146">
        <v>127658</v>
      </c>
      <c r="D174" s="146">
        <v>87805</v>
      </c>
      <c r="E174" s="146">
        <f t="shared" si="10"/>
        <v>-39853</v>
      </c>
      <c r="F174" s="150">
        <f t="shared" si="11"/>
        <v>-0.31218568362343135</v>
      </c>
      <c r="G174" s="155"/>
    </row>
    <row r="175" spans="1:7" ht="15" customHeight="1" x14ac:dyDescent="0.2">
      <c r="A175" s="141">
        <v>6</v>
      </c>
      <c r="B175" s="161" t="s">
        <v>305</v>
      </c>
      <c r="C175" s="146">
        <v>2625041</v>
      </c>
      <c r="D175" s="146">
        <v>2759236</v>
      </c>
      <c r="E175" s="146">
        <f t="shared" si="10"/>
        <v>134195</v>
      </c>
      <c r="F175" s="150">
        <f t="shared" si="11"/>
        <v>5.1121106298911138E-2</v>
      </c>
      <c r="G175" s="155"/>
    </row>
    <row r="176" spans="1:7" ht="15" customHeight="1" x14ac:dyDescent="0.2">
      <c r="A176" s="141">
        <v>7</v>
      </c>
      <c r="B176" s="161" t="s">
        <v>306</v>
      </c>
      <c r="C176" s="146">
        <v>0</v>
      </c>
      <c r="D176" s="146">
        <v>0</v>
      </c>
      <c r="E176" s="146">
        <f t="shared" si="10"/>
        <v>0</v>
      </c>
      <c r="F176" s="150">
        <f t="shared" si="11"/>
        <v>0</v>
      </c>
      <c r="G176" s="155"/>
    </row>
    <row r="177" spans="1:7" ht="15" customHeight="1" x14ac:dyDescent="0.2">
      <c r="A177" s="141">
        <v>8</v>
      </c>
      <c r="B177" s="161" t="s">
        <v>307</v>
      </c>
      <c r="C177" s="146">
        <v>0</v>
      </c>
      <c r="D177" s="146">
        <v>0</v>
      </c>
      <c r="E177" s="146">
        <f t="shared" si="10"/>
        <v>0</v>
      </c>
      <c r="F177" s="150">
        <f t="shared" si="11"/>
        <v>0</v>
      </c>
      <c r="G177" s="155"/>
    </row>
    <row r="178" spans="1:7" ht="15" customHeight="1" x14ac:dyDescent="0.2">
      <c r="A178" s="141">
        <v>9</v>
      </c>
      <c r="B178" s="161" t="s">
        <v>308</v>
      </c>
      <c r="C178" s="146">
        <v>0</v>
      </c>
      <c r="D178" s="146">
        <v>0</v>
      </c>
      <c r="E178" s="146">
        <f t="shared" si="10"/>
        <v>0</v>
      </c>
      <c r="F178" s="150">
        <f t="shared" si="11"/>
        <v>0</v>
      </c>
      <c r="G178" s="155"/>
    </row>
    <row r="179" spans="1:7" ht="15" customHeight="1" x14ac:dyDescent="0.2">
      <c r="A179" s="141">
        <v>10</v>
      </c>
      <c r="B179" s="161" t="s">
        <v>309</v>
      </c>
      <c r="C179" s="146">
        <v>833397</v>
      </c>
      <c r="D179" s="146">
        <v>782877</v>
      </c>
      <c r="E179" s="146">
        <f t="shared" si="10"/>
        <v>-50520</v>
      </c>
      <c r="F179" s="150">
        <f t="shared" si="11"/>
        <v>-6.0619368680232828E-2</v>
      </c>
      <c r="G179" s="155"/>
    </row>
    <row r="180" spans="1:7" ht="15" customHeight="1" x14ac:dyDescent="0.2">
      <c r="A180" s="141">
        <v>11</v>
      </c>
      <c r="B180" s="161" t="s">
        <v>310</v>
      </c>
      <c r="C180" s="146">
        <v>2950798</v>
      </c>
      <c r="D180" s="146">
        <v>3133305</v>
      </c>
      <c r="E180" s="146">
        <f t="shared" si="10"/>
        <v>182507</v>
      </c>
      <c r="F180" s="150">
        <f t="shared" si="11"/>
        <v>6.1850048698690999E-2</v>
      </c>
      <c r="G180" s="155"/>
    </row>
    <row r="181" spans="1:7" ht="15" customHeight="1" x14ac:dyDescent="0.2">
      <c r="A181" s="141">
        <v>12</v>
      </c>
      <c r="B181" s="161" t="s">
        <v>311</v>
      </c>
      <c r="C181" s="146">
        <v>2866639</v>
      </c>
      <c r="D181" s="146">
        <v>2951530</v>
      </c>
      <c r="E181" s="146">
        <f t="shared" si="10"/>
        <v>84891</v>
      </c>
      <c r="F181" s="150">
        <f t="shared" si="11"/>
        <v>2.9613425338872457E-2</v>
      </c>
      <c r="G181" s="155"/>
    </row>
    <row r="182" spans="1:7" ht="15" customHeight="1" x14ac:dyDescent="0.2">
      <c r="A182" s="141">
        <v>13</v>
      </c>
      <c r="B182" s="161" t="s">
        <v>312</v>
      </c>
      <c r="C182" s="146">
        <v>209340</v>
      </c>
      <c r="D182" s="146">
        <v>216781</v>
      </c>
      <c r="E182" s="146">
        <f t="shared" si="10"/>
        <v>7441</v>
      </c>
      <c r="F182" s="150">
        <f t="shared" si="11"/>
        <v>3.5545046336103947E-2</v>
      </c>
      <c r="G182" s="155"/>
    </row>
    <row r="183" spans="1:7" ht="15.75" customHeight="1" x14ac:dyDescent="0.25">
      <c r="A183" s="141"/>
      <c r="B183" s="154" t="s">
        <v>313</v>
      </c>
      <c r="C183" s="147">
        <f>SUM(C170:C182)</f>
        <v>22301307</v>
      </c>
      <c r="D183" s="147">
        <f>SUM(D170:D182)</f>
        <v>22686392</v>
      </c>
      <c r="E183" s="147">
        <f t="shared" si="10"/>
        <v>385085</v>
      </c>
      <c r="F183" s="148">
        <f t="shared" si="11"/>
        <v>1.7267373611779793E-2</v>
      </c>
      <c r="G183" s="155"/>
    </row>
    <row r="184" spans="1:7" ht="15.75" customHeight="1" x14ac:dyDescent="0.25">
      <c r="A184" s="141"/>
      <c r="B184" s="162"/>
      <c r="C184" s="146"/>
      <c r="D184" s="146"/>
      <c r="E184" s="147"/>
      <c r="F184" s="160"/>
      <c r="G184" s="155"/>
    </row>
    <row r="185" spans="1:7" ht="15.75" customHeight="1" x14ac:dyDescent="0.25">
      <c r="A185" s="144" t="s">
        <v>176</v>
      </c>
      <c r="B185" s="145" t="s">
        <v>314</v>
      </c>
      <c r="C185" s="146"/>
      <c r="D185" s="146"/>
      <c r="E185" s="147"/>
      <c r="F185" s="160"/>
      <c r="G185" s="155"/>
    </row>
    <row r="186" spans="1:7" ht="15" customHeight="1" x14ac:dyDescent="0.2">
      <c r="A186" s="141">
        <v>1</v>
      </c>
      <c r="B186" s="161" t="s">
        <v>315</v>
      </c>
      <c r="C186" s="146">
        <v>39613113</v>
      </c>
      <c r="D186" s="146">
        <v>37049913</v>
      </c>
      <c r="E186" s="146">
        <f>D186-C186</f>
        <v>-2563200</v>
      </c>
      <c r="F186" s="150">
        <f>IF(C186=0,0,E186/C186)</f>
        <v>-6.4705846268633321E-2</v>
      </c>
      <c r="G186" s="155"/>
    </row>
    <row r="187" spans="1:7" ht="15.75" customHeight="1" x14ac:dyDescent="0.25">
      <c r="A187" s="141"/>
      <c r="B187" s="162"/>
      <c r="C187" s="146"/>
      <c r="D187" s="146"/>
      <c r="E187" s="147"/>
      <c r="F187" s="160"/>
      <c r="G187" s="155"/>
    </row>
    <row r="188" spans="1:7" ht="15.75" customHeight="1" x14ac:dyDescent="0.25">
      <c r="A188" s="153"/>
      <c r="B188" s="154" t="s">
        <v>316</v>
      </c>
      <c r="C188" s="147">
        <f>+C186+C183+C167+C130+C121</f>
        <v>131894527</v>
      </c>
      <c r="D188" s="147">
        <f>+D186+D183+D167+D130+D121</f>
        <v>134486303</v>
      </c>
      <c r="E188" s="147">
        <f>D188-C188</f>
        <v>2591776</v>
      </c>
      <c r="F188" s="148">
        <f>IF(C188=0,0,E188/C188)</f>
        <v>1.9650368055074793E-2</v>
      </c>
      <c r="G188" s="155"/>
    </row>
    <row r="189" spans="1:7" ht="15.75" customHeight="1" x14ac:dyDescent="0.25">
      <c r="A189" s="153"/>
      <c r="B189" s="162"/>
      <c r="C189" s="146"/>
      <c r="D189" s="146"/>
      <c r="E189" s="147"/>
      <c r="F189" s="148"/>
      <c r="G189" s="155"/>
    </row>
    <row r="190" spans="1:7" ht="15.75" customHeight="1" x14ac:dyDescent="0.25">
      <c r="A190" s="153"/>
      <c r="B190" s="157" t="s">
        <v>317</v>
      </c>
      <c r="C190" s="146"/>
      <c r="D190" s="146"/>
      <c r="E190" s="147"/>
      <c r="F190" s="148"/>
      <c r="G190" s="155"/>
    </row>
    <row r="191" spans="1:7" ht="15" customHeight="1" x14ac:dyDescent="0.2">
      <c r="A191" s="153"/>
      <c r="B191" s="162"/>
      <c r="C191" s="163"/>
      <c r="D191" s="163"/>
      <c r="E191" s="163"/>
      <c r="F191" s="163"/>
      <c r="G191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FILING&amp;RBRISTOL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318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319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320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127394892</v>
      </c>
      <c r="D11" s="164">
        <v>125941019</v>
      </c>
      <c r="E11" s="51">
        <v>130360493</v>
      </c>
      <c r="F11" s="13"/>
    </row>
    <row r="12" spans="1:6" ht="24" customHeight="1" x14ac:dyDescent="0.25">
      <c r="A12" s="44">
        <v>2</v>
      </c>
      <c r="B12" s="165" t="s">
        <v>321</v>
      </c>
      <c r="C12" s="49">
        <v>4807086</v>
      </c>
      <c r="D12" s="49">
        <v>6100777</v>
      </c>
      <c r="E12" s="49">
        <v>5173982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132201978</v>
      </c>
      <c r="D13" s="51">
        <f>+D11+D12</f>
        <v>132041796</v>
      </c>
      <c r="E13" s="51">
        <f>+E11+E12</f>
        <v>135534475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130987633</v>
      </c>
      <c r="D14" s="49">
        <v>131894527</v>
      </c>
      <c r="E14" s="49">
        <v>134486303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1214345</v>
      </c>
      <c r="D15" s="51">
        <f>+D13-D14</f>
        <v>147269</v>
      </c>
      <c r="E15" s="51">
        <f>+E13-E14</f>
        <v>1048172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571472</v>
      </c>
      <c r="D16" s="49">
        <v>2043267</v>
      </c>
      <c r="E16" s="49">
        <v>1253154</v>
      </c>
      <c r="F16" s="13"/>
    </row>
    <row r="17" spans="1:6" ht="24" customHeight="1" x14ac:dyDescent="0.25">
      <c r="A17" s="44">
        <v>7</v>
      </c>
      <c r="B17" s="45" t="s">
        <v>322</v>
      </c>
      <c r="C17" s="51">
        <f>C15+C16</f>
        <v>1785817</v>
      </c>
      <c r="D17" s="51">
        <f>D15+D16</f>
        <v>2190536</v>
      </c>
      <c r="E17" s="51">
        <f>E15+E16</f>
        <v>2301326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323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324</v>
      </c>
      <c r="C20" s="169">
        <f>IF(+C27=0,0,+C24/+C27)</f>
        <v>9.14599266645553E-3</v>
      </c>
      <c r="D20" s="169">
        <f>IF(+D27=0,0,+D24/+D27)</f>
        <v>1.0983251728792491E-3</v>
      </c>
      <c r="E20" s="169">
        <f>IF(+E27=0,0,+E24/+E27)</f>
        <v>7.6627689774489771E-3</v>
      </c>
      <c r="F20" s="13"/>
    </row>
    <row r="21" spans="1:6" ht="24" customHeight="1" x14ac:dyDescent="0.25">
      <c r="A21" s="25">
        <v>2</v>
      </c>
      <c r="B21" s="48" t="s">
        <v>325</v>
      </c>
      <c r="C21" s="169">
        <f>IF(C27=0,0,+C26/C27)</f>
        <v>4.3041135106453889E-3</v>
      </c>
      <c r="D21" s="169">
        <f>IF(D27=0,0,+D26/D27)</f>
        <v>1.5238587761263162E-2</v>
      </c>
      <c r="E21" s="169">
        <f>IF(E27=0,0,+E26/E27)</f>
        <v>9.1613109252738061E-3</v>
      </c>
      <c r="F21" s="13"/>
    </row>
    <row r="22" spans="1:6" ht="24" customHeight="1" x14ac:dyDescent="0.25">
      <c r="A22" s="25">
        <v>3</v>
      </c>
      <c r="B22" s="48" t="s">
        <v>326</v>
      </c>
      <c r="C22" s="169">
        <f>IF(C27=0,0,+C28/C27)</f>
        <v>1.3450106177100919E-2</v>
      </c>
      <c r="D22" s="169">
        <f>IF(D27=0,0,+D28/D27)</f>
        <v>1.6336912934142411E-2</v>
      </c>
      <c r="E22" s="169">
        <f>IF(E27=0,0,+E28/E27)</f>
        <v>1.6824079902722781E-2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1214345</v>
      </c>
      <c r="D24" s="51">
        <f>+D15</f>
        <v>147269</v>
      </c>
      <c r="E24" s="51">
        <f>+E15</f>
        <v>1048172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132201978</v>
      </c>
      <c r="D25" s="51">
        <f>+D13</f>
        <v>132041796</v>
      </c>
      <c r="E25" s="51">
        <f>+E13</f>
        <v>135534475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571472</v>
      </c>
      <c r="D26" s="51">
        <f>+D16</f>
        <v>2043267</v>
      </c>
      <c r="E26" s="51">
        <f>+E16</f>
        <v>1253154</v>
      </c>
      <c r="F26" s="13"/>
    </row>
    <row r="27" spans="1:6" ht="24" customHeight="1" x14ac:dyDescent="0.25">
      <c r="A27" s="21">
        <v>7</v>
      </c>
      <c r="B27" s="48" t="s">
        <v>327</v>
      </c>
      <c r="C27" s="51">
        <f>+C25+C26</f>
        <v>132773450</v>
      </c>
      <c r="D27" s="51">
        <f>+D25+D26</f>
        <v>134085063</v>
      </c>
      <c r="E27" s="51">
        <f>+E25+E26</f>
        <v>136787629</v>
      </c>
      <c r="F27" s="13"/>
    </row>
    <row r="28" spans="1:6" ht="24" customHeight="1" x14ac:dyDescent="0.25">
      <c r="A28" s="21">
        <v>8</v>
      </c>
      <c r="B28" s="45" t="s">
        <v>322</v>
      </c>
      <c r="C28" s="51">
        <f>+C17</f>
        <v>1785817</v>
      </c>
      <c r="D28" s="51">
        <f>+D17</f>
        <v>2190536</v>
      </c>
      <c r="E28" s="51">
        <f>+E17</f>
        <v>2301326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328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329</v>
      </c>
      <c r="C31" s="51">
        <v>755592</v>
      </c>
      <c r="D31" s="51">
        <v>427122</v>
      </c>
      <c r="E31" s="51">
        <v>-376115</v>
      </c>
      <c r="F31" s="13"/>
    </row>
    <row r="32" spans="1:6" ht="24" customHeight="1" x14ac:dyDescent="0.25">
      <c r="A32" s="25">
        <v>2</v>
      </c>
      <c r="B32" s="48" t="s">
        <v>330</v>
      </c>
      <c r="C32" s="51">
        <v>8220533</v>
      </c>
      <c r="D32" s="51">
        <v>8015688</v>
      </c>
      <c r="E32" s="51">
        <v>10631335</v>
      </c>
      <c r="F32" s="13"/>
    </row>
    <row r="33" spans="1:6" ht="24" customHeight="1" x14ac:dyDescent="0.2">
      <c r="A33" s="25">
        <v>3</v>
      </c>
      <c r="B33" s="48" t="s">
        <v>331</v>
      </c>
      <c r="C33" s="51">
        <v>981273</v>
      </c>
      <c r="D33" s="51">
        <f>+D32-C32</f>
        <v>-204845</v>
      </c>
      <c r="E33" s="51">
        <f>+E32-D32</f>
        <v>2615647</v>
      </c>
      <c r="F33" s="5"/>
    </row>
    <row r="34" spans="1:6" ht="24" customHeight="1" x14ac:dyDescent="0.2">
      <c r="A34" s="25">
        <v>4</v>
      </c>
      <c r="B34" s="48" t="s">
        <v>332</v>
      </c>
      <c r="C34" s="171">
        <v>1.1355</v>
      </c>
      <c r="D34" s="171">
        <f>IF(C32=0,0,+D33/C32)</f>
        <v>-2.4918700527082612E-2</v>
      </c>
      <c r="E34" s="171">
        <f>IF(D32=0,0,+E33/D32)</f>
        <v>0.3263159693840379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333</v>
      </c>
      <c r="B36" s="41" t="s">
        <v>334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335</v>
      </c>
      <c r="C38" s="172">
        <f>IF((C40+C41)=0,0,+C39/(C40+C41))</f>
        <v>0.35794415721571854</v>
      </c>
      <c r="D38" s="172">
        <f>IF((D40+D41)=0,0,+D39/(D40+D41))</f>
        <v>0.37561135919576399</v>
      </c>
      <c r="E38" s="172">
        <f>IF((E40+E41)=0,0,+E39/(E40+E41))</f>
        <v>0.34387820028609645</v>
      </c>
      <c r="F38" s="5"/>
    </row>
    <row r="39" spans="1:6" ht="24" customHeight="1" x14ac:dyDescent="0.2">
      <c r="A39" s="21">
        <v>2</v>
      </c>
      <c r="B39" s="48" t="s">
        <v>336</v>
      </c>
      <c r="C39" s="51">
        <v>130987633</v>
      </c>
      <c r="D39" s="51">
        <v>131894527</v>
      </c>
      <c r="E39" s="23">
        <v>134486303</v>
      </c>
      <c r="F39" s="5"/>
    </row>
    <row r="40" spans="1:6" ht="24" customHeight="1" x14ac:dyDescent="0.2">
      <c r="A40" s="21">
        <v>3</v>
      </c>
      <c r="B40" s="48" t="s">
        <v>337</v>
      </c>
      <c r="C40" s="51">
        <v>361761243</v>
      </c>
      <c r="D40" s="51">
        <v>345045491</v>
      </c>
      <c r="E40" s="23">
        <v>385913045</v>
      </c>
      <c r="F40" s="5"/>
    </row>
    <row r="41" spans="1:6" ht="24" customHeight="1" x14ac:dyDescent="0.2">
      <c r="A41" s="21">
        <v>4</v>
      </c>
      <c r="B41" s="48" t="s">
        <v>338</v>
      </c>
      <c r="C41" s="51">
        <v>4183082</v>
      </c>
      <c r="D41" s="51">
        <v>6100777</v>
      </c>
      <c r="E41" s="23">
        <v>5173982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339</v>
      </c>
      <c r="C43" s="173">
        <f>IF(C38=0,0,IF((C46-C47)=0,0,((+C44-C45)/(C46-C47)/C38)))</f>
        <v>1.162906341578507</v>
      </c>
      <c r="D43" s="173">
        <f>IF(D38=0,0,IF((D46-D47)=0,0,((+D44-D45)/(D46-D47)/D38)))</f>
        <v>1.073676742829031</v>
      </c>
      <c r="E43" s="173">
        <f>IF(E38=0,0,IF((E46-E47)=0,0,((+E44-E45)/(E46-E47)/E38)))</f>
        <v>1.2544535833334873</v>
      </c>
      <c r="F43" s="5"/>
    </row>
    <row r="44" spans="1:6" ht="24" customHeight="1" x14ac:dyDescent="0.2">
      <c r="A44" s="21">
        <v>6</v>
      </c>
      <c r="B44" s="48" t="s">
        <v>340</v>
      </c>
      <c r="C44" s="51">
        <v>55032662</v>
      </c>
      <c r="D44" s="51">
        <v>50073303</v>
      </c>
      <c r="E44" s="23">
        <v>58148995</v>
      </c>
      <c r="F44" s="5"/>
    </row>
    <row r="45" spans="1:6" ht="24" customHeight="1" x14ac:dyDescent="0.2">
      <c r="A45" s="21">
        <v>7</v>
      </c>
      <c r="B45" s="48" t="s">
        <v>341</v>
      </c>
      <c r="C45" s="51">
        <v>407450</v>
      </c>
      <c r="D45" s="51">
        <v>288037</v>
      </c>
      <c r="E45" s="23">
        <v>49804</v>
      </c>
      <c r="F45" s="5"/>
    </row>
    <row r="46" spans="1:6" ht="24" customHeight="1" x14ac:dyDescent="0.2">
      <c r="A46" s="21">
        <v>8</v>
      </c>
      <c r="B46" s="48" t="s">
        <v>342</v>
      </c>
      <c r="C46" s="51">
        <v>137745436</v>
      </c>
      <c r="D46" s="51">
        <v>129411845</v>
      </c>
      <c r="E46" s="23">
        <v>142039704</v>
      </c>
      <c r="F46" s="5"/>
    </row>
    <row r="47" spans="1:6" ht="24" customHeight="1" x14ac:dyDescent="0.2">
      <c r="A47" s="21">
        <v>9</v>
      </c>
      <c r="B47" s="48" t="s">
        <v>343</v>
      </c>
      <c r="C47" s="51">
        <v>6515439</v>
      </c>
      <c r="D47" s="51">
        <v>5962563</v>
      </c>
      <c r="E47" s="174">
        <v>7357305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344</v>
      </c>
      <c r="C49" s="175">
        <f>IF(C38=0,0,IF(C51=0,0,(C50/C51)/C38))</f>
        <v>0.85020578514564438</v>
      </c>
      <c r="D49" s="175">
        <f>IF(D38=0,0,IF(D51=0,0,(D50/D51)/D38))</f>
        <v>0.84960788712379798</v>
      </c>
      <c r="E49" s="175">
        <f>IF(E38=0,0,IF(E51=0,0,(E50/E51)/E38))</f>
        <v>0.83898112177577444</v>
      </c>
      <c r="F49" s="7"/>
    </row>
    <row r="50" spans="1:6" ht="24" customHeight="1" x14ac:dyDescent="0.25">
      <c r="A50" s="21">
        <v>11</v>
      </c>
      <c r="B50" s="48" t="s">
        <v>345</v>
      </c>
      <c r="C50" s="176">
        <v>49143622</v>
      </c>
      <c r="D50" s="176">
        <v>47069698</v>
      </c>
      <c r="E50" s="176">
        <v>49410291</v>
      </c>
      <c r="F50" s="11"/>
    </row>
    <row r="51" spans="1:6" ht="24" customHeight="1" x14ac:dyDescent="0.25">
      <c r="A51" s="21">
        <v>12</v>
      </c>
      <c r="B51" s="48" t="s">
        <v>346</v>
      </c>
      <c r="C51" s="176">
        <v>161483379</v>
      </c>
      <c r="D51" s="176">
        <v>147497330</v>
      </c>
      <c r="E51" s="176">
        <v>171261829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347</v>
      </c>
      <c r="C53" s="175">
        <f>IF(C38=0,0,IF(C55=0,0,(C54/C55)/C38))</f>
        <v>0.71254534803892755</v>
      </c>
      <c r="D53" s="175">
        <f>IF(D38=0,0,IF(D55=0,0,(D54/D55)/D38))</f>
        <v>0.72370918543653406</v>
      </c>
      <c r="E53" s="175">
        <f>IF(E38=0,0,IF(E55=0,0,(E54/E55)/E38))</f>
        <v>0.66141997292193244</v>
      </c>
      <c r="F53" s="13"/>
    </row>
    <row r="54" spans="1:6" ht="24" customHeight="1" x14ac:dyDescent="0.25">
      <c r="A54" s="21">
        <v>14</v>
      </c>
      <c r="B54" s="48" t="s">
        <v>348</v>
      </c>
      <c r="C54" s="176">
        <v>12487258</v>
      </c>
      <c r="D54" s="176">
        <v>18244907</v>
      </c>
      <c r="E54" s="176">
        <v>16331851</v>
      </c>
      <c r="F54" s="13"/>
    </row>
    <row r="55" spans="1:6" ht="24" customHeight="1" x14ac:dyDescent="0.25">
      <c r="A55" s="21">
        <v>15</v>
      </c>
      <c r="B55" s="48" t="s">
        <v>349</v>
      </c>
      <c r="C55" s="176">
        <v>48959762</v>
      </c>
      <c r="D55" s="176">
        <v>67117976</v>
      </c>
      <c r="E55" s="176">
        <v>71804797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350</v>
      </c>
      <c r="C57" s="53">
        <f>+C60*C38</f>
        <v>4010209.826102599</v>
      </c>
      <c r="D57" s="53">
        <f>+D60*D38</f>
        <v>3782697.4859047201</v>
      </c>
      <c r="E57" s="53">
        <f>+E60*E38</f>
        <v>3525524.9350049319</v>
      </c>
      <c r="F57" s="13"/>
    </row>
    <row r="58" spans="1:6" ht="24" customHeight="1" x14ac:dyDescent="0.25">
      <c r="A58" s="21">
        <v>17</v>
      </c>
      <c r="B58" s="48" t="s">
        <v>351</v>
      </c>
      <c r="C58" s="51">
        <v>259103</v>
      </c>
      <c r="D58" s="51">
        <v>223751</v>
      </c>
      <c r="E58" s="52">
        <v>3781958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10944348</v>
      </c>
      <c r="D59" s="51">
        <v>9847024</v>
      </c>
      <c r="E59" s="52">
        <v>6470291</v>
      </c>
      <c r="F59" s="28"/>
    </row>
    <row r="60" spans="1:6" ht="24" customHeight="1" x14ac:dyDescent="0.25">
      <c r="A60" s="21">
        <v>19</v>
      </c>
      <c r="B60" s="48" t="s">
        <v>352</v>
      </c>
      <c r="C60" s="51">
        <v>11203451</v>
      </c>
      <c r="D60" s="51">
        <v>10070775</v>
      </c>
      <c r="E60" s="52">
        <v>10252249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353</v>
      </c>
      <c r="C62" s="178">
        <f>IF(C63=0,0,+C57/C63)</f>
        <v>3.0615178961991008E-2</v>
      </c>
      <c r="D62" s="178">
        <f>IF(D63=0,0,+D57/D63)</f>
        <v>2.8679715314530983E-2</v>
      </c>
      <c r="E62" s="178">
        <f>IF(E63=0,0,+E57/E63)</f>
        <v>2.6214750917830879E-2</v>
      </c>
      <c r="F62" s="13"/>
    </row>
    <row r="63" spans="1:6" ht="24" customHeight="1" x14ac:dyDescent="0.25">
      <c r="A63" s="21">
        <v>21</v>
      </c>
      <c r="B63" s="45" t="s">
        <v>336</v>
      </c>
      <c r="C63" s="176">
        <v>130987633</v>
      </c>
      <c r="D63" s="176">
        <v>131894527</v>
      </c>
      <c r="E63" s="176">
        <v>134486303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354</v>
      </c>
      <c r="B65" s="41" t="s">
        <v>355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356</v>
      </c>
      <c r="C67" s="179">
        <f>IF(C69=0,0,C68/C69)</f>
        <v>1.3736187548958319</v>
      </c>
      <c r="D67" s="179">
        <f>IF(D69=0,0,D68/D69)</f>
        <v>1.1885794800870639</v>
      </c>
      <c r="E67" s="179">
        <f>IF(E69=0,0,E68/E69)</f>
        <v>1.456965131812562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29386098</v>
      </c>
      <c r="D68" s="180">
        <v>32740835</v>
      </c>
      <c r="E68" s="180">
        <v>39003484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21393198</v>
      </c>
      <c r="D69" s="180">
        <v>27546189</v>
      </c>
      <c r="E69" s="180">
        <v>26770362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357</v>
      </c>
      <c r="C71" s="181">
        <f>IF((C77/365)=0,0,+C74/(C77/365))</f>
        <v>24.332681587563567</v>
      </c>
      <c r="D71" s="181">
        <f>IF((D77/365)=0,0,+D74/(D77/365))</f>
        <v>12.638835104343295</v>
      </c>
      <c r="E71" s="181">
        <f>IF((E77/365)=0,0,+E74/(E77/365))</f>
        <v>26.977640168966545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8286702</v>
      </c>
      <c r="D72" s="182">
        <v>4272881</v>
      </c>
      <c r="E72" s="182">
        <v>9376449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96165</v>
      </c>
      <c r="D73" s="184">
        <v>96343</v>
      </c>
      <c r="E73" s="184">
        <v>96452</v>
      </c>
      <c r="F73" s="28"/>
    </row>
    <row r="74" spans="1:6" ht="24" customHeight="1" x14ac:dyDescent="0.25">
      <c r="A74" s="21">
        <v>7</v>
      </c>
      <c r="B74" s="48" t="s">
        <v>358</v>
      </c>
      <c r="C74" s="180">
        <f>+C72+C73</f>
        <v>8382867</v>
      </c>
      <c r="D74" s="180">
        <f>+D72+D73</f>
        <v>4369224</v>
      </c>
      <c r="E74" s="180">
        <f>+E72+E73</f>
        <v>9472901</v>
      </c>
      <c r="F74" s="28"/>
    </row>
    <row r="75" spans="1:6" ht="24" customHeight="1" x14ac:dyDescent="0.25">
      <c r="A75" s="21">
        <v>8</v>
      </c>
      <c r="B75" s="48" t="s">
        <v>336</v>
      </c>
      <c r="C75" s="180">
        <f>+C14</f>
        <v>130987633</v>
      </c>
      <c r="D75" s="180">
        <f>+D14</f>
        <v>131894527</v>
      </c>
      <c r="E75" s="180">
        <f>+E14</f>
        <v>134486303</v>
      </c>
      <c r="F75" s="28"/>
    </row>
    <row r="76" spans="1:6" ht="24" customHeight="1" x14ac:dyDescent="0.25">
      <c r="A76" s="21">
        <v>9</v>
      </c>
      <c r="B76" s="45" t="s">
        <v>359</v>
      </c>
      <c r="C76" s="180">
        <v>5241260</v>
      </c>
      <c r="D76" s="180">
        <v>5714642</v>
      </c>
      <c r="E76" s="180">
        <v>6320576</v>
      </c>
      <c r="F76" s="28"/>
    </row>
    <row r="77" spans="1:6" ht="24" customHeight="1" x14ac:dyDescent="0.25">
      <c r="A77" s="21">
        <v>10</v>
      </c>
      <c r="B77" s="45" t="s">
        <v>360</v>
      </c>
      <c r="C77" s="180">
        <f>+C75-C76</f>
        <v>125746373</v>
      </c>
      <c r="D77" s="180">
        <f>+D75-D76</f>
        <v>126179885</v>
      </c>
      <c r="E77" s="180">
        <f>+E75-E76</f>
        <v>128165727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361</v>
      </c>
      <c r="C79" s="179">
        <f>IF((C84/365)=0,0,+C83/(C84/365))</f>
        <v>43.422427486339089</v>
      </c>
      <c r="D79" s="179">
        <f>IF((D84/365)=0,0,+D83/(D84/365))</f>
        <v>66.101057908702487</v>
      </c>
      <c r="E79" s="179">
        <f>IF((E84/365)=0,0,+E83/(E84/365))</f>
        <v>51.872077301824866</v>
      </c>
      <c r="F79" s="28"/>
    </row>
    <row r="80" spans="1:6" ht="24" customHeight="1" x14ac:dyDescent="0.25">
      <c r="A80" s="21">
        <v>12</v>
      </c>
      <c r="B80" s="188" t="s">
        <v>362</v>
      </c>
      <c r="C80" s="189">
        <v>15483112</v>
      </c>
      <c r="D80" s="189">
        <v>20427829</v>
      </c>
      <c r="E80" s="189">
        <v>16562143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2379937</v>
      </c>
      <c r="E81" s="190">
        <v>1964075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327508</v>
      </c>
      <c r="D82" s="190">
        <v>0</v>
      </c>
      <c r="E82" s="190">
        <v>0</v>
      </c>
      <c r="F82" s="28"/>
    </row>
    <row r="83" spans="1:6" ht="33.950000000000003" customHeight="1" x14ac:dyDescent="0.25">
      <c r="A83" s="21">
        <v>15</v>
      </c>
      <c r="B83" s="45" t="s">
        <v>363</v>
      </c>
      <c r="C83" s="191">
        <f>+C80+C81-C82</f>
        <v>15155604</v>
      </c>
      <c r="D83" s="191">
        <f>+D80+D81-D82</f>
        <v>22807766</v>
      </c>
      <c r="E83" s="191">
        <f>+E80+E81-E82</f>
        <v>18526218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127394892</v>
      </c>
      <c r="D84" s="191">
        <f>+D11</f>
        <v>125941019</v>
      </c>
      <c r="E84" s="191">
        <f>+E11</f>
        <v>130360493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364</v>
      </c>
      <c r="C86" s="179">
        <f>IF((C90/365)=0,0,+C87/(C90/365))</f>
        <v>62.09735584182615</v>
      </c>
      <c r="D86" s="179">
        <f>IF((D90/365)=0,0,+D87/(D90/365))</f>
        <v>79.682740121375133</v>
      </c>
      <c r="E86" s="179">
        <f>IF((E90/365)=0,0,+E87/(E90/365))</f>
        <v>76.238650992866454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21393198</v>
      </c>
      <c r="D87" s="51">
        <f>+D69</f>
        <v>27546189</v>
      </c>
      <c r="E87" s="51">
        <f>+E69</f>
        <v>26770362</v>
      </c>
      <c r="F87" s="28"/>
    </row>
    <row r="88" spans="1:6" ht="24" customHeight="1" x14ac:dyDescent="0.25">
      <c r="A88" s="21">
        <v>19</v>
      </c>
      <c r="B88" s="48" t="s">
        <v>336</v>
      </c>
      <c r="C88" s="51">
        <f t="shared" ref="C88:E89" si="0">+C75</f>
        <v>130987633</v>
      </c>
      <c r="D88" s="51">
        <f t="shared" si="0"/>
        <v>131894527</v>
      </c>
      <c r="E88" s="51">
        <f t="shared" si="0"/>
        <v>134486303</v>
      </c>
      <c r="F88" s="28"/>
    </row>
    <row r="89" spans="1:6" ht="24" customHeight="1" x14ac:dyDescent="0.25">
      <c r="A89" s="21">
        <v>20</v>
      </c>
      <c r="B89" s="48" t="s">
        <v>359</v>
      </c>
      <c r="C89" s="52">
        <f t="shared" si="0"/>
        <v>5241260</v>
      </c>
      <c r="D89" s="52">
        <f t="shared" si="0"/>
        <v>5714642</v>
      </c>
      <c r="E89" s="52">
        <f t="shared" si="0"/>
        <v>6320576</v>
      </c>
      <c r="F89" s="28"/>
    </row>
    <row r="90" spans="1:6" ht="24" customHeight="1" x14ac:dyDescent="0.25">
      <c r="A90" s="21">
        <v>21</v>
      </c>
      <c r="B90" s="48" t="s">
        <v>365</v>
      </c>
      <c r="C90" s="51">
        <f>+C88-C89</f>
        <v>125746373</v>
      </c>
      <c r="D90" s="51">
        <f>+D88-D89</f>
        <v>126179885</v>
      </c>
      <c r="E90" s="51">
        <f>+E88-E89</f>
        <v>128165727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366</v>
      </c>
      <c r="B92" s="41" t="s">
        <v>367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368</v>
      </c>
      <c r="C94" s="192">
        <f>IF(C96=0,0,(C95/C96)*100)</f>
        <v>8.4187276977067356</v>
      </c>
      <c r="D94" s="192">
        <f>IF(D96=0,0,(D95/D96)*100)</f>
        <v>7.7727325130201974</v>
      </c>
      <c r="E94" s="192">
        <f>IF(E96=0,0,(E95/E96)*100)</f>
        <v>9.4371539527060726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8220533</v>
      </c>
      <c r="D95" s="51">
        <f>+D32</f>
        <v>8015688</v>
      </c>
      <c r="E95" s="51">
        <f>+E32</f>
        <v>10631335</v>
      </c>
      <c r="F95" s="28"/>
    </row>
    <row r="96" spans="1:6" ht="24" customHeight="1" x14ac:dyDescent="0.25">
      <c r="A96" s="21">
        <v>3</v>
      </c>
      <c r="B96" s="48" t="s">
        <v>43</v>
      </c>
      <c r="C96" s="51">
        <v>97645788</v>
      </c>
      <c r="D96" s="51">
        <v>103125741</v>
      </c>
      <c r="E96" s="51">
        <v>112654038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369</v>
      </c>
      <c r="C98" s="192">
        <f>IF(C104=0,0,(C101/C104)*100)</f>
        <v>14.415680231508324</v>
      </c>
      <c r="D98" s="192">
        <f>IF(D104=0,0,(D101/D104)*100)</f>
        <v>14.613175404418611</v>
      </c>
      <c r="E98" s="192">
        <f>IF(E104=0,0,(E101/E104)*100)</f>
        <v>16.332314512655774</v>
      </c>
      <c r="F98" s="28"/>
    </row>
    <row r="99" spans="1:6" ht="24" customHeight="1" x14ac:dyDescent="0.25">
      <c r="A99" s="21">
        <v>5</v>
      </c>
      <c r="B99" s="48" t="s">
        <v>370</v>
      </c>
      <c r="C99" s="51">
        <f>+C28</f>
        <v>1785817</v>
      </c>
      <c r="D99" s="51">
        <f>+D28</f>
        <v>2190536</v>
      </c>
      <c r="E99" s="51">
        <f>+E28</f>
        <v>2301326</v>
      </c>
      <c r="F99" s="28"/>
    </row>
    <row r="100" spans="1:6" ht="24" customHeight="1" x14ac:dyDescent="0.25">
      <c r="A100" s="21">
        <v>6</v>
      </c>
      <c r="B100" s="48" t="s">
        <v>359</v>
      </c>
      <c r="C100" s="52">
        <f>+C76</f>
        <v>5241260</v>
      </c>
      <c r="D100" s="52">
        <f>+D76</f>
        <v>5714642</v>
      </c>
      <c r="E100" s="52">
        <f>+E76</f>
        <v>6320576</v>
      </c>
      <c r="F100" s="28"/>
    </row>
    <row r="101" spans="1:6" ht="24" customHeight="1" x14ac:dyDescent="0.25">
      <c r="A101" s="21">
        <v>7</v>
      </c>
      <c r="B101" s="48" t="s">
        <v>371</v>
      </c>
      <c r="C101" s="51">
        <f>+C99+C100</f>
        <v>7027077</v>
      </c>
      <c r="D101" s="51">
        <f>+D99+D100</f>
        <v>7905178</v>
      </c>
      <c r="E101" s="51">
        <f>+E99+E100</f>
        <v>8621902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21393198</v>
      </c>
      <c r="D102" s="180">
        <f>+D69</f>
        <v>27546189</v>
      </c>
      <c r="E102" s="180">
        <f>+E69</f>
        <v>26770362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27352868</v>
      </c>
      <c r="D103" s="194">
        <v>26550048</v>
      </c>
      <c r="E103" s="194">
        <v>26020086</v>
      </c>
      <c r="F103" s="28"/>
    </row>
    <row r="104" spans="1:6" ht="24" customHeight="1" x14ac:dyDescent="0.25">
      <c r="A104" s="21">
        <v>10</v>
      </c>
      <c r="B104" s="195" t="s">
        <v>372</v>
      </c>
      <c r="C104" s="180">
        <f>+C102+C103</f>
        <v>48746066</v>
      </c>
      <c r="D104" s="180">
        <f>+D102+D103</f>
        <v>54096237</v>
      </c>
      <c r="E104" s="180">
        <f>+E102+E103</f>
        <v>52790448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373</v>
      </c>
      <c r="C106" s="197">
        <f>IF(C109=0,0,(C107/C109)*100)</f>
        <v>76.891349241530207</v>
      </c>
      <c r="D106" s="197">
        <f>IF(D109=0,0,(D107/D109)*100)</f>
        <v>76.810307178183621</v>
      </c>
      <c r="E106" s="197">
        <f>IF(E109=0,0,(E107/E109)*100)</f>
        <v>70.993389314973626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27352868</v>
      </c>
      <c r="D107" s="180">
        <f>+D103</f>
        <v>26550048</v>
      </c>
      <c r="E107" s="180">
        <f>+E103</f>
        <v>26020086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8220533</v>
      </c>
      <c r="D108" s="180">
        <f>+D32</f>
        <v>8015688</v>
      </c>
      <c r="E108" s="180">
        <f>+E32</f>
        <v>10631335</v>
      </c>
      <c r="F108" s="28"/>
    </row>
    <row r="109" spans="1:6" ht="24" customHeight="1" x14ac:dyDescent="0.25">
      <c r="A109" s="17">
        <v>14</v>
      </c>
      <c r="B109" s="48" t="s">
        <v>374</v>
      </c>
      <c r="C109" s="180">
        <f>+C107+C108</f>
        <v>35573401</v>
      </c>
      <c r="D109" s="180">
        <f>+D107+D108</f>
        <v>34565736</v>
      </c>
      <c r="E109" s="180">
        <f>+E107+E108</f>
        <v>36651421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375</v>
      </c>
      <c r="C111" s="197">
        <f>IF((+C113+C115)=0,0,((+C112+C113+C114)/(+C113+C115)))</f>
        <v>4.6727003542945083</v>
      </c>
      <c r="D111" s="197">
        <f>IF((+D113+D115)=0,0,((+D112+D113+D114)/(+D113+D115)))</f>
        <v>3.712481420501093</v>
      </c>
      <c r="E111" s="197">
        <f>IF((+E113+E115)=0,0,((+E112+E113+E114)/(+E113+E115)))</f>
        <v>4.2069971287629908</v>
      </c>
    </row>
    <row r="112" spans="1:6" ht="24" customHeight="1" x14ac:dyDescent="0.25">
      <c r="A112" s="17">
        <v>16</v>
      </c>
      <c r="B112" s="48" t="s">
        <v>376</v>
      </c>
      <c r="C112" s="180">
        <f>+C17</f>
        <v>1785817</v>
      </c>
      <c r="D112" s="180">
        <f>+D17</f>
        <v>2190536</v>
      </c>
      <c r="E112" s="180">
        <f>+E17</f>
        <v>2301326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1693322</v>
      </c>
      <c r="D113" s="180">
        <v>1833355</v>
      </c>
      <c r="E113" s="180">
        <v>1641972</v>
      </c>
      <c r="F113" s="28"/>
    </row>
    <row r="114" spans="1:8" ht="24" customHeight="1" x14ac:dyDescent="0.25">
      <c r="A114" s="17">
        <v>18</v>
      </c>
      <c r="B114" s="48" t="s">
        <v>377</v>
      </c>
      <c r="C114" s="180">
        <v>5241260</v>
      </c>
      <c r="D114" s="180">
        <v>5714642</v>
      </c>
      <c r="E114" s="180">
        <v>6320576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172922</v>
      </c>
      <c r="D115" s="180">
        <v>789832</v>
      </c>
      <c r="E115" s="180">
        <v>797743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378</v>
      </c>
      <c r="B117" s="30" t="s">
        <v>379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380</v>
      </c>
      <c r="C119" s="197">
        <f>IF(+C121=0,0,(+C120)/(+C121))</f>
        <v>17.842842751552109</v>
      </c>
      <c r="D119" s="197">
        <f>IF(+D121=0,0,(+D120)/(+D121))</f>
        <v>17.356421627111551</v>
      </c>
      <c r="E119" s="197">
        <f>IF(+E121=0,0,(+E120)/(+E121))</f>
        <v>16.684211850312376</v>
      </c>
    </row>
    <row r="120" spans="1:8" ht="24" customHeight="1" x14ac:dyDescent="0.25">
      <c r="A120" s="17">
        <v>21</v>
      </c>
      <c r="B120" s="48" t="s">
        <v>381</v>
      </c>
      <c r="C120" s="180">
        <v>93518978</v>
      </c>
      <c r="D120" s="180">
        <v>99185736</v>
      </c>
      <c r="E120" s="180">
        <v>105453829</v>
      </c>
      <c r="F120" s="28"/>
    </row>
    <row r="121" spans="1:8" ht="24" customHeight="1" x14ac:dyDescent="0.25">
      <c r="A121" s="17">
        <v>22</v>
      </c>
      <c r="B121" s="48" t="s">
        <v>377</v>
      </c>
      <c r="C121" s="180">
        <v>5241260</v>
      </c>
      <c r="D121" s="180">
        <v>5714642</v>
      </c>
      <c r="E121" s="180">
        <v>6320576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382</v>
      </c>
      <c r="B123" s="30" t="s">
        <v>383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384</v>
      </c>
      <c r="C124" s="198">
        <v>30673</v>
      </c>
      <c r="D124" s="198">
        <v>28670</v>
      </c>
      <c r="E124" s="198">
        <v>29383</v>
      </c>
    </row>
    <row r="125" spans="1:8" ht="24" customHeight="1" x14ac:dyDescent="0.2">
      <c r="A125" s="44">
        <v>2</v>
      </c>
      <c r="B125" s="48" t="s">
        <v>385</v>
      </c>
      <c r="C125" s="198">
        <v>7617</v>
      </c>
      <c r="D125" s="198">
        <v>7316</v>
      </c>
      <c r="E125" s="198">
        <v>7565</v>
      </c>
    </row>
    <row r="126" spans="1:8" ht="24" customHeight="1" x14ac:dyDescent="0.2">
      <c r="A126" s="44">
        <v>3</v>
      </c>
      <c r="B126" s="48" t="s">
        <v>386</v>
      </c>
      <c r="C126" s="199">
        <f>IF(C125=0,0,C124/C125)</f>
        <v>4.0269134829985562</v>
      </c>
      <c r="D126" s="199">
        <f>IF(D125=0,0,D124/D125)</f>
        <v>3.9188080918534718</v>
      </c>
      <c r="E126" s="199">
        <f>IF(E125=0,0,E124/E125)</f>
        <v>3.8840713813615335</v>
      </c>
    </row>
    <row r="127" spans="1:8" ht="24" customHeight="1" x14ac:dyDescent="0.2">
      <c r="A127" s="44">
        <v>4</v>
      </c>
      <c r="B127" s="48" t="s">
        <v>387</v>
      </c>
      <c r="C127" s="198">
        <v>132</v>
      </c>
      <c r="D127" s="198">
        <v>132</v>
      </c>
      <c r="E127" s="198">
        <v>132</v>
      </c>
    </row>
    <row r="128" spans="1:8" ht="24" customHeight="1" x14ac:dyDescent="0.2">
      <c r="A128" s="44">
        <v>5</v>
      </c>
      <c r="B128" s="48" t="s">
        <v>388</v>
      </c>
      <c r="C128" s="198">
        <v>0</v>
      </c>
      <c r="D128" s="198">
        <v>154</v>
      </c>
      <c r="E128" s="198">
        <v>154</v>
      </c>
      <c r="G128" s="6"/>
      <c r="H128" s="12"/>
    </row>
    <row r="129" spans="1:8" ht="24" customHeight="1" x14ac:dyDescent="0.2">
      <c r="A129" s="44">
        <v>6</v>
      </c>
      <c r="B129" s="48" t="s">
        <v>389</v>
      </c>
      <c r="C129" s="198">
        <v>154</v>
      </c>
      <c r="D129" s="198">
        <v>154</v>
      </c>
      <c r="E129" s="198">
        <v>154</v>
      </c>
      <c r="G129" s="6"/>
      <c r="H129" s="12"/>
    </row>
    <row r="130" spans="1:8" ht="24" customHeight="1" x14ac:dyDescent="0.2">
      <c r="A130" s="44">
        <v>6</v>
      </c>
      <c r="B130" s="48" t="s">
        <v>390</v>
      </c>
      <c r="C130" s="171">
        <v>0.63660000000000005</v>
      </c>
      <c r="D130" s="171">
        <v>0.59499999999999997</v>
      </c>
      <c r="E130" s="171">
        <v>0.60980000000000001</v>
      </c>
    </row>
    <row r="131" spans="1:8" ht="24" customHeight="1" x14ac:dyDescent="0.2">
      <c r="A131" s="44">
        <v>7</v>
      </c>
      <c r="B131" s="48" t="s">
        <v>391</v>
      </c>
      <c r="C131" s="171">
        <v>0.54559999999999997</v>
      </c>
      <c r="D131" s="171">
        <v>0.51</v>
      </c>
      <c r="E131" s="171">
        <v>0.52270000000000005</v>
      </c>
    </row>
    <row r="132" spans="1:8" ht="24" customHeight="1" x14ac:dyDescent="0.2">
      <c r="A132" s="44">
        <v>8</v>
      </c>
      <c r="B132" s="48" t="s">
        <v>392</v>
      </c>
      <c r="C132" s="199">
        <v>873.3</v>
      </c>
      <c r="D132" s="199">
        <v>860.8</v>
      </c>
      <c r="E132" s="199">
        <v>863.7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393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394</v>
      </c>
      <c r="C135" s="203">
        <f>IF(C149=0,0,C143/C149)</f>
        <v>0.36275305754629994</v>
      </c>
      <c r="D135" s="203">
        <f>IF(D149=0,0,D143/D149)</f>
        <v>0.35777683007021238</v>
      </c>
      <c r="E135" s="203">
        <f>IF(E149=0,0,E143/E149)</f>
        <v>0.34899675132775054</v>
      </c>
      <c r="G135" s="6"/>
    </row>
    <row r="136" spans="1:8" ht="20.100000000000001" customHeight="1" x14ac:dyDescent="0.2">
      <c r="A136" s="202">
        <v>2</v>
      </c>
      <c r="B136" s="195" t="s">
        <v>395</v>
      </c>
      <c r="C136" s="203">
        <f>IF(C149=0,0,C144/C149)</f>
        <v>0.44638109284691946</v>
      </c>
      <c r="D136" s="203">
        <f>IF(D149=0,0,D144/D149)</f>
        <v>0.42747212714627242</v>
      </c>
      <c r="E136" s="203">
        <f>IF(E149=0,0,E144/E149)</f>
        <v>0.44378346681698722</v>
      </c>
    </row>
    <row r="137" spans="1:8" ht="20.100000000000001" customHeight="1" x14ac:dyDescent="0.2">
      <c r="A137" s="202">
        <v>3</v>
      </c>
      <c r="B137" s="195" t="s">
        <v>396</v>
      </c>
      <c r="C137" s="203">
        <f>IF(C149=0,0,C145/C149)</f>
        <v>0.13533722295398018</v>
      </c>
      <c r="D137" s="203">
        <f>IF(D149=0,0,D145/D149)</f>
        <v>0.19451920906278414</v>
      </c>
      <c r="E137" s="203">
        <f>IF(E149=0,0,E145/E149)</f>
        <v>0.18606470532759523</v>
      </c>
      <c r="G137" s="6"/>
    </row>
    <row r="138" spans="1:8" ht="20.100000000000001" customHeight="1" x14ac:dyDescent="0.2">
      <c r="A138" s="202">
        <v>4</v>
      </c>
      <c r="B138" s="195" t="s">
        <v>397</v>
      </c>
      <c r="C138" s="203">
        <f>IF(C149=0,0,C146/C149)</f>
        <v>3.4038701597451114E-2</v>
      </c>
      <c r="D138" s="203">
        <f>IF(D149=0,0,D146/D149)</f>
        <v>0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398</v>
      </c>
      <c r="C139" s="203">
        <f>IF(C149=0,0,C147/C149)</f>
        <v>1.8010328983749095E-2</v>
      </c>
      <c r="D139" s="203">
        <f>IF(D149=0,0,D147/D149)</f>
        <v>1.7280512731001025E-2</v>
      </c>
      <c r="E139" s="203">
        <f>IF(E149=0,0,E147/E149)</f>
        <v>1.9064670384490372E-2</v>
      </c>
    </row>
    <row r="140" spans="1:8" ht="20.100000000000001" customHeight="1" x14ac:dyDescent="0.2">
      <c r="A140" s="202">
        <v>6</v>
      </c>
      <c r="B140" s="195" t="s">
        <v>399</v>
      </c>
      <c r="C140" s="203">
        <f>IF(C149=0,0,C148/C149)</f>
        <v>3.4795960716001851E-3</v>
      </c>
      <c r="D140" s="203">
        <f>IF(D149=0,0,D148/D149)</f>
        <v>2.9513209897300179E-3</v>
      </c>
      <c r="E140" s="203">
        <f>IF(E149=0,0,E148/E149)</f>
        <v>2.090406143176632E-3</v>
      </c>
    </row>
    <row r="141" spans="1:8" ht="20.100000000000001" customHeight="1" x14ac:dyDescent="0.2">
      <c r="A141" s="202">
        <v>7</v>
      </c>
      <c r="B141" s="195" t="s">
        <v>400</v>
      </c>
      <c r="C141" s="203">
        <f>SUM(C135:C140)</f>
        <v>1</v>
      </c>
      <c r="D141" s="203">
        <f>SUM(D135:D140)</f>
        <v>1</v>
      </c>
      <c r="E141" s="203">
        <f>SUM(E135:E140)</f>
        <v>1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401</v>
      </c>
      <c r="C143" s="204">
        <f>+C46-C147</f>
        <v>131229997</v>
      </c>
      <c r="D143" s="205">
        <f>+D46-D147</f>
        <v>123449282</v>
      </c>
      <c r="E143" s="205">
        <f>+E46-E147</f>
        <v>134682399</v>
      </c>
    </row>
    <row r="144" spans="1:8" ht="20.100000000000001" customHeight="1" x14ac:dyDescent="0.2">
      <c r="A144" s="202">
        <v>9</v>
      </c>
      <c r="B144" s="201" t="s">
        <v>402</v>
      </c>
      <c r="C144" s="206">
        <f>+C51</f>
        <v>161483379</v>
      </c>
      <c r="D144" s="205">
        <f>+D51</f>
        <v>147497330</v>
      </c>
      <c r="E144" s="205">
        <f>+E51</f>
        <v>171261829</v>
      </c>
    </row>
    <row r="145" spans="1:7" ht="20.100000000000001" customHeight="1" x14ac:dyDescent="0.2">
      <c r="A145" s="202">
        <v>10</v>
      </c>
      <c r="B145" s="201" t="s">
        <v>403</v>
      </c>
      <c r="C145" s="206">
        <f>+C55</f>
        <v>48959762</v>
      </c>
      <c r="D145" s="205">
        <f>+D55</f>
        <v>67117976</v>
      </c>
      <c r="E145" s="205">
        <f>+E55</f>
        <v>71804797</v>
      </c>
    </row>
    <row r="146" spans="1:7" ht="20.100000000000001" customHeight="1" x14ac:dyDescent="0.2">
      <c r="A146" s="202">
        <v>11</v>
      </c>
      <c r="B146" s="201" t="s">
        <v>404</v>
      </c>
      <c r="C146" s="204">
        <v>12313883</v>
      </c>
      <c r="D146" s="205">
        <v>0</v>
      </c>
      <c r="E146" s="205">
        <v>0</v>
      </c>
    </row>
    <row r="147" spans="1:7" ht="20.100000000000001" customHeight="1" x14ac:dyDescent="0.2">
      <c r="A147" s="202">
        <v>12</v>
      </c>
      <c r="B147" s="201" t="s">
        <v>405</v>
      </c>
      <c r="C147" s="206">
        <f>+C47</f>
        <v>6515439</v>
      </c>
      <c r="D147" s="205">
        <f>+D47</f>
        <v>5962563</v>
      </c>
      <c r="E147" s="205">
        <f>+E47</f>
        <v>7357305</v>
      </c>
    </row>
    <row r="148" spans="1:7" ht="20.100000000000001" customHeight="1" x14ac:dyDescent="0.2">
      <c r="A148" s="202">
        <v>13</v>
      </c>
      <c r="B148" s="201" t="s">
        <v>406</v>
      </c>
      <c r="C148" s="206">
        <v>1258783</v>
      </c>
      <c r="D148" s="205">
        <v>1018340</v>
      </c>
      <c r="E148" s="205">
        <v>806715</v>
      </c>
    </row>
    <row r="149" spans="1:7" ht="20.100000000000001" customHeight="1" x14ac:dyDescent="0.2">
      <c r="A149" s="202">
        <v>14</v>
      </c>
      <c r="B149" s="201" t="s">
        <v>407</v>
      </c>
      <c r="C149" s="204">
        <f>SUM(C143:C148)</f>
        <v>361761243</v>
      </c>
      <c r="D149" s="205">
        <f>SUM(D143:D148)</f>
        <v>345045491</v>
      </c>
      <c r="E149" s="205">
        <f>SUM(E143:E148)</f>
        <v>385913045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408</v>
      </c>
      <c r="B151" s="30" t="s">
        <v>409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410</v>
      </c>
      <c r="C152" s="203">
        <f>IF(C166=0,0,C160/C166)</f>
        <v>0.45908594070584141</v>
      </c>
      <c r="D152" s="203">
        <f>IF(D166=0,0,D160/D166)</f>
        <v>0.43042318383049877</v>
      </c>
      <c r="E152" s="203">
        <f>IF(E166=0,0,E160/E166)</f>
        <v>0.46812531819972419</v>
      </c>
    </row>
    <row r="153" spans="1:7" ht="20.100000000000001" customHeight="1" x14ac:dyDescent="0.2">
      <c r="A153" s="202">
        <v>2</v>
      </c>
      <c r="B153" s="195" t="s">
        <v>411</v>
      </c>
      <c r="C153" s="203">
        <f>IF(C166=0,0,C161/C166)</f>
        <v>0.41301708697372713</v>
      </c>
      <c r="D153" s="203">
        <f>IF(D166=0,0,D161/D166)</f>
        <v>0.40694548614242737</v>
      </c>
      <c r="E153" s="203">
        <f>IF(E166=0,0,E161/E166)</f>
        <v>0.39811583945662804</v>
      </c>
    </row>
    <row r="154" spans="1:7" ht="20.100000000000001" customHeight="1" x14ac:dyDescent="0.2">
      <c r="A154" s="202">
        <v>3</v>
      </c>
      <c r="B154" s="195" t="s">
        <v>412</v>
      </c>
      <c r="C154" s="203">
        <f>IF(C166=0,0,C162/C166)</f>
        <v>0.10494649587385663</v>
      </c>
      <c r="D154" s="203">
        <f>IF(D166=0,0,D162/D166)</f>
        <v>0.15773805365690632</v>
      </c>
      <c r="E154" s="203">
        <f>IF(E166=0,0,E162/E166)</f>
        <v>0.13159138388287511</v>
      </c>
    </row>
    <row r="155" spans="1:7" ht="20.100000000000001" customHeight="1" x14ac:dyDescent="0.2">
      <c r="A155" s="202">
        <v>4</v>
      </c>
      <c r="B155" s="195" t="s">
        <v>413</v>
      </c>
      <c r="C155" s="203">
        <f>IF(C166=0,0,C163/C166)</f>
        <v>1.7091629701952563E-2</v>
      </c>
      <c r="D155" s="203">
        <f>IF(D166=0,0,D163/D166)</f>
        <v>0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414</v>
      </c>
      <c r="C156" s="203">
        <f>IF(C166=0,0,C164/C166)</f>
        <v>3.4243266010682959E-3</v>
      </c>
      <c r="D156" s="203">
        <f>IF(D166=0,0,D164/D166)</f>
        <v>2.4902508826805379E-3</v>
      </c>
      <c r="E156" s="203">
        <f>IF(E166=0,0,E164/E166)</f>
        <v>4.0128808932329304E-4</v>
      </c>
    </row>
    <row r="157" spans="1:7" ht="20.100000000000001" customHeight="1" x14ac:dyDescent="0.2">
      <c r="A157" s="202">
        <v>6</v>
      </c>
      <c r="B157" s="195" t="s">
        <v>415</v>
      </c>
      <c r="C157" s="203">
        <f>IF(C166=0,0,C165/C166)</f>
        <v>2.4345201435539568E-3</v>
      </c>
      <c r="D157" s="203">
        <f>IF(D166=0,0,D165/D166)</f>
        <v>2.4030254874869901E-3</v>
      </c>
      <c r="E157" s="203">
        <f>IF(E166=0,0,E165/E166)</f>
        <v>1.7661703714493982E-3</v>
      </c>
    </row>
    <row r="158" spans="1:7" ht="20.100000000000001" customHeight="1" x14ac:dyDescent="0.2">
      <c r="A158" s="202">
        <v>7</v>
      </c>
      <c r="B158" s="195" t="s">
        <v>416</v>
      </c>
      <c r="C158" s="203">
        <f>SUM(C152:C157)</f>
        <v>0.99999999999999989</v>
      </c>
      <c r="D158" s="203">
        <f>SUM(D152:D157)</f>
        <v>0.99999999999999989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417</v>
      </c>
      <c r="C160" s="207">
        <f>+C44-C164</f>
        <v>54625212</v>
      </c>
      <c r="D160" s="208">
        <f>+D44-D164</f>
        <v>49785266</v>
      </c>
      <c r="E160" s="208">
        <f>+E44-E164</f>
        <v>58099191</v>
      </c>
    </row>
    <row r="161" spans="1:6" ht="20.100000000000001" customHeight="1" x14ac:dyDescent="0.2">
      <c r="A161" s="202">
        <v>9</v>
      </c>
      <c r="B161" s="201" t="s">
        <v>418</v>
      </c>
      <c r="C161" s="209">
        <f>+C50</f>
        <v>49143622</v>
      </c>
      <c r="D161" s="208">
        <f>+D50</f>
        <v>47069698</v>
      </c>
      <c r="E161" s="208">
        <f>+E50</f>
        <v>49410291</v>
      </c>
    </row>
    <row r="162" spans="1:6" ht="20.100000000000001" customHeight="1" x14ac:dyDescent="0.2">
      <c r="A162" s="202">
        <v>10</v>
      </c>
      <c r="B162" s="201" t="s">
        <v>419</v>
      </c>
      <c r="C162" s="209">
        <f>+C54</f>
        <v>12487258</v>
      </c>
      <c r="D162" s="208">
        <f>+D54</f>
        <v>18244907</v>
      </c>
      <c r="E162" s="208">
        <f>+E54</f>
        <v>16331851</v>
      </c>
    </row>
    <row r="163" spans="1:6" ht="20.100000000000001" customHeight="1" x14ac:dyDescent="0.2">
      <c r="A163" s="202">
        <v>11</v>
      </c>
      <c r="B163" s="201" t="s">
        <v>420</v>
      </c>
      <c r="C163" s="207">
        <v>2033680</v>
      </c>
      <c r="D163" s="208">
        <v>0</v>
      </c>
      <c r="E163" s="208">
        <v>0</v>
      </c>
    </row>
    <row r="164" spans="1:6" ht="20.100000000000001" customHeight="1" x14ac:dyDescent="0.2">
      <c r="A164" s="202">
        <v>12</v>
      </c>
      <c r="B164" s="201" t="s">
        <v>421</v>
      </c>
      <c r="C164" s="209">
        <f>+C45</f>
        <v>407450</v>
      </c>
      <c r="D164" s="208">
        <f>+D45</f>
        <v>288037</v>
      </c>
      <c r="E164" s="208">
        <f>+E45</f>
        <v>49804</v>
      </c>
    </row>
    <row r="165" spans="1:6" ht="20.100000000000001" customHeight="1" x14ac:dyDescent="0.2">
      <c r="A165" s="202">
        <v>13</v>
      </c>
      <c r="B165" s="201" t="s">
        <v>422</v>
      </c>
      <c r="C165" s="209">
        <v>289676</v>
      </c>
      <c r="D165" s="208">
        <v>277948</v>
      </c>
      <c r="E165" s="208">
        <v>219200</v>
      </c>
    </row>
    <row r="166" spans="1:6" ht="20.100000000000001" customHeight="1" x14ac:dyDescent="0.2">
      <c r="A166" s="202">
        <v>14</v>
      </c>
      <c r="B166" s="201" t="s">
        <v>423</v>
      </c>
      <c r="C166" s="207">
        <f>SUM(C160:C165)</f>
        <v>118986898</v>
      </c>
      <c r="D166" s="208">
        <f>SUM(D160:D165)</f>
        <v>115665856</v>
      </c>
      <c r="E166" s="208">
        <f>SUM(E160:E165)</f>
        <v>124110337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424</v>
      </c>
      <c r="B168" s="30" t="s">
        <v>385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425</v>
      </c>
      <c r="C169" s="198">
        <v>2486</v>
      </c>
      <c r="D169" s="198">
        <v>2320</v>
      </c>
      <c r="E169" s="198">
        <v>2350</v>
      </c>
    </row>
    <row r="170" spans="1:6" ht="20.100000000000001" customHeight="1" x14ac:dyDescent="0.2">
      <c r="A170" s="202">
        <v>2</v>
      </c>
      <c r="B170" s="201" t="s">
        <v>426</v>
      </c>
      <c r="C170" s="198">
        <v>3426</v>
      </c>
      <c r="D170" s="198">
        <v>3378</v>
      </c>
      <c r="E170" s="198">
        <v>3565</v>
      </c>
    </row>
    <row r="171" spans="1:6" ht="20.100000000000001" customHeight="1" x14ac:dyDescent="0.2">
      <c r="A171" s="202">
        <v>3</v>
      </c>
      <c r="B171" s="201" t="s">
        <v>427</v>
      </c>
      <c r="C171" s="198">
        <v>1685</v>
      </c>
      <c r="D171" s="198">
        <v>1593</v>
      </c>
      <c r="E171" s="198">
        <v>1625</v>
      </c>
    </row>
    <row r="172" spans="1:6" ht="20.100000000000001" customHeight="1" x14ac:dyDescent="0.2">
      <c r="A172" s="202">
        <v>4</v>
      </c>
      <c r="B172" s="201" t="s">
        <v>428</v>
      </c>
      <c r="C172" s="198">
        <v>1325</v>
      </c>
      <c r="D172" s="198">
        <v>1593</v>
      </c>
      <c r="E172" s="198">
        <v>1625</v>
      </c>
    </row>
    <row r="173" spans="1:6" ht="20.100000000000001" customHeight="1" x14ac:dyDescent="0.2">
      <c r="A173" s="202">
        <v>5</v>
      </c>
      <c r="B173" s="201" t="s">
        <v>429</v>
      </c>
      <c r="C173" s="198">
        <v>360</v>
      </c>
      <c r="D173" s="198">
        <v>0</v>
      </c>
      <c r="E173" s="198">
        <v>0</v>
      </c>
    </row>
    <row r="174" spans="1:6" ht="20.100000000000001" customHeight="1" x14ac:dyDescent="0.2">
      <c r="A174" s="202">
        <v>6</v>
      </c>
      <c r="B174" s="201" t="s">
        <v>430</v>
      </c>
      <c r="C174" s="198">
        <v>20</v>
      </c>
      <c r="D174" s="198">
        <v>25</v>
      </c>
      <c r="E174" s="198">
        <v>25</v>
      </c>
    </row>
    <row r="175" spans="1:6" ht="20.100000000000001" customHeight="1" x14ac:dyDescent="0.2">
      <c r="A175" s="202">
        <v>7</v>
      </c>
      <c r="B175" s="201" t="s">
        <v>431</v>
      </c>
      <c r="C175" s="198">
        <v>64</v>
      </c>
      <c r="D175" s="198">
        <v>38</v>
      </c>
      <c r="E175" s="198">
        <v>119</v>
      </c>
    </row>
    <row r="176" spans="1:6" ht="20.100000000000001" customHeight="1" x14ac:dyDescent="0.2">
      <c r="A176" s="202">
        <v>8</v>
      </c>
      <c r="B176" s="201" t="s">
        <v>432</v>
      </c>
      <c r="C176" s="198">
        <f>+C169+C170+C171+C174</f>
        <v>7617</v>
      </c>
      <c r="D176" s="198">
        <f>+D169+D170+D171+D174</f>
        <v>7316</v>
      </c>
      <c r="E176" s="198">
        <f>+E169+E170+E171+E174</f>
        <v>7565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433</v>
      </c>
      <c r="B178" s="30" t="s">
        <v>434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425</v>
      </c>
      <c r="C179" s="210">
        <v>0.94640000000000002</v>
      </c>
      <c r="D179" s="210">
        <v>0.97450000000000003</v>
      </c>
      <c r="E179" s="210">
        <v>0.96519999999999995</v>
      </c>
    </row>
    <row r="180" spans="1:6" ht="20.100000000000001" customHeight="1" x14ac:dyDescent="0.2">
      <c r="A180" s="202">
        <v>2</v>
      </c>
      <c r="B180" s="201" t="s">
        <v>426</v>
      </c>
      <c r="C180" s="210">
        <v>1.2873000000000001</v>
      </c>
      <c r="D180" s="210">
        <v>1.2924</v>
      </c>
      <c r="E180" s="210">
        <v>1.2996000000000001</v>
      </c>
    </row>
    <row r="181" spans="1:6" ht="20.100000000000001" customHeight="1" x14ac:dyDescent="0.2">
      <c r="A181" s="202">
        <v>3</v>
      </c>
      <c r="B181" s="201" t="s">
        <v>427</v>
      </c>
      <c r="C181" s="210">
        <v>0.85442499999999999</v>
      </c>
      <c r="D181" s="210">
        <v>0.93069999999999997</v>
      </c>
      <c r="E181" s="210">
        <v>0.9425</v>
      </c>
    </row>
    <row r="182" spans="1:6" ht="20.100000000000001" customHeight="1" x14ac:dyDescent="0.2">
      <c r="A182" s="202">
        <v>4</v>
      </c>
      <c r="B182" s="201" t="s">
        <v>428</v>
      </c>
      <c r="C182" s="210">
        <v>0.83899999999999997</v>
      </c>
      <c r="D182" s="210">
        <v>0.93069999999999997</v>
      </c>
      <c r="E182" s="210">
        <v>0.9425</v>
      </c>
    </row>
    <row r="183" spans="1:6" ht="20.100000000000001" customHeight="1" x14ac:dyDescent="0.2">
      <c r="A183" s="202">
        <v>5</v>
      </c>
      <c r="B183" s="201" t="s">
        <v>429</v>
      </c>
      <c r="C183" s="210">
        <v>0.91120000000000001</v>
      </c>
      <c r="D183" s="210">
        <v>0</v>
      </c>
      <c r="E183" s="210">
        <v>0</v>
      </c>
    </row>
    <row r="184" spans="1:6" ht="20.100000000000001" customHeight="1" x14ac:dyDescent="0.2">
      <c r="A184" s="202">
        <v>6</v>
      </c>
      <c r="B184" s="201" t="s">
        <v>430</v>
      </c>
      <c r="C184" s="210">
        <v>1.5094000000000001</v>
      </c>
      <c r="D184" s="210">
        <v>1.1613</v>
      </c>
      <c r="E184" s="210">
        <v>0.73570000000000002</v>
      </c>
    </row>
    <row r="185" spans="1:6" ht="20.100000000000001" customHeight="1" x14ac:dyDescent="0.2">
      <c r="A185" s="202">
        <v>7</v>
      </c>
      <c r="B185" s="201" t="s">
        <v>431</v>
      </c>
      <c r="C185" s="210">
        <v>0.89229999999999998</v>
      </c>
      <c r="D185" s="210">
        <v>0.8296</v>
      </c>
      <c r="E185" s="210">
        <v>0.94</v>
      </c>
    </row>
    <row r="186" spans="1:6" ht="20.100000000000001" customHeight="1" x14ac:dyDescent="0.2">
      <c r="A186" s="202">
        <v>8</v>
      </c>
      <c r="B186" s="201" t="s">
        <v>435</v>
      </c>
      <c r="C186" s="210">
        <v>1.0808629999999999</v>
      </c>
      <c r="D186" s="210">
        <v>1.112384</v>
      </c>
      <c r="E186" s="210">
        <v>1.117151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436</v>
      </c>
      <c r="B188" s="30" t="s">
        <v>437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438</v>
      </c>
      <c r="C189" s="198">
        <v>5467</v>
      </c>
      <c r="D189" s="198">
        <v>5363</v>
      </c>
      <c r="E189" s="198">
        <v>5787</v>
      </c>
    </row>
    <row r="190" spans="1:6" ht="20.100000000000001" customHeight="1" x14ac:dyDescent="0.2">
      <c r="A190" s="202">
        <v>2</v>
      </c>
      <c r="B190" s="201" t="s">
        <v>439</v>
      </c>
      <c r="C190" s="198">
        <v>33293</v>
      </c>
      <c r="D190" s="198">
        <v>34497</v>
      </c>
      <c r="E190" s="198">
        <v>32242</v>
      </c>
    </row>
    <row r="191" spans="1:6" ht="20.100000000000001" customHeight="1" x14ac:dyDescent="0.2">
      <c r="A191" s="202">
        <v>3</v>
      </c>
      <c r="B191" s="201" t="s">
        <v>440</v>
      </c>
      <c r="C191" s="198">
        <f>+C190+C189</f>
        <v>38760</v>
      </c>
      <c r="D191" s="198">
        <f>+D190+D189</f>
        <v>39860</v>
      </c>
      <c r="E191" s="198">
        <f>+E190+E189</f>
        <v>38029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/>
  <headerFooter>
    <oddHeader>&amp;LOFFICE OF HEALTH CARE ACCESS&amp;CTWELVE MONTHS ACTUAL FILING&amp;RBRISTOL HOSPITAL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>
      <selection activeCell="A6" sqref="A6"/>
    </sheetView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441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25"/>
      <c r="B9" s="226"/>
      <c r="C9" s="675"/>
      <c r="D9" s="676"/>
      <c r="E9" s="676"/>
      <c r="F9" s="677"/>
      <c r="G9" s="212"/>
    </row>
    <row r="10" spans="1:7" ht="20.25" customHeight="1" x14ac:dyDescent="0.3">
      <c r="A10" s="678" t="s">
        <v>12</v>
      </c>
      <c r="B10" s="680" t="s">
        <v>113</v>
      </c>
      <c r="C10" s="682"/>
      <c r="D10" s="683"/>
      <c r="E10" s="683"/>
      <c r="F10" s="684"/>
    </row>
    <row r="11" spans="1:7" ht="20.25" customHeight="1" x14ac:dyDescent="0.3">
      <c r="A11" s="679"/>
      <c r="B11" s="681"/>
      <c r="C11" s="685"/>
      <c r="D11" s="686"/>
      <c r="E11" s="686"/>
      <c r="F11" s="687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445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437906</v>
      </c>
      <c r="D14" s="237">
        <v>582821</v>
      </c>
      <c r="E14" s="237">
        <f t="shared" ref="E14:E24" si="0">D14-C14</f>
        <v>144915</v>
      </c>
      <c r="F14" s="238">
        <f t="shared" ref="F14:F24" si="1">IF(C14=0,0,E14/C14)</f>
        <v>0.33092718528633996</v>
      </c>
    </row>
    <row r="15" spans="1:7" ht="20.25" customHeight="1" x14ac:dyDescent="0.3">
      <c r="A15" s="235">
        <v>2</v>
      </c>
      <c r="B15" s="236" t="s">
        <v>447</v>
      </c>
      <c r="C15" s="237">
        <v>121188</v>
      </c>
      <c r="D15" s="237">
        <v>257889</v>
      </c>
      <c r="E15" s="237">
        <f t="shared" si="0"/>
        <v>136701</v>
      </c>
      <c r="F15" s="238">
        <f t="shared" si="1"/>
        <v>1.1280077235369839</v>
      </c>
    </row>
    <row r="16" spans="1:7" ht="20.25" customHeight="1" x14ac:dyDescent="0.3">
      <c r="A16" s="235">
        <v>3</v>
      </c>
      <c r="B16" s="236" t="s">
        <v>448</v>
      </c>
      <c r="C16" s="237">
        <v>633084</v>
      </c>
      <c r="D16" s="237">
        <v>995843</v>
      </c>
      <c r="E16" s="237">
        <f t="shared" si="0"/>
        <v>362759</v>
      </c>
      <c r="F16" s="238">
        <f t="shared" si="1"/>
        <v>0.57300295063530271</v>
      </c>
    </row>
    <row r="17" spans="1:6" ht="20.25" customHeight="1" x14ac:dyDescent="0.3">
      <c r="A17" s="235">
        <v>4</v>
      </c>
      <c r="B17" s="236" t="s">
        <v>449</v>
      </c>
      <c r="C17" s="237">
        <v>234691</v>
      </c>
      <c r="D17" s="237">
        <v>290002</v>
      </c>
      <c r="E17" s="237">
        <f t="shared" si="0"/>
        <v>55311</v>
      </c>
      <c r="F17" s="238">
        <f t="shared" si="1"/>
        <v>0.23567584611254799</v>
      </c>
    </row>
    <row r="18" spans="1:6" ht="20.25" customHeight="1" x14ac:dyDescent="0.3">
      <c r="A18" s="235">
        <v>5</v>
      </c>
      <c r="B18" s="236" t="s">
        <v>385</v>
      </c>
      <c r="C18" s="239">
        <v>19</v>
      </c>
      <c r="D18" s="239">
        <v>31</v>
      </c>
      <c r="E18" s="239">
        <f t="shared" si="0"/>
        <v>12</v>
      </c>
      <c r="F18" s="238">
        <f t="shared" si="1"/>
        <v>0.63157894736842102</v>
      </c>
    </row>
    <row r="19" spans="1:6" ht="20.25" customHeight="1" x14ac:dyDescent="0.3">
      <c r="A19" s="235">
        <v>6</v>
      </c>
      <c r="B19" s="236" t="s">
        <v>384</v>
      </c>
      <c r="C19" s="239">
        <v>89</v>
      </c>
      <c r="D19" s="239">
        <v>75</v>
      </c>
      <c r="E19" s="239">
        <f t="shared" si="0"/>
        <v>-14</v>
      </c>
      <c r="F19" s="238">
        <f t="shared" si="1"/>
        <v>-0.15730337078651685</v>
      </c>
    </row>
    <row r="20" spans="1:6" ht="20.25" customHeight="1" x14ac:dyDescent="0.3">
      <c r="A20" s="235">
        <v>7</v>
      </c>
      <c r="B20" s="236" t="s">
        <v>450</v>
      </c>
      <c r="C20" s="239">
        <v>243</v>
      </c>
      <c r="D20" s="239">
        <v>598</v>
      </c>
      <c r="E20" s="239">
        <f t="shared" si="0"/>
        <v>355</v>
      </c>
      <c r="F20" s="238">
        <f t="shared" si="1"/>
        <v>1.4609053497942386</v>
      </c>
    </row>
    <row r="21" spans="1:6" ht="20.25" customHeight="1" x14ac:dyDescent="0.3">
      <c r="A21" s="235">
        <v>8</v>
      </c>
      <c r="B21" s="236" t="s">
        <v>451</v>
      </c>
      <c r="C21" s="239">
        <v>32</v>
      </c>
      <c r="D21" s="239">
        <v>65</v>
      </c>
      <c r="E21" s="239">
        <f t="shared" si="0"/>
        <v>33</v>
      </c>
      <c r="F21" s="238">
        <f t="shared" si="1"/>
        <v>1.03125</v>
      </c>
    </row>
    <row r="22" spans="1:6" ht="20.25" customHeight="1" x14ac:dyDescent="0.3">
      <c r="A22" s="235">
        <v>9</v>
      </c>
      <c r="B22" s="236" t="s">
        <v>452</v>
      </c>
      <c r="C22" s="239">
        <v>17</v>
      </c>
      <c r="D22" s="239">
        <v>16</v>
      </c>
      <c r="E22" s="239">
        <f t="shared" si="0"/>
        <v>-1</v>
      </c>
      <c r="F22" s="238">
        <f t="shared" si="1"/>
        <v>-5.8823529411764705E-2</v>
      </c>
    </row>
    <row r="23" spans="1:6" s="240" customFormat="1" ht="20.25" customHeight="1" x14ac:dyDescent="0.3">
      <c r="A23" s="241"/>
      <c r="B23" s="242" t="s">
        <v>453</v>
      </c>
      <c r="C23" s="243">
        <f>+C14+C16</f>
        <v>1070990</v>
      </c>
      <c r="D23" s="243">
        <f>+D14+D16</f>
        <v>1578664</v>
      </c>
      <c r="E23" s="243">
        <f t="shared" si="0"/>
        <v>507674</v>
      </c>
      <c r="F23" s="244">
        <f t="shared" si="1"/>
        <v>0.47402310012231674</v>
      </c>
    </row>
    <row r="24" spans="1:6" s="240" customFormat="1" ht="20.25" customHeight="1" x14ac:dyDescent="0.3">
      <c r="A24" s="241"/>
      <c r="B24" s="242" t="s">
        <v>454</v>
      </c>
      <c r="C24" s="243">
        <f>+C15+C17</f>
        <v>355879</v>
      </c>
      <c r="D24" s="243">
        <f>+D15+D17</f>
        <v>547891</v>
      </c>
      <c r="E24" s="243">
        <f t="shared" si="0"/>
        <v>192012</v>
      </c>
      <c r="F24" s="244">
        <f t="shared" si="1"/>
        <v>0.53954293453673863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455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446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447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448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449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385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384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450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451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452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453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454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456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446</v>
      </c>
      <c r="C40" s="237">
        <v>2009391</v>
      </c>
      <c r="D40" s="237">
        <v>4522539</v>
      </c>
      <c r="E40" s="237">
        <f t="shared" ref="E40:E50" si="4">D40-C40</f>
        <v>2513148</v>
      </c>
      <c r="F40" s="238">
        <f t="shared" ref="F40:F50" si="5">IF(C40=0,0,E40/C40)</f>
        <v>1.250701331896082</v>
      </c>
    </row>
    <row r="41" spans="1:6" ht="20.25" customHeight="1" x14ac:dyDescent="0.3">
      <c r="A41" s="235">
        <v>2</v>
      </c>
      <c r="B41" s="236" t="s">
        <v>447</v>
      </c>
      <c r="C41" s="237">
        <v>657321</v>
      </c>
      <c r="D41" s="237">
        <v>1448611</v>
      </c>
      <c r="E41" s="237">
        <f t="shared" si="4"/>
        <v>791290</v>
      </c>
      <c r="F41" s="238">
        <f t="shared" si="5"/>
        <v>1.2038106191647613</v>
      </c>
    </row>
    <row r="42" spans="1:6" ht="20.25" customHeight="1" x14ac:dyDescent="0.3">
      <c r="A42" s="235">
        <v>3</v>
      </c>
      <c r="B42" s="236" t="s">
        <v>448</v>
      </c>
      <c r="C42" s="237">
        <v>3609521</v>
      </c>
      <c r="D42" s="237">
        <v>7202175</v>
      </c>
      <c r="E42" s="237">
        <f t="shared" si="4"/>
        <v>3592654</v>
      </c>
      <c r="F42" s="238">
        <f t="shared" si="5"/>
        <v>0.99532708079548504</v>
      </c>
    </row>
    <row r="43" spans="1:6" ht="20.25" customHeight="1" x14ac:dyDescent="0.3">
      <c r="A43" s="235">
        <v>4</v>
      </c>
      <c r="B43" s="236" t="s">
        <v>449</v>
      </c>
      <c r="C43" s="237">
        <v>857944</v>
      </c>
      <c r="D43" s="237">
        <v>1411615</v>
      </c>
      <c r="E43" s="237">
        <f t="shared" si="4"/>
        <v>553671</v>
      </c>
      <c r="F43" s="238">
        <f t="shared" si="5"/>
        <v>0.64534631630968919</v>
      </c>
    </row>
    <row r="44" spans="1:6" ht="20.25" customHeight="1" x14ac:dyDescent="0.3">
      <c r="A44" s="235">
        <v>5</v>
      </c>
      <c r="B44" s="236" t="s">
        <v>385</v>
      </c>
      <c r="C44" s="239">
        <v>93</v>
      </c>
      <c r="D44" s="239">
        <v>197</v>
      </c>
      <c r="E44" s="239">
        <f t="shared" si="4"/>
        <v>104</v>
      </c>
      <c r="F44" s="238">
        <f t="shared" si="5"/>
        <v>1.118279569892473</v>
      </c>
    </row>
    <row r="45" spans="1:6" ht="20.25" customHeight="1" x14ac:dyDescent="0.3">
      <c r="A45" s="235">
        <v>6</v>
      </c>
      <c r="B45" s="236" t="s">
        <v>384</v>
      </c>
      <c r="C45" s="239">
        <v>393</v>
      </c>
      <c r="D45" s="239">
        <v>561</v>
      </c>
      <c r="E45" s="239">
        <f t="shared" si="4"/>
        <v>168</v>
      </c>
      <c r="F45" s="238">
        <f t="shared" si="5"/>
        <v>0.42748091603053434</v>
      </c>
    </row>
    <row r="46" spans="1:6" ht="20.25" customHeight="1" x14ac:dyDescent="0.3">
      <c r="A46" s="235">
        <v>7</v>
      </c>
      <c r="B46" s="236" t="s">
        <v>450</v>
      </c>
      <c r="C46" s="239">
        <v>1868</v>
      </c>
      <c r="D46" s="239">
        <v>3917</v>
      </c>
      <c r="E46" s="239">
        <f t="shared" si="4"/>
        <v>2049</v>
      </c>
      <c r="F46" s="238">
        <f t="shared" si="5"/>
        <v>1.0968950749464668</v>
      </c>
    </row>
    <row r="47" spans="1:6" ht="20.25" customHeight="1" x14ac:dyDescent="0.3">
      <c r="A47" s="235">
        <v>8</v>
      </c>
      <c r="B47" s="236" t="s">
        <v>451</v>
      </c>
      <c r="C47" s="239">
        <v>230</v>
      </c>
      <c r="D47" s="239">
        <v>284</v>
      </c>
      <c r="E47" s="239">
        <f t="shared" si="4"/>
        <v>54</v>
      </c>
      <c r="F47" s="238">
        <f t="shared" si="5"/>
        <v>0.23478260869565218</v>
      </c>
    </row>
    <row r="48" spans="1:6" ht="20.25" customHeight="1" x14ac:dyDescent="0.3">
      <c r="A48" s="235">
        <v>9</v>
      </c>
      <c r="B48" s="236" t="s">
        <v>452</v>
      </c>
      <c r="C48" s="239">
        <v>77</v>
      </c>
      <c r="D48" s="239">
        <v>124</v>
      </c>
      <c r="E48" s="239">
        <f t="shared" si="4"/>
        <v>47</v>
      </c>
      <c r="F48" s="238">
        <f t="shared" si="5"/>
        <v>0.61038961038961037</v>
      </c>
    </row>
    <row r="49" spans="1:6" s="240" customFormat="1" ht="20.25" customHeight="1" x14ac:dyDescent="0.3">
      <c r="A49" s="241"/>
      <c r="B49" s="242" t="s">
        <v>453</v>
      </c>
      <c r="C49" s="243">
        <f>+C40+C42</f>
        <v>5618912</v>
      </c>
      <c r="D49" s="243">
        <f>+D40+D42</f>
        <v>11724714</v>
      </c>
      <c r="E49" s="243">
        <f t="shared" si="4"/>
        <v>6105802</v>
      </c>
      <c r="F49" s="244">
        <f t="shared" si="5"/>
        <v>1.0866520066518215</v>
      </c>
    </row>
    <row r="50" spans="1:6" s="240" customFormat="1" ht="20.25" customHeight="1" x14ac:dyDescent="0.3">
      <c r="A50" s="241"/>
      <c r="B50" s="242" t="s">
        <v>454</v>
      </c>
      <c r="C50" s="243">
        <f>+C41+C43</f>
        <v>1515265</v>
      </c>
      <c r="D50" s="243">
        <f>+D41+D43</f>
        <v>2860226</v>
      </c>
      <c r="E50" s="243">
        <f t="shared" si="4"/>
        <v>1344961</v>
      </c>
      <c r="F50" s="244">
        <f t="shared" si="5"/>
        <v>0.88760777817741454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457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446</v>
      </c>
      <c r="C53" s="237">
        <v>2494497</v>
      </c>
      <c r="D53" s="237">
        <v>0</v>
      </c>
      <c r="E53" s="237">
        <f t="shared" ref="E53:E63" si="6">D53-C53</f>
        <v>-2494497</v>
      </c>
      <c r="F53" s="238">
        <f t="shared" ref="F53:F63" si="7">IF(C53=0,0,E53/C53)</f>
        <v>-1</v>
      </c>
    </row>
    <row r="54" spans="1:6" ht="20.25" customHeight="1" x14ac:dyDescent="0.3">
      <c r="A54" s="235">
        <v>2</v>
      </c>
      <c r="B54" s="236" t="s">
        <v>447</v>
      </c>
      <c r="C54" s="237">
        <v>836477</v>
      </c>
      <c r="D54" s="237">
        <v>0</v>
      </c>
      <c r="E54" s="237">
        <f t="shared" si="6"/>
        <v>-836477</v>
      </c>
      <c r="F54" s="238">
        <f t="shared" si="7"/>
        <v>-1</v>
      </c>
    </row>
    <row r="55" spans="1:6" ht="20.25" customHeight="1" x14ac:dyDescent="0.3">
      <c r="A55" s="235">
        <v>3</v>
      </c>
      <c r="B55" s="236" t="s">
        <v>448</v>
      </c>
      <c r="C55" s="237">
        <v>2186852</v>
      </c>
      <c r="D55" s="237">
        <v>0</v>
      </c>
      <c r="E55" s="237">
        <f t="shared" si="6"/>
        <v>-2186852</v>
      </c>
      <c r="F55" s="238">
        <f t="shared" si="7"/>
        <v>-1</v>
      </c>
    </row>
    <row r="56" spans="1:6" ht="20.25" customHeight="1" x14ac:dyDescent="0.3">
      <c r="A56" s="235">
        <v>4</v>
      </c>
      <c r="B56" s="236" t="s">
        <v>449</v>
      </c>
      <c r="C56" s="237">
        <v>535155</v>
      </c>
      <c r="D56" s="237">
        <v>0</v>
      </c>
      <c r="E56" s="237">
        <f t="shared" si="6"/>
        <v>-535155</v>
      </c>
      <c r="F56" s="238">
        <f t="shared" si="7"/>
        <v>-1</v>
      </c>
    </row>
    <row r="57" spans="1:6" ht="20.25" customHeight="1" x14ac:dyDescent="0.3">
      <c r="A57" s="235">
        <v>5</v>
      </c>
      <c r="B57" s="236" t="s">
        <v>385</v>
      </c>
      <c r="C57" s="239">
        <v>96</v>
      </c>
      <c r="D57" s="239">
        <v>0</v>
      </c>
      <c r="E57" s="239">
        <f t="shared" si="6"/>
        <v>-96</v>
      </c>
      <c r="F57" s="238">
        <f t="shared" si="7"/>
        <v>-1</v>
      </c>
    </row>
    <row r="58" spans="1:6" ht="20.25" customHeight="1" x14ac:dyDescent="0.3">
      <c r="A58" s="235">
        <v>6</v>
      </c>
      <c r="B58" s="236" t="s">
        <v>384</v>
      </c>
      <c r="C58" s="239">
        <v>466</v>
      </c>
      <c r="D58" s="239">
        <v>0</v>
      </c>
      <c r="E58" s="239">
        <f t="shared" si="6"/>
        <v>-466</v>
      </c>
      <c r="F58" s="238">
        <f t="shared" si="7"/>
        <v>-1</v>
      </c>
    </row>
    <row r="59" spans="1:6" ht="20.25" customHeight="1" x14ac:dyDescent="0.3">
      <c r="A59" s="235">
        <v>7</v>
      </c>
      <c r="B59" s="236" t="s">
        <v>450</v>
      </c>
      <c r="C59" s="239">
        <v>970</v>
      </c>
      <c r="D59" s="239">
        <v>0</v>
      </c>
      <c r="E59" s="239">
        <f t="shared" si="6"/>
        <v>-970</v>
      </c>
      <c r="F59" s="238">
        <f t="shared" si="7"/>
        <v>-1</v>
      </c>
    </row>
    <row r="60" spans="1:6" ht="20.25" customHeight="1" x14ac:dyDescent="0.3">
      <c r="A60" s="235">
        <v>8</v>
      </c>
      <c r="B60" s="236" t="s">
        <v>451</v>
      </c>
      <c r="C60" s="239">
        <v>150</v>
      </c>
      <c r="D60" s="239">
        <v>0</v>
      </c>
      <c r="E60" s="239">
        <f t="shared" si="6"/>
        <v>-150</v>
      </c>
      <c r="F60" s="238">
        <f t="shared" si="7"/>
        <v>-1</v>
      </c>
    </row>
    <row r="61" spans="1:6" ht="20.25" customHeight="1" x14ac:dyDescent="0.3">
      <c r="A61" s="235">
        <v>9</v>
      </c>
      <c r="B61" s="236" t="s">
        <v>452</v>
      </c>
      <c r="C61" s="239">
        <v>81</v>
      </c>
      <c r="D61" s="239">
        <v>0</v>
      </c>
      <c r="E61" s="239">
        <f t="shared" si="6"/>
        <v>-81</v>
      </c>
      <c r="F61" s="238">
        <f t="shared" si="7"/>
        <v>-1</v>
      </c>
    </row>
    <row r="62" spans="1:6" s="240" customFormat="1" ht="20.25" customHeight="1" x14ac:dyDescent="0.3">
      <c r="A62" s="241"/>
      <c r="B62" s="242" t="s">
        <v>453</v>
      </c>
      <c r="C62" s="243">
        <f>+C53+C55</f>
        <v>4681349</v>
      </c>
      <c r="D62" s="243">
        <f>+D53+D55</f>
        <v>0</v>
      </c>
      <c r="E62" s="243">
        <f t="shared" si="6"/>
        <v>-4681349</v>
      </c>
      <c r="F62" s="244">
        <f t="shared" si="7"/>
        <v>-1</v>
      </c>
    </row>
    <row r="63" spans="1:6" s="240" customFormat="1" ht="20.25" customHeight="1" x14ac:dyDescent="0.3">
      <c r="A63" s="241"/>
      <c r="B63" s="242" t="s">
        <v>454</v>
      </c>
      <c r="C63" s="243">
        <f>+C54+C56</f>
        <v>1371632</v>
      </c>
      <c r="D63" s="243">
        <f>+D54+D56</f>
        <v>0</v>
      </c>
      <c r="E63" s="243">
        <f t="shared" si="6"/>
        <v>-1371632</v>
      </c>
      <c r="F63" s="244">
        <f t="shared" si="7"/>
        <v>-1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458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446</v>
      </c>
      <c r="C66" s="237">
        <v>116175</v>
      </c>
      <c r="D66" s="237">
        <v>63954</v>
      </c>
      <c r="E66" s="237">
        <f t="shared" ref="E66:E76" si="8">D66-C66</f>
        <v>-52221</v>
      </c>
      <c r="F66" s="238">
        <f t="shared" ref="F66:F76" si="9">IF(C66=0,0,E66/C66)</f>
        <v>-0.44950290510006458</v>
      </c>
    </row>
    <row r="67" spans="1:6" ht="20.25" customHeight="1" x14ac:dyDescent="0.3">
      <c r="A67" s="235">
        <v>2</v>
      </c>
      <c r="B67" s="236" t="s">
        <v>447</v>
      </c>
      <c r="C67" s="237">
        <v>38531</v>
      </c>
      <c r="D67" s="237">
        <v>24682</v>
      </c>
      <c r="E67" s="237">
        <f t="shared" si="8"/>
        <v>-13849</v>
      </c>
      <c r="F67" s="238">
        <f t="shared" si="9"/>
        <v>-0.35942487866912354</v>
      </c>
    </row>
    <row r="68" spans="1:6" ht="20.25" customHeight="1" x14ac:dyDescent="0.3">
      <c r="A68" s="235">
        <v>3</v>
      </c>
      <c r="B68" s="236" t="s">
        <v>448</v>
      </c>
      <c r="C68" s="237">
        <v>115081</v>
      </c>
      <c r="D68" s="237">
        <v>60932</v>
      </c>
      <c r="E68" s="237">
        <f t="shared" si="8"/>
        <v>-54149</v>
      </c>
      <c r="F68" s="238">
        <f t="shared" si="9"/>
        <v>-0.47052945316776879</v>
      </c>
    </row>
    <row r="69" spans="1:6" ht="20.25" customHeight="1" x14ac:dyDescent="0.3">
      <c r="A69" s="235">
        <v>4</v>
      </c>
      <c r="B69" s="236" t="s">
        <v>449</v>
      </c>
      <c r="C69" s="237">
        <v>23188</v>
      </c>
      <c r="D69" s="237">
        <v>10505</v>
      </c>
      <c r="E69" s="237">
        <f t="shared" si="8"/>
        <v>-12683</v>
      </c>
      <c r="F69" s="238">
        <f t="shared" si="9"/>
        <v>-0.54696394686907024</v>
      </c>
    </row>
    <row r="70" spans="1:6" ht="20.25" customHeight="1" x14ac:dyDescent="0.3">
      <c r="A70" s="235">
        <v>5</v>
      </c>
      <c r="B70" s="236" t="s">
        <v>385</v>
      </c>
      <c r="C70" s="239">
        <v>5</v>
      </c>
      <c r="D70" s="239">
        <v>1</v>
      </c>
      <c r="E70" s="239">
        <f t="shared" si="8"/>
        <v>-4</v>
      </c>
      <c r="F70" s="238">
        <f t="shared" si="9"/>
        <v>-0.8</v>
      </c>
    </row>
    <row r="71" spans="1:6" ht="20.25" customHeight="1" x14ac:dyDescent="0.3">
      <c r="A71" s="235">
        <v>6</v>
      </c>
      <c r="B71" s="236" t="s">
        <v>384</v>
      </c>
      <c r="C71" s="239">
        <v>13</v>
      </c>
      <c r="D71" s="239">
        <v>19</v>
      </c>
      <c r="E71" s="239">
        <f t="shared" si="8"/>
        <v>6</v>
      </c>
      <c r="F71" s="238">
        <f t="shared" si="9"/>
        <v>0.46153846153846156</v>
      </c>
    </row>
    <row r="72" spans="1:6" ht="20.25" customHeight="1" x14ac:dyDescent="0.3">
      <c r="A72" s="235">
        <v>7</v>
      </c>
      <c r="B72" s="236" t="s">
        <v>450</v>
      </c>
      <c r="C72" s="239">
        <v>64</v>
      </c>
      <c r="D72" s="239">
        <v>14</v>
      </c>
      <c r="E72" s="239">
        <f t="shared" si="8"/>
        <v>-50</v>
      </c>
      <c r="F72" s="238">
        <f t="shared" si="9"/>
        <v>-0.78125</v>
      </c>
    </row>
    <row r="73" spans="1:6" ht="20.25" customHeight="1" x14ac:dyDescent="0.3">
      <c r="A73" s="235">
        <v>8</v>
      </c>
      <c r="B73" s="236" t="s">
        <v>451</v>
      </c>
      <c r="C73" s="239">
        <v>33</v>
      </c>
      <c r="D73" s="239">
        <v>14</v>
      </c>
      <c r="E73" s="239">
        <f t="shared" si="8"/>
        <v>-19</v>
      </c>
      <c r="F73" s="238">
        <f t="shared" si="9"/>
        <v>-0.5757575757575758</v>
      </c>
    </row>
    <row r="74" spans="1:6" ht="20.25" customHeight="1" x14ac:dyDescent="0.3">
      <c r="A74" s="235">
        <v>9</v>
      </c>
      <c r="B74" s="236" t="s">
        <v>452</v>
      </c>
      <c r="C74" s="239">
        <v>4</v>
      </c>
      <c r="D74" s="239">
        <v>4</v>
      </c>
      <c r="E74" s="239">
        <f t="shared" si="8"/>
        <v>0</v>
      </c>
      <c r="F74" s="238">
        <f t="shared" si="9"/>
        <v>0</v>
      </c>
    </row>
    <row r="75" spans="1:6" s="240" customFormat="1" ht="20.25" customHeight="1" x14ac:dyDescent="0.3">
      <c r="A75" s="241"/>
      <c r="B75" s="242" t="s">
        <v>453</v>
      </c>
      <c r="C75" s="243">
        <f>+C66+C68</f>
        <v>231256</v>
      </c>
      <c r="D75" s="243">
        <f>+D66+D68</f>
        <v>124886</v>
      </c>
      <c r="E75" s="243">
        <f t="shared" si="8"/>
        <v>-106370</v>
      </c>
      <c r="F75" s="244">
        <f t="shared" si="9"/>
        <v>-0.45996644411388243</v>
      </c>
    </row>
    <row r="76" spans="1:6" s="240" customFormat="1" ht="20.25" customHeight="1" x14ac:dyDescent="0.3">
      <c r="A76" s="241"/>
      <c r="B76" s="242" t="s">
        <v>454</v>
      </c>
      <c r="C76" s="243">
        <f>+C67+C69</f>
        <v>61719</v>
      </c>
      <c r="D76" s="243">
        <f>+D67+D69</f>
        <v>35187</v>
      </c>
      <c r="E76" s="243">
        <f t="shared" si="8"/>
        <v>-26532</v>
      </c>
      <c r="F76" s="244">
        <f t="shared" si="9"/>
        <v>-0.42988382831867011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459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446</v>
      </c>
      <c r="C79" s="237">
        <v>0</v>
      </c>
      <c r="D79" s="237">
        <v>0</v>
      </c>
      <c r="E79" s="237">
        <f t="shared" ref="E79:E89" si="10">D79-C79</f>
        <v>0</v>
      </c>
      <c r="F79" s="238">
        <f t="shared" ref="F79:F89" si="11">IF(C79=0,0,E79/C79)</f>
        <v>0</v>
      </c>
    </row>
    <row r="80" spans="1:6" ht="20.25" customHeight="1" x14ac:dyDescent="0.3">
      <c r="A80" s="235">
        <v>2</v>
      </c>
      <c r="B80" s="236" t="s">
        <v>447</v>
      </c>
      <c r="C80" s="237">
        <v>0</v>
      </c>
      <c r="D80" s="237">
        <v>0</v>
      </c>
      <c r="E80" s="237">
        <f t="shared" si="10"/>
        <v>0</v>
      </c>
      <c r="F80" s="238">
        <f t="shared" si="11"/>
        <v>0</v>
      </c>
    </row>
    <row r="81" spans="1:6" ht="20.25" customHeight="1" x14ac:dyDescent="0.3">
      <c r="A81" s="235">
        <v>3</v>
      </c>
      <c r="B81" s="236" t="s">
        <v>448</v>
      </c>
      <c r="C81" s="237">
        <v>0</v>
      </c>
      <c r="D81" s="237">
        <v>0</v>
      </c>
      <c r="E81" s="237">
        <f t="shared" si="10"/>
        <v>0</v>
      </c>
      <c r="F81" s="238">
        <f t="shared" si="11"/>
        <v>0</v>
      </c>
    </row>
    <row r="82" spans="1:6" ht="20.25" customHeight="1" x14ac:dyDescent="0.3">
      <c r="A82" s="235">
        <v>4</v>
      </c>
      <c r="B82" s="236" t="s">
        <v>449</v>
      </c>
      <c r="C82" s="237">
        <v>0</v>
      </c>
      <c r="D82" s="237">
        <v>0</v>
      </c>
      <c r="E82" s="237">
        <f t="shared" si="10"/>
        <v>0</v>
      </c>
      <c r="F82" s="238">
        <f t="shared" si="11"/>
        <v>0</v>
      </c>
    </row>
    <row r="83" spans="1:6" ht="20.25" customHeight="1" x14ac:dyDescent="0.3">
      <c r="A83" s="235">
        <v>5</v>
      </c>
      <c r="B83" s="236" t="s">
        <v>385</v>
      </c>
      <c r="C83" s="239">
        <v>0</v>
      </c>
      <c r="D83" s="239">
        <v>0</v>
      </c>
      <c r="E83" s="239">
        <f t="shared" si="10"/>
        <v>0</v>
      </c>
      <c r="F83" s="238">
        <f t="shared" si="11"/>
        <v>0</v>
      </c>
    </row>
    <row r="84" spans="1:6" ht="20.25" customHeight="1" x14ac:dyDescent="0.3">
      <c r="A84" s="235">
        <v>6</v>
      </c>
      <c r="B84" s="236" t="s">
        <v>384</v>
      </c>
      <c r="C84" s="239">
        <v>0</v>
      </c>
      <c r="D84" s="239">
        <v>0</v>
      </c>
      <c r="E84" s="239">
        <f t="shared" si="10"/>
        <v>0</v>
      </c>
      <c r="F84" s="238">
        <f t="shared" si="11"/>
        <v>0</v>
      </c>
    </row>
    <row r="85" spans="1:6" ht="20.25" customHeight="1" x14ac:dyDescent="0.3">
      <c r="A85" s="235">
        <v>7</v>
      </c>
      <c r="B85" s="236" t="s">
        <v>450</v>
      </c>
      <c r="C85" s="239">
        <v>0</v>
      </c>
      <c r="D85" s="239">
        <v>0</v>
      </c>
      <c r="E85" s="239">
        <f t="shared" si="10"/>
        <v>0</v>
      </c>
      <c r="F85" s="238">
        <f t="shared" si="11"/>
        <v>0</v>
      </c>
    </row>
    <row r="86" spans="1:6" ht="20.25" customHeight="1" x14ac:dyDescent="0.3">
      <c r="A86" s="235">
        <v>8</v>
      </c>
      <c r="B86" s="236" t="s">
        <v>451</v>
      </c>
      <c r="C86" s="239">
        <v>0</v>
      </c>
      <c r="D86" s="239">
        <v>0</v>
      </c>
      <c r="E86" s="239">
        <f t="shared" si="10"/>
        <v>0</v>
      </c>
      <c r="F86" s="238">
        <f t="shared" si="11"/>
        <v>0</v>
      </c>
    </row>
    <row r="87" spans="1:6" ht="20.25" customHeight="1" x14ac:dyDescent="0.3">
      <c r="A87" s="235">
        <v>9</v>
      </c>
      <c r="B87" s="236" t="s">
        <v>452</v>
      </c>
      <c r="C87" s="239">
        <v>0</v>
      </c>
      <c r="D87" s="239">
        <v>0</v>
      </c>
      <c r="E87" s="239">
        <f t="shared" si="10"/>
        <v>0</v>
      </c>
      <c r="F87" s="238">
        <f t="shared" si="11"/>
        <v>0</v>
      </c>
    </row>
    <row r="88" spans="1:6" s="240" customFormat="1" ht="20.25" customHeight="1" x14ac:dyDescent="0.3">
      <c r="A88" s="241"/>
      <c r="B88" s="242" t="s">
        <v>453</v>
      </c>
      <c r="C88" s="243">
        <f>+C79+C81</f>
        <v>0</v>
      </c>
      <c r="D88" s="243">
        <f>+D79+D81</f>
        <v>0</v>
      </c>
      <c r="E88" s="243">
        <f t="shared" si="10"/>
        <v>0</v>
      </c>
      <c r="F88" s="244">
        <f t="shared" si="11"/>
        <v>0</v>
      </c>
    </row>
    <row r="89" spans="1:6" s="240" customFormat="1" ht="20.25" customHeight="1" x14ac:dyDescent="0.3">
      <c r="A89" s="241"/>
      <c r="B89" s="242" t="s">
        <v>454</v>
      </c>
      <c r="C89" s="243">
        <f>+C80+C82</f>
        <v>0</v>
      </c>
      <c r="D89" s="243">
        <f>+D80+D82</f>
        <v>0</v>
      </c>
      <c r="E89" s="243">
        <f t="shared" si="10"/>
        <v>0</v>
      </c>
      <c r="F89" s="244">
        <f t="shared" si="11"/>
        <v>0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460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446</v>
      </c>
      <c r="C92" s="237">
        <v>5721008</v>
      </c>
      <c r="D92" s="237">
        <v>9220720</v>
      </c>
      <c r="E92" s="237">
        <f t="shared" ref="E92:E102" si="12">D92-C92</f>
        <v>3499712</v>
      </c>
      <c r="F92" s="238">
        <f t="shared" ref="F92:F102" si="13">IF(C92=0,0,E92/C92)</f>
        <v>0.61172996087402776</v>
      </c>
    </row>
    <row r="93" spans="1:6" ht="20.25" customHeight="1" x14ac:dyDescent="0.3">
      <c r="A93" s="235">
        <v>2</v>
      </c>
      <c r="B93" s="236" t="s">
        <v>447</v>
      </c>
      <c r="C93" s="237">
        <v>1942277</v>
      </c>
      <c r="D93" s="237">
        <v>3490116</v>
      </c>
      <c r="E93" s="237">
        <f t="shared" si="12"/>
        <v>1547839</v>
      </c>
      <c r="F93" s="238">
        <f t="shared" si="13"/>
        <v>0.79691980083170422</v>
      </c>
    </row>
    <row r="94" spans="1:6" ht="20.25" customHeight="1" x14ac:dyDescent="0.3">
      <c r="A94" s="235">
        <v>3</v>
      </c>
      <c r="B94" s="236" t="s">
        <v>448</v>
      </c>
      <c r="C94" s="237">
        <v>7351324</v>
      </c>
      <c r="D94" s="237">
        <v>11329596</v>
      </c>
      <c r="E94" s="237">
        <f t="shared" si="12"/>
        <v>3978272</v>
      </c>
      <c r="F94" s="238">
        <f t="shared" si="13"/>
        <v>0.54116401344846177</v>
      </c>
    </row>
    <row r="95" spans="1:6" ht="20.25" customHeight="1" x14ac:dyDescent="0.3">
      <c r="A95" s="235">
        <v>4</v>
      </c>
      <c r="B95" s="236" t="s">
        <v>449</v>
      </c>
      <c r="C95" s="237">
        <v>1773979</v>
      </c>
      <c r="D95" s="237">
        <v>2376262</v>
      </c>
      <c r="E95" s="237">
        <f t="shared" si="12"/>
        <v>602283</v>
      </c>
      <c r="F95" s="238">
        <f t="shared" si="13"/>
        <v>0.33950965597676186</v>
      </c>
    </row>
    <row r="96" spans="1:6" ht="20.25" customHeight="1" x14ac:dyDescent="0.3">
      <c r="A96" s="235">
        <v>5</v>
      </c>
      <c r="B96" s="236" t="s">
        <v>385</v>
      </c>
      <c r="C96" s="239">
        <v>287</v>
      </c>
      <c r="D96" s="239">
        <v>367</v>
      </c>
      <c r="E96" s="239">
        <f t="shared" si="12"/>
        <v>80</v>
      </c>
      <c r="F96" s="238">
        <f t="shared" si="13"/>
        <v>0.27874564459930312</v>
      </c>
    </row>
    <row r="97" spans="1:6" ht="20.25" customHeight="1" x14ac:dyDescent="0.3">
      <c r="A97" s="235">
        <v>6</v>
      </c>
      <c r="B97" s="236" t="s">
        <v>384</v>
      </c>
      <c r="C97" s="239">
        <v>1181</v>
      </c>
      <c r="D97" s="239">
        <v>1950</v>
      </c>
      <c r="E97" s="239">
        <f t="shared" si="12"/>
        <v>769</v>
      </c>
      <c r="F97" s="238">
        <f t="shared" si="13"/>
        <v>0.65114309906858592</v>
      </c>
    </row>
    <row r="98" spans="1:6" ht="20.25" customHeight="1" x14ac:dyDescent="0.3">
      <c r="A98" s="235">
        <v>7</v>
      </c>
      <c r="B98" s="236" t="s">
        <v>450</v>
      </c>
      <c r="C98" s="239">
        <v>3829</v>
      </c>
      <c r="D98" s="239">
        <v>7013</v>
      </c>
      <c r="E98" s="239">
        <f t="shared" si="12"/>
        <v>3184</v>
      </c>
      <c r="F98" s="238">
        <f t="shared" si="13"/>
        <v>0.83154870723426477</v>
      </c>
    </row>
    <row r="99" spans="1:6" ht="20.25" customHeight="1" x14ac:dyDescent="0.3">
      <c r="A99" s="235">
        <v>8</v>
      </c>
      <c r="B99" s="236" t="s">
        <v>451</v>
      </c>
      <c r="C99" s="239">
        <v>534</v>
      </c>
      <c r="D99" s="239">
        <v>668</v>
      </c>
      <c r="E99" s="239">
        <f t="shared" si="12"/>
        <v>134</v>
      </c>
      <c r="F99" s="238">
        <f t="shared" si="13"/>
        <v>0.25093632958801498</v>
      </c>
    </row>
    <row r="100" spans="1:6" ht="20.25" customHeight="1" x14ac:dyDescent="0.3">
      <c r="A100" s="235">
        <v>9</v>
      </c>
      <c r="B100" s="236" t="s">
        <v>452</v>
      </c>
      <c r="C100" s="239">
        <v>247</v>
      </c>
      <c r="D100" s="239">
        <v>379</v>
      </c>
      <c r="E100" s="239">
        <f t="shared" si="12"/>
        <v>132</v>
      </c>
      <c r="F100" s="238">
        <f t="shared" si="13"/>
        <v>0.53441295546558709</v>
      </c>
    </row>
    <row r="101" spans="1:6" s="240" customFormat="1" ht="20.25" customHeight="1" x14ac:dyDescent="0.3">
      <c r="A101" s="241"/>
      <c r="B101" s="242" t="s">
        <v>453</v>
      </c>
      <c r="C101" s="243">
        <f>+C92+C94</f>
        <v>13072332</v>
      </c>
      <c r="D101" s="243">
        <f>+D92+D94</f>
        <v>20550316</v>
      </c>
      <c r="E101" s="243">
        <f t="shared" si="12"/>
        <v>7477984</v>
      </c>
      <c r="F101" s="244">
        <f t="shared" si="13"/>
        <v>0.57204667078528915</v>
      </c>
    </row>
    <row r="102" spans="1:6" s="240" customFormat="1" ht="20.25" customHeight="1" x14ac:dyDescent="0.3">
      <c r="A102" s="241"/>
      <c r="B102" s="242" t="s">
        <v>454</v>
      </c>
      <c r="C102" s="243">
        <f>+C93+C95</f>
        <v>3716256</v>
      </c>
      <c r="D102" s="243">
        <f>+D93+D95</f>
        <v>5866378</v>
      </c>
      <c r="E102" s="243">
        <f t="shared" si="12"/>
        <v>2150122</v>
      </c>
      <c r="F102" s="244">
        <f t="shared" si="13"/>
        <v>0.57857208975915542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461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446</v>
      </c>
      <c r="C105" s="237">
        <v>561655</v>
      </c>
      <c r="D105" s="237">
        <v>767385</v>
      </c>
      <c r="E105" s="237">
        <f t="shared" ref="E105:E115" si="14">D105-C105</f>
        <v>205730</v>
      </c>
      <c r="F105" s="238">
        <f t="shared" ref="F105:F115" si="15">IF(C105=0,0,E105/C105)</f>
        <v>0.36629247491787664</v>
      </c>
    </row>
    <row r="106" spans="1:6" ht="20.25" customHeight="1" x14ac:dyDescent="0.3">
      <c r="A106" s="235">
        <v>2</v>
      </c>
      <c r="B106" s="236" t="s">
        <v>447</v>
      </c>
      <c r="C106" s="237">
        <v>160518</v>
      </c>
      <c r="D106" s="237">
        <v>283876</v>
      </c>
      <c r="E106" s="237">
        <f t="shared" si="14"/>
        <v>123358</v>
      </c>
      <c r="F106" s="238">
        <f t="shared" si="15"/>
        <v>0.76849948292403347</v>
      </c>
    </row>
    <row r="107" spans="1:6" ht="20.25" customHeight="1" x14ac:dyDescent="0.3">
      <c r="A107" s="235">
        <v>3</v>
      </c>
      <c r="B107" s="236" t="s">
        <v>448</v>
      </c>
      <c r="C107" s="237">
        <v>516643</v>
      </c>
      <c r="D107" s="237">
        <v>838936</v>
      </c>
      <c r="E107" s="237">
        <f t="shared" si="14"/>
        <v>322293</v>
      </c>
      <c r="F107" s="238">
        <f t="shared" si="15"/>
        <v>0.62382147827416612</v>
      </c>
    </row>
    <row r="108" spans="1:6" ht="20.25" customHeight="1" x14ac:dyDescent="0.3">
      <c r="A108" s="235">
        <v>4</v>
      </c>
      <c r="B108" s="236" t="s">
        <v>449</v>
      </c>
      <c r="C108" s="237">
        <v>92044</v>
      </c>
      <c r="D108" s="237">
        <v>135326</v>
      </c>
      <c r="E108" s="237">
        <f t="shared" si="14"/>
        <v>43282</v>
      </c>
      <c r="F108" s="238">
        <f t="shared" si="15"/>
        <v>0.47023162835165788</v>
      </c>
    </row>
    <row r="109" spans="1:6" ht="20.25" customHeight="1" x14ac:dyDescent="0.3">
      <c r="A109" s="235">
        <v>5</v>
      </c>
      <c r="B109" s="236" t="s">
        <v>385</v>
      </c>
      <c r="C109" s="239">
        <v>27</v>
      </c>
      <c r="D109" s="239">
        <v>26</v>
      </c>
      <c r="E109" s="239">
        <f t="shared" si="14"/>
        <v>-1</v>
      </c>
      <c r="F109" s="238">
        <f t="shared" si="15"/>
        <v>-3.7037037037037035E-2</v>
      </c>
    </row>
    <row r="110" spans="1:6" ht="20.25" customHeight="1" x14ac:dyDescent="0.3">
      <c r="A110" s="235">
        <v>6</v>
      </c>
      <c r="B110" s="236" t="s">
        <v>384</v>
      </c>
      <c r="C110" s="239">
        <v>137</v>
      </c>
      <c r="D110" s="239">
        <v>243</v>
      </c>
      <c r="E110" s="239">
        <f t="shared" si="14"/>
        <v>106</v>
      </c>
      <c r="F110" s="238">
        <f t="shared" si="15"/>
        <v>0.77372262773722633</v>
      </c>
    </row>
    <row r="111" spans="1:6" ht="20.25" customHeight="1" x14ac:dyDescent="0.3">
      <c r="A111" s="235">
        <v>7</v>
      </c>
      <c r="B111" s="236" t="s">
        <v>450</v>
      </c>
      <c r="C111" s="239">
        <v>198</v>
      </c>
      <c r="D111" s="239">
        <v>425</v>
      </c>
      <c r="E111" s="239">
        <f t="shared" si="14"/>
        <v>227</v>
      </c>
      <c r="F111" s="238">
        <f t="shared" si="15"/>
        <v>1.1464646464646464</v>
      </c>
    </row>
    <row r="112" spans="1:6" ht="20.25" customHeight="1" x14ac:dyDescent="0.3">
      <c r="A112" s="235">
        <v>8</v>
      </c>
      <c r="B112" s="236" t="s">
        <v>451</v>
      </c>
      <c r="C112" s="239">
        <v>84</v>
      </c>
      <c r="D112" s="239">
        <v>91</v>
      </c>
      <c r="E112" s="239">
        <f t="shared" si="14"/>
        <v>7</v>
      </c>
      <c r="F112" s="238">
        <f t="shared" si="15"/>
        <v>8.3333333333333329E-2</v>
      </c>
    </row>
    <row r="113" spans="1:6" ht="20.25" customHeight="1" x14ac:dyDescent="0.3">
      <c r="A113" s="235">
        <v>9</v>
      </c>
      <c r="B113" s="236" t="s">
        <v>452</v>
      </c>
      <c r="C113" s="239">
        <v>25</v>
      </c>
      <c r="D113" s="239">
        <v>45</v>
      </c>
      <c r="E113" s="239">
        <f t="shared" si="14"/>
        <v>20</v>
      </c>
      <c r="F113" s="238">
        <f t="shared" si="15"/>
        <v>0.8</v>
      </c>
    </row>
    <row r="114" spans="1:6" s="240" customFormat="1" ht="20.25" customHeight="1" x14ac:dyDescent="0.3">
      <c r="A114" s="241"/>
      <c r="B114" s="242" t="s">
        <v>453</v>
      </c>
      <c r="C114" s="243">
        <f>+C105+C107</f>
        <v>1078298</v>
      </c>
      <c r="D114" s="243">
        <f>+D105+D107</f>
        <v>1606321</v>
      </c>
      <c r="E114" s="243">
        <f t="shared" si="14"/>
        <v>528023</v>
      </c>
      <c r="F114" s="244">
        <f t="shared" si="15"/>
        <v>0.48968188756725878</v>
      </c>
    </row>
    <row r="115" spans="1:6" s="240" customFormat="1" ht="20.25" customHeight="1" x14ac:dyDescent="0.3">
      <c r="A115" s="241"/>
      <c r="B115" s="242" t="s">
        <v>454</v>
      </c>
      <c r="C115" s="243">
        <f>+C106+C108</f>
        <v>252562</v>
      </c>
      <c r="D115" s="243">
        <f>+D106+D108</f>
        <v>419202</v>
      </c>
      <c r="E115" s="243">
        <f t="shared" si="14"/>
        <v>166640</v>
      </c>
      <c r="F115" s="244">
        <f t="shared" si="15"/>
        <v>0.65979838613884911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462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446</v>
      </c>
      <c r="C118" s="237">
        <v>843555</v>
      </c>
      <c r="D118" s="237">
        <v>1122170</v>
      </c>
      <c r="E118" s="237">
        <f t="shared" ref="E118:E128" si="16">D118-C118</f>
        <v>278615</v>
      </c>
      <c r="F118" s="238">
        <f t="shared" ref="F118:F128" si="17">IF(C118=0,0,E118/C118)</f>
        <v>0.33028670329735466</v>
      </c>
    </row>
    <row r="119" spans="1:6" ht="20.25" customHeight="1" x14ac:dyDescent="0.3">
      <c r="A119" s="235">
        <v>2</v>
      </c>
      <c r="B119" s="236" t="s">
        <v>447</v>
      </c>
      <c r="C119" s="237">
        <v>330760</v>
      </c>
      <c r="D119" s="237">
        <v>437779</v>
      </c>
      <c r="E119" s="237">
        <f t="shared" si="16"/>
        <v>107019</v>
      </c>
      <c r="F119" s="238">
        <f t="shared" si="17"/>
        <v>0.32355484339097834</v>
      </c>
    </row>
    <row r="120" spans="1:6" ht="20.25" customHeight="1" x14ac:dyDescent="0.3">
      <c r="A120" s="235">
        <v>3</v>
      </c>
      <c r="B120" s="236" t="s">
        <v>448</v>
      </c>
      <c r="C120" s="237">
        <v>910453</v>
      </c>
      <c r="D120" s="237">
        <v>1490990</v>
      </c>
      <c r="E120" s="237">
        <f t="shared" si="16"/>
        <v>580537</v>
      </c>
      <c r="F120" s="238">
        <f t="shared" si="17"/>
        <v>0.63763533098358727</v>
      </c>
    </row>
    <row r="121" spans="1:6" ht="20.25" customHeight="1" x14ac:dyDescent="0.3">
      <c r="A121" s="235">
        <v>4</v>
      </c>
      <c r="B121" s="236" t="s">
        <v>449</v>
      </c>
      <c r="C121" s="237">
        <v>283602</v>
      </c>
      <c r="D121" s="237">
        <v>336398</v>
      </c>
      <c r="E121" s="237">
        <f t="shared" si="16"/>
        <v>52796</v>
      </c>
      <c r="F121" s="238">
        <f t="shared" si="17"/>
        <v>0.18616229786813915</v>
      </c>
    </row>
    <row r="122" spans="1:6" ht="20.25" customHeight="1" x14ac:dyDescent="0.3">
      <c r="A122" s="235">
        <v>5</v>
      </c>
      <c r="B122" s="236" t="s">
        <v>385</v>
      </c>
      <c r="C122" s="239">
        <v>41</v>
      </c>
      <c r="D122" s="239">
        <v>48</v>
      </c>
      <c r="E122" s="239">
        <f t="shared" si="16"/>
        <v>7</v>
      </c>
      <c r="F122" s="238">
        <f t="shared" si="17"/>
        <v>0.17073170731707318</v>
      </c>
    </row>
    <row r="123" spans="1:6" ht="20.25" customHeight="1" x14ac:dyDescent="0.3">
      <c r="A123" s="235">
        <v>6</v>
      </c>
      <c r="B123" s="236" t="s">
        <v>384</v>
      </c>
      <c r="C123" s="239">
        <v>155</v>
      </c>
      <c r="D123" s="239">
        <v>206</v>
      </c>
      <c r="E123" s="239">
        <f t="shared" si="16"/>
        <v>51</v>
      </c>
      <c r="F123" s="238">
        <f t="shared" si="17"/>
        <v>0.32903225806451614</v>
      </c>
    </row>
    <row r="124" spans="1:6" ht="20.25" customHeight="1" x14ac:dyDescent="0.3">
      <c r="A124" s="235">
        <v>7</v>
      </c>
      <c r="B124" s="236" t="s">
        <v>450</v>
      </c>
      <c r="C124" s="239">
        <v>583</v>
      </c>
      <c r="D124" s="239">
        <v>902</v>
      </c>
      <c r="E124" s="239">
        <f t="shared" si="16"/>
        <v>319</v>
      </c>
      <c r="F124" s="238">
        <f t="shared" si="17"/>
        <v>0.54716981132075471</v>
      </c>
    </row>
    <row r="125" spans="1:6" ht="20.25" customHeight="1" x14ac:dyDescent="0.3">
      <c r="A125" s="235">
        <v>8</v>
      </c>
      <c r="B125" s="236" t="s">
        <v>451</v>
      </c>
      <c r="C125" s="239">
        <v>61</v>
      </c>
      <c r="D125" s="239">
        <v>111</v>
      </c>
      <c r="E125" s="239">
        <f t="shared" si="16"/>
        <v>50</v>
      </c>
      <c r="F125" s="238">
        <f t="shared" si="17"/>
        <v>0.81967213114754101</v>
      </c>
    </row>
    <row r="126" spans="1:6" ht="20.25" customHeight="1" x14ac:dyDescent="0.3">
      <c r="A126" s="235">
        <v>9</v>
      </c>
      <c r="B126" s="236" t="s">
        <v>452</v>
      </c>
      <c r="C126" s="239">
        <v>34</v>
      </c>
      <c r="D126" s="239">
        <v>38</v>
      </c>
      <c r="E126" s="239">
        <f t="shared" si="16"/>
        <v>4</v>
      </c>
      <c r="F126" s="238">
        <f t="shared" si="17"/>
        <v>0.11764705882352941</v>
      </c>
    </row>
    <row r="127" spans="1:6" s="240" customFormat="1" ht="20.25" customHeight="1" x14ac:dyDescent="0.3">
      <c r="A127" s="241"/>
      <c r="B127" s="242" t="s">
        <v>453</v>
      </c>
      <c r="C127" s="243">
        <f>+C118+C120</f>
        <v>1754008</v>
      </c>
      <c r="D127" s="243">
        <f>+D118+D120</f>
        <v>2613160</v>
      </c>
      <c r="E127" s="243">
        <f t="shared" si="16"/>
        <v>859152</v>
      </c>
      <c r="F127" s="244">
        <f t="shared" si="17"/>
        <v>0.48982216728772049</v>
      </c>
    </row>
    <row r="128" spans="1:6" s="240" customFormat="1" ht="20.25" customHeight="1" x14ac:dyDescent="0.3">
      <c r="A128" s="241"/>
      <c r="B128" s="242" t="s">
        <v>454</v>
      </c>
      <c r="C128" s="243">
        <f>+C119+C121</f>
        <v>614362</v>
      </c>
      <c r="D128" s="243">
        <f>+D119+D121</f>
        <v>774177</v>
      </c>
      <c r="E128" s="243">
        <f t="shared" si="16"/>
        <v>159815</v>
      </c>
      <c r="F128" s="244">
        <f t="shared" si="17"/>
        <v>0.26013164876733913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463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446</v>
      </c>
      <c r="C131" s="237">
        <v>12074</v>
      </c>
      <c r="D131" s="237">
        <v>26214</v>
      </c>
      <c r="E131" s="237">
        <f t="shared" ref="E131:E141" si="18">D131-C131</f>
        <v>14140</v>
      </c>
      <c r="F131" s="238">
        <f t="shared" ref="F131:F141" si="19">IF(C131=0,0,E131/C131)</f>
        <v>1.1711114792115289</v>
      </c>
    </row>
    <row r="132" spans="1:6" ht="20.25" customHeight="1" x14ac:dyDescent="0.3">
      <c r="A132" s="235">
        <v>2</v>
      </c>
      <c r="B132" s="236" t="s">
        <v>447</v>
      </c>
      <c r="C132" s="237">
        <v>5164</v>
      </c>
      <c r="D132" s="237">
        <v>15444</v>
      </c>
      <c r="E132" s="237">
        <f t="shared" si="18"/>
        <v>10280</v>
      </c>
      <c r="F132" s="238">
        <f t="shared" si="19"/>
        <v>1.9907048799380325</v>
      </c>
    </row>
    <row r="133" spans="1:6" ht="20.25" customHeight="1" x14ac:dyDescent="0.3">
      <c r="A133" s="235">
        <v>3</v>
      </c>
      <c r="B133" s="236" t="s">
        <v>448</v>
      </c>
      <c r="C133" s="237">
        <v>19568</v>
      </c>
      <c r="D133" s="237">
        <v>15375</v>
      </c>
      <c r="E133" s="237">
        <f t="shared" si="18"/>
        <v>-4193</v>
      </c>
      <c r="F133" s="238">
        <f t="shared" si="19"/>
        <v>-0.214278413736713</v>
      </c>
    </row>
    <row r="134" spans="1:6" ht="20.25" customHeight="1" x14ac:dyDescent="0.3">
      <c r="A134" s="235">
        <v>4</v>
      </c>
      <c r="B134" s="236" t="s">
        <v>449</v>
      </c>
      <c r="C134" s="237">
        <v>4072</v>
      </c>
      <c r="D134" s="237">
        <v>4048</v>
      </c>
      <c r="E134" s="237">
        <f t="shared" si="18"/>
        <v>-24</v>
      </c>
      <c r="F134" s="238">
        <f t="shared" si="19"/>
        <v>-5.893909626719057E-3</v>
      </c>
    </row>
    <row r="135" spans="1:6" ht="20.25" customHeight="1" x14ac:dyDescent="0.3">
      <c r="A135" s="235">
        <v>5</v>
      </c>
      <c r="B135" s="236" t="s">
        <v>385</v>
      </c>
      <c r="C135" s="239">
        <v>1</v>
      </c>
      <c r="D135" s="239">
        <v>1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384</v>
      </c>
      <c r="C136" s="239">
        <v>4</v>
      </c>
      <c r="D136" s="239">
        <v>11</v>
      </c>
      <c r="E136" s="239">
        <f t="shared" si="18"/>
        <v>7</v>
      </c>
      <c r="F136" s="238">
        <f t="shared" si="19"/>
        <v>1.75</v>
      </c>
    </row>
    <row r="137" spans="1:6" ht="20.25" customHeight="1" x14ac:dyDescent="0.3">
      <c r="A137" s="235">
        <v>7</v>
      </c>
      <c r="B137" s="236" t="s">
        <v>450</v>
      </c>
      <c r="C137" s="239">
        <v>8</v>
      </c>
      <c r="D137" s="239">
        <v>25</v>
      </c>
      <c r="E137" s="239">
        <f t="shared" si="18"/>
        <v>17</v>
      </c>
      <c r="F137" s="238">
        <f t="shared" si="19"/>
        <v>2.125</v>
      </c>
    </row>
    <row r="138" spans="1:6" ht="20.25" customHeight="1" x14ac:dyDescent="0.3">
      <c r="A138" s="235">
        <v>8</v>
      </c>
      <c r="B138" s="236" t="s">
        <v>451</v>
      </c>
      <c r="C138" s="239">
        <v>8</v>
      </c>
      <c r="D138" s="239">
        <v>1</v>
      </c>
      <c r="E138" s="239">
        <f t="shared" si="18"/>
        <v>-7</v>
      </c>
      <c r="F138" s="238">
        <f t="shared" si="19"/>
        <v>-0.875</v>
      </c>
    </row>
    <row r="139" spans="1:6" ht="20.25" customHeight="1" x14ac:dyDescent="0.3">
      <c r="A139" s="235">
        <v>9</v>
      </c>
      <c r="B139" s="236" t="s">
        <v>452</v>
      </c>
      <c r="C139" s="239">
        <v>1</v>
      </c>
      <c r="D139" s="239">
        <v>3</v>
      </c>
      <c r="E139" s="239">
        <f t="shared" si="18"/>
        <v>2</v>
      </c>
      <c r="F139" s="238">
        <f t="shared" si="19"/>
        <v>2</v>
      </c>
    </row>
    <row r="140" spans="1:6" s="240" customFormat="1" ht="20.25" customHeight="1" x14ac:dyDescent="0.3">
      <c r="A140" s="241"/>
      <c r="B140" s="242" t="s">
        <v>453</v>
      </c>
      <c r="C140" s="243">
        <f>+C131+C133</f>
        <v>31642</v>
      </c>
      <c r="D140" s="243">
        <f>+D131+D133</f>
        <v>41589</v>
      </c>
      <c r="E140" s="243">
        <f t="shared" si="18"/>
        <v>9947</v>
      </c>
      <c r="F140" s="244">
        <f t="shared" si="19"/>
        <v>0.31436065988243472</v>
      </c>
    </row>
    <row r="141" spans="1:6" s="240" customFormat="1" ht="20.25" customHeight="1" x14ac:dyDescent="0.3">
      <c r="A141" s="241"/>
      <c r="B141" s="242" t="s">
        <v>454</v>
      </c>
      <c r="C141" s="243">
        <f>+C132+C134</f>
        <v>9236</v>
      </c>
      <c r="D141" s="243">
        <f>+D132+D134</f>
        <v>19492</v>
      </c>
      <c r="E141" s="243">
        <f t="shared" si="18"/>
        <v>10256</v>
      </c>
      <c r="F141" s="244">
        <f t="shared" si="19"/>
        <v>1.1104374187960155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230</v>
      </c>
      <c r="B143" s="231" t="s">
        <v>464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446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447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448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449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385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384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450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451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452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453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454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465</v>
      </c>
      <c r="B156" s="231" t="s">
        <v>466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446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447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448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449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385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384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450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451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452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453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454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467</v>
      </c>
      <c r="B169" s="231" t="s">
        <v>468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446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447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448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449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385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384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450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451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452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453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454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469</v>
      </c>
      <c r="B182" s="231" t="s">
        <v>470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446</v>
      </c>
      <c r="C183" s="237">
        <v>525965</v>
      </c>
      <c r="D183" s="237">
        <v>219637</v>
      </c>
      <c r="E183" s="237">
        <f t="shared" ref="E183:E193" si="26">D183-C183</f>
        <v>-306328</v>
      </c>
      <c r="F183" s="238">
        <f t="shared" ref="F183:F193" si="27">IF(C183=0,0,E183/C183)</f>
        <v>-0.58241137718289238</v>
      </c>
    </row>
    <row r="184" spans="1:6" ht="20.25" customHeight="1" x14ac:dyDescent="0.3">
      <c r="A184" s="235">
        <v>2</v>
      </c>
      <c r="B184" s="236" t="s">
        <v>447</v>
      </c>
      <c r="C184" s="237">
        <v>174393</v>
      </c>
      <c r="D184" s="237">
        <v>88392</v>
      </c>
      <c r="E184" s="237">
        <f t="shared" si="26"/>
        <v>-86001</v>
      </c>
      <c r="F184" s="238">
        <f t="shared" si="27"/>
        <v>-0.49314479365570868</v>
      </c>
    </row>
    <row r="185" spans="1:6" ht="20.25" customHeight="1" x14ac:dyDescent="0.3">
      <c r="A185" s="235">
        <v>3</v>
      </c>
      <c r="B185" s="236" t="s">
        <v>448</v>
      </c>
      <c r="C185" s="237">
        <v>402980</v>
      </c>
      <c r="D185" s="237">
        <v>296994</v>
      </c>
      <c r="E185" s="237">
        <f t="shared" si="26"/>
        <v>-105986</v>
      </c>
      <c r="F185" s="238">
        <f t="shared" si="27"/>
        <v>-0.26300560821877017</v>
      </c>
    </row>
    <row r="186" spans="1:6" ht="20.25" customHeight="1" x14ac:dyDescent="0.3">
      <c r="A186" s="235">
        <v>4</v>
      </c>
      <c r="B186" s="236" t="s">
        <v>449</v>
      </c>
      <c r="C186" s="237">
        <v>100209</v>
      </c>
      <c r="D186" s="237">
        <v>70880</v>
      </c>
      <c r="E186" s="237">
        <f t="shared" si="26"/>
        <v>-29329</v>
      </c>
      <c r="F186" s="238">
        <f t="shared" si="27"/>
        <v>-0.2926783023480925</v>
      </c>
    </row>
    <row r="187" spans="1:6" ht="20.25" customHeight="1" x14ac:dyDescent="0.3">
      <c r="A187" s="235">
        <v>5</v>
      </c>
      <c r="B187" s="236" t="s">
        <v>385</v>
      </c>
      <c r="C187" s="239">
        <v>22</v>
      </c>
      <c r="D187" s="239">
        <v>19</v>
      </c>
      <c r="E187" s="239">
        <f t="shared" si="26"/>
        <v>-3</v>
      </c>
      <c r="F187" s="238">
        <f t="shared" si="27"/>
        <v>-0.13636363636363635</v>
      </c>
    </row>
    <row r="188" spans="1:6" ht="20.25" customHeight="1" x14ac:dyDescent="0.3">
      <c r="A188" s="235">
        <v>6</v>
      </c>
      <c r="B188" s="236" t="s">
        <v>384</v>
      </c>
      <c r="C188" s="239">
        <v>121</v>
      </c>
      <c r="D188" s="239">
        <v>51</v>
      </c>
      <c r="E188" s="239">
        <f t="shared" si="26"/>
        <v>-70</v>
      </c>
      <c r="F188" s="238">
        <f t="shared" si="27"/>
        <v>-0.57851239669421484</v>
      </c>
    </row>
    <row r="189" spans="1:6" ht="20.25" customHeight="1" x14ac:dyDescent="0.3">
      <c r="A189" s="235">
        <v>7</v>
      </c>
      <c r="B189" s="236" t="s">
        <v>450</v>
      </c>
      <c r="C189" s="239">
        <v>260</v>
      </c>
      <c r="D189" s="239">
        <v>379</v>
      </c>
      <c r="E189" s="239">
        <f t="shared" si="26"/>
        <v>119</v>
      </c>
      <c r="F189" s="238">
        <f t="shared" si="27"/>
        <v>0.45769230769230768</v>
      </c>
    </row>
    <row r="190" spans="1:6" ht="20.25" customHeight="1" x14ac:dyDescent="0.3">
      <c r="A190" s="235">
        <v>8</v>
      </c>
      <c r="B190" s="236" t="s">
        <v>451</v>
      </c>
      <c r="C190" s="239">
        <v>65</v>
      </c>
      <c r="D190" s="239">
        <v>36</v>
      </c>
      <c r="E190" s="239">
        <f t="shared" si="26"/>
        <v>-29</v>
      </c>
      <c r="F190" s="238">
        <f t="shared" si="27"/>
        <v>-0.44615384615384618</v>
      </c>
    </row>
    <row r="191" spans="1:6" ht="20.25" customHeight="1" x14ac:dyDescent="0.3">
      <c r="A191" s="235">
        <v>9</v>
      </c>
      <c r="B191" s="236" t="s">
        <v>452</v>
      </c>
      <c r="C191" s="239">
        <v>19</v>
      </c>
      <c r="D191" s="239">
        <v>14</v>
      </c>
      <c r="E191" s="239">
        <f t="shared" si="26"/>
        <v>-5</v>
      </c>
      <c r="F191" s="238">
        <f t="shared" si="27"/>
        <v>-0.26315789473684209</v>
      </c>
    </row>
    <row r="192" spans="1:6" s="240" customFormat="1" ht="20.25" customHeight="1" x14ac:dyDescent="0.3">
      <c r="A192" s="241"/>
      <c r="B192" s="242" t="s">
        <v>453</v>
      </c>
      <c r="C192" s="243">
        <f>+C183+C185</f>
        <v>928945</v>
      </c>
      <c r="D192" s="243">
        <f>+D183+D185</f>
        <v>516631</v>
      </c>
      <c r="E192" s="243">
        <f t="shared" si="26"/>
        <v>-412314</v>
      </c>
      <c r="F192" s="244">
        <f t="shared" si="27"/>
        <v>-0.44385189650625173</v>
      </c>
    </row>
    <row r="193" spans="1:9" s="240" customFormat="1" ht="20.25" customHeight="1" x14ac:dyDescent="0.3">
      <c r="A193" s="241"/>
      <c r="B193" s="242" t="s">
        <v>454</v>
      </c>
      <c r="C193" s="243">
        <f>+C184+C186</f>
        <v>274602</v>
      </c>
      <c r="D193" s="243">
        <f>+D184+D186</f>
        <v>159272</v>
      </c>
      <c r="E193" s="243">
        <f t="shared" si="26"/>
        <v>-115330</v>
      </c>
      <c r="F193" s="244">
        <f t="shared" si="27"/>
        <v>-0.4199896577592297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8" t="s">
        <v>44</v>
      </c>
      <c r="B195" s="689" t="s">
        <v>471</v>
      </c>
      <c r="C195" s="691"/>
      <c r="D195" s="692"/>
      <c r="E195" s="692"/>
      <c r="F195" s="693"/>
      <c r="G195" s="694"/>
      <c r="H195" s="694"/>
      <c r="I195" s="694"/>
    </row>
    <row r="196" spans="1:9" ht="20.25" customHeight="1" x14ac:dyDescent="0.3">
      <c r="A196" s="679"/>
      <c r="B196" s="690"/>
      <c r="C196" s="685"/>
      <c r="D196" s="686"/>
      <c r="E196" s="686"/>
      <c r="F196" s="687"/>
      <c r="G196" s="694"/>
      <c r="H196" s="694"/>
      <c r="I196" s="69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472</v>
      </c>
      <c r="C198" s="243">
        <f t="shared" ref="C198:D206" si="28">+C183+C170+C157+C144+C131+C118+C105+C92+C79+C66+C53+C40+C27+C14</f>
        <v>12722226</v>
      </c>
      <c r="D198" s="243">
        <f t="shared" si="28"/>
        <v>16525440</v>
      </c>
      <c r="E198" s="243">
        <f t="shared" ref="E198:E208" si="29">D198-C198</f>
        <v>3803214</v>
      </c>
      <c r="F198" s="251">
        <f t="shared" ref="F198:F208" si="30">IF(C198=0,0,E198/C198)</f>
        <v>0.29894249638388753</v>
      </c>
    </row>
    <row r="199" spans="1:9" ht="20.25" customHeight="1" x14ac:dyDescent="0.3">
      <c r="A199" s="249"/>
      <c r="B199" s="250" t="s">
        <v>473</v>
      </c>
      <c r="C199" s="243">
        <f t="shared" si="28"/>
        <v>4266629</v>
      </c>
      <c r="D199" s="243">
        <f t="shared" si="28"/>
        <v>6046789</v>
      </c>
      <c r="E199" s="243">
        <f t="shared" si="29"/>
        <v>1780160</v>
      </c>
      <c r="F199" s="251">
        <f t="shared" si="30"/>
        <v>0.41722868334697016</v>
      </c>
    </row>
    <row r="200" spans="1:9" ht="20.25" customHeight="1" x14ac:dyDescent="0.3">
      <c r="A200" s="249"/>
      <c r="B200" s="250" t="s">
        <v>474</v>
      </c>
      <c r="C200" s="243">
        <f t="shared" si="28"/>
        <v>15745506</v>
      </c>
      <c r="D200" s="243">
        <f t="shared" si="28"/>
        <v>22230841</v>
      </c>
      <c r="E200" s="243">
        <f t="shared" si="29"/>
        <v>6485335</v>
      </c>
      <c r="F200" s="251">
        <f t="shared" si="30"/>
        <v>0.41188482605767002</v>
      </c>
    </row>
    <row r="201" spans="1:9" ht="20.25" customHeight="1" x14ac:dyDescent="0.3">
      <c r="A201" s="249"/>
      <c r="B201" s="250" t="s">
        <v>475</v>
      </c>
      <c r="C201" s="243">
        <f t="shared" si="28"/>
        <v>3904884</v>
      </c>
      <c r="D201" s="243">
        <f t="shared" si="28"/>
        <v>4635036</v>
      </c>
      <c r="E201" s="243">
        <f t="shared" si="29"/>
        <v>730152</v>
      </c>
      <c r="F201" s="251">
        <f t="shared" si="30"/>
        <v>0.18698429966165447</v>
      </c>
    </row>
    <row r="202" spans="1:9" ht="20.25" customHeight="1" x14ac:dyDescent="0.3">
      <c r="A202" s="249"/>
      <c r="B202" s="250" t="s">
        <v>476</v>
      </c>
      <c r="C202" s="252">
        <f t="shared" si="28"/>
        <v>591</v>
      </c>
      <c r="D202" s="252">
        <f t="shared" si="28"/>
        <v>690</v>
      </c>
      <c r="E202" s="252">
        <f t="shared" si="29"/>
        <v>99</v>
      </c>
      <c r="F202" s="251">
        <f t="shared" si="30"/>
        <v>0.16751269035532995</v>
      </c>
    </row>
    <row r="203" spans="1:9" ht="20.25" customHeight="1" x14ac:dyDescent="0.3">
      <c r="A203" s="249"/>
      <c r="B203" s="250" t="s">
        <v>477</v>
      </c>
      <c r="C203" s="252">
        <f t="shared" si="28"/>
        <v>2559</v>
      </c>
      <c r="D203" s="252">
        <f t="shared" si="28"/>
        <v>3116</v>
      </c>
      <c r="E203" s="252">
        <f t="shared" si="29"/>
        <v>557</v>
      </c>
      <c r="F203" s="251">
        <f t="shared" si="30"/>
        <v>0.21766314966783901</v>
      </c>
    </row>
    <row r="204" spans="1:9" ht="39.950000000000003" customHeight="1" x14ac:dyDescent="0.3">
      <c r="A204" s="249"/>
      <c r="B204" s="250" t="s">
        <v>478</v>
      </c>
      <c r="C204" s="252">
        <f t="shared" si="28"/>
        <v>8023</v>
      </c>
      <c r="D204" s="252">
        <f t="shared" si="28"/>
        <v>13273</v>
      </c>
      <c r="E204" s="252">
        <f t="shared" si="29"/>
        <v>5250</v>
      </c>
      <c r="F204" s="251">
        <f t="shared" si="30"/>
        <v>0.65436869001620346</v>
      </c>
    </row>
    <row r="205" spans="1:9" ht="39.950000000000003" customHeight="1" x14ac:dyDescent="0.3">
      <c r="A205" s="249"/>
      <c r="B205" s="250" t="s">
        <v>479</v>
      </c>
      <c r="C205" s="252">
        <f t="shared" si="28"/>
        <v>1197</v>
      </c>
      <c r="D205" s="252">
        <f t="shared" si="28"/>
        <v>1270</v>
      </c>
      <c r="E205" s="252">
        <f t="shared" si="29"/>
        <v>73</v>
      </c>
      <c r="F205" s="251">
        <f t="shared" si="30"/>
        <v>6.0985797827903088E-2</v>
      </c>
    </row>
    <row r="206" spans="1:9" ht="39.950000000000003" customHeight="1" x14ac:dyDescent="0.3">
      <c r="A206" s="249"/>
      <c r="B206" s="250" t="s">
        <v>480</v>
      </c>
      <c r="C206" s="252">
        <f t="shared" si="28"/>
        <v>505</v>
      </c>
      <c r="D206" s="252">
        <f t="shared" si="28"/>
        <v>623</v>
      </c>
      <c r="E206" s="252">
        <f t="shared" si="29"/>
        <v>118</v>
      </c>
      <c r="F206" s="251">
        <f t="shared" si="30"/>
        <v>0.23366336633663368</v>
      </c>
    </row>
    <row r="207" spans="1:9" ht="20.25" customHeight="1" x14ac:dyDescent="0.3">
      <c r="A207" s="249"/>
      <c r="B207" s="242" t="s">
        <v>481</v>
      </c>
      <c r="C207" s="243">
        <f>+C198+C200</f>
        <v>28467732</v>
      </c>
      <c r="D207" s="243">
        <f>+D198+D200</f>
        <v>38756281</v>
      </c>
      <c r="E207" s="243">
        <f t="shared" si="29"/>
        <v>10288549</v>
      </c>
      <c r="F207" s="251">
        <f t="shared" si="30"/>
        <v>0.36141091253774627</v>
      </c>
    </row>
    <row r="208" spans="1:9" ht="20.25" customHeight="1" x14ac:dyDescent="0.3">
      <c r="A208" s="249"/>
      <c r="B208" s="242" t="s">
        <v>482</v>
      </c>
      <c r="C208" s="243">
        <f>+C199+C201</f>
        <v>8171513</v>
      </c>
      <c r="D208" s="243">
        <f>+D199+D201</f>
        <v>10681825</v>
      </c>
      <c r="E208" s="243">
        <f t="shared" si="29"/>
        <v>2510312</v>
      </c>
      <c r="F208" s="251">
        <f t="shared" si="30"/>
        <v>0.30720283991471348</v>
      </c>
    </row>
  </sheetData>
  <mergeCells count="12"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FILING&amp;RBRISTOL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4" t="s">
        <v>0</v>
      </c>
      <c r="B2" s="674"/>
      <c r="C2" s="674"/>
      <c r="D2" s="674"/>
      <c r="E2" s="674"/>
      <c r="F2" s="674"/>
    </row>
    <row r="3" spans="1:7" ht="20.25" customHeight="1" x14ac:dyDescent="0.3">
      <c r="A3" s="674" t="s">
        <v>1</v>
      </c>
      <c r="B3" s="674"/>
      <c r="C3" s="674"/>
      <c r="D3" s="674"/>
      <c r="E3" s="674"/>
      <c r="F3" s="674"/>
    </row>
    <row r="4" spans="1:7" ht="20.25" customHeight="1" x14ac:dyDescent="0.3">
      <c r="A4" s="674" t="s">
        <v>2</v>
      </c>
      <c r="B4" s="674"/>
      <c r="C4" s="674"/>
      <c r="D4" s="674"/>
      <c r="E4" s="674"/>
      <c r="F4" s="674"/>
    </row>
    <row r="5" spans="1:7" ht="20.25" customHeight="1" x14ac:dyDescent="0.3">
      <c r="A5" s="674" t="s">
        <v>483</v>
      </c>
      <c r="B5" s="674"/>
      <c r="C5" s="674"/>
      <c r="D5" s="674"/>
      <c r="E5" s="674"/>
      <c r="F5" s="674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442</v>
      </c>
      <c r="D8" s="223" t="s">
        <v>443</v>
      </c>
      <c r="E8" s="223" t="s">
        <v>444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8" t="s">
        <v>12</v>
      </c>
      <c r="B10" s="689" t="s">
        <v>115</v>
      </c>
      <c r="C10" s="691"/>
      <c r="D10" s="692"/>
      <c r="E10" s="692"/>
      <c r="F10" s="693"/>
    </row>
    <row r="11" spans="1:7" ht="20.25" customHeight="1" x14ac:dyDescent="0.3">
      <c r="A11" s="679"/>
      <c r="B11" s="690"/>
      <c r="C11" s="685"/>
      <c r="D11" s="686"/>
      <c r="E11" s="686"/>
      <c r="F11" s="687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484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446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447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448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449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385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384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450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451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452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453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482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485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446</v>
      </c>
      <c r="C26" s="237">
        <v>5957223</v>
      </c>
      <c r="D26" s="237">
        <v>1185502</v>
      </c>
      <c r="E26" s="237">
        <f t="shared" ref="E26:E36" si="2">D26-C26</f>
        <v>-4771721</v>
      </c>
      <c r="F26" s="238">
        <f t="shared" ref="F26:F36" si="3">IF(C26=0,0,E26/C26)</f>
        <v>-0.80099754533278344</v>
      </c>
    </row>
    <row r="27" spans="1:6" ht="20.25" customHeight="1" x14ac:dyDescent="0.3">
      <c r="A27" s="235">
        <v>2</v>
      </c>
      <c r="B27" s="236" t="s">
        <v>447</v>
      </c>
      <c r="C27" s="237">
        <v>1504568</v>
      </c>
      <c r="D27" s="237">
        <v>158380</v>
      </c>
      <c r="E27" s="237">
        <f t="shared" si="2"/>
        <v>-1346188</v>
      </c>
      <c r="F27" s="238">
        <f t="shared" si="3"/>
        <v>-0.89473390368531036</v>
      </c>
    </row>
    <row r="28" spans="1:6" ht="20.25" customHeight="1" x14ac:dyDescent="0.3">
      <c r="A28" s="235">
        <v>3</v>
      </c>
      <c r="B28" s="236" t="s">
        <v>448</v>
      </c>
      <c r="C28" s="237">
        <v>18418803</v>
      </c>
      <c r="D28" s="237">
        <v>4114983</v>
      </c>
      <c r="E28" s="237">
        <f t="shared" si="2"/>
        <v>-14303820</v>
      </c>
      <c r="F28" s="238">
        <f t="shared" si="3"/>
        <v>-0.77658792485049111</v>
      </c>
    </row>
    <row r="29" spans="1:6" ht="20.25" customHeight="1" x14ac:dyDescent="0.3">
      <c r="A29" s="235">
        <v>4</v>
      </c>
      <c r="B29" s="236" t="s">
        <v>449</v>
      </c>
      <c r="C29" s="237">
        <v>4569375</v>
      </c>
      <c r="D29" s="237">
        <v>524385</v>
      </c>
      <c r="E29" s="237">
        <f t="shared" si="2"/>
        <v>-4044990</v>
      </c>
      <c r="F29" s="238">
        <f t="shared" si="3"/>
        <v>-0.88523922855970461</v>
      </c>
    </row>
    <row r="30" spans="1:6" ht="20.25" customHeight="1" x14ac:dyDescent="0.3">
      <c r="A30" s="235">
        <v>5</v>
      </c>
      <c r="B30" s="236" t="s">
        <v>385</v>
      </c>
      <c r="C30" s="239">
        <v>534</v>
      </c>
      <c r="D30" s="239">
        <v>81</v>
      </c>
      <c r="E30" s="239">
        <f t="shared" si="2"/>
        <v>-453</v>
      </c>
      <c r="F30" s="238">
        <f t="shared" si="3"/>
        <v>-0.848314606741573</v>
      </c>
    </row>
    <row r="31" spans="1:6" ht="20.25" customHeight="1" x14ac:dyDescent="0.3">
      <c r="A31" s="235">
        <v>6</v>
      </c>
      <c r="B31" s="236" t="s">
        <v>384</v>
      </c>
      <c r="C31" s="239">
        <v>1420</v>
      </c>
      <c r="D31" s="239">
        <v>281</v>
      </c>
      <c r="E31" s="239">
        <f t="shared" si="2"/>
        <v>-1139</v>
      </c>
      <c r="F31" s="238">
        <f t="shared" si="3"/>
        <v>-0.80211267605633807</v>
      </c>
    </row>
    <row r="32" spans="1:6" ht="20.25" customHeight="1" x14ac:dyDescent="0.3">
      <c r="A32" s="235">
        <v>7</v>
      </c>
      <c r="B32" s="236" t="s">
        <v>450</v>
      </c>
      <c r="C32" s="239">
        <v>7408</v>
      </c>
      <c r="D32" s="239">
        <v>1982</v>
      </c>
      <c r="E32" s="239">
        <f t="shared" si="2"/>
        <v>-5426</v>
      </c>
      <c r="F32" s="238">
        <f t="shared" si="3"/>
        <v>-0.73245140388768903</v>
      </c>
    </row>
    <row r="33" spans="1:6" ht="20.25" customHeight="1" x14ac:dyDescent="0.3">
      <c r="A33" s="235">
        <v>8</v>
      </c>
      <c r="B33" s="236" t="s">
        <v>451</v>
      </c>
      <c r="C33" s="239">
        <v>6027</v>
      </c>
      <c r="D33" s="239">
        <v>1377</v>
      </c>
      <c r="E33" s="239">
        <f t="shared" si="2"/>
        <v>-4650</v>
      </c>
      <c r="F33" s="238">
        <f t="shared" si="3"/>
        <v>-0.77152812344449972</v>
      </c>
    </row>
    <row r="34" spans="1:6" ht="20.25" customHeight="1" x14ac:dyDescent="0.3">
      <c r="A34" s="235">
        <v>9</v>
      </c>
      <c r="B34" s="236" t="s">
        <v>452</v>
      </c>
      <c r="C34" s="239">
        <v>135</v>
      </c>
      <c r="D34" s="239">
        <v>25</v>
      </c>
      <c r="E34" s="239">
        <f t="shared" si="2"/>
        <v>-110</v>
      </c>
      <c r="F34" s="238">
        <f t="shared" si="3"/>
        <v>-0.81481481481481477</v>
      </c>
    </row>
    <row r="35" spans="1:6" s="240" customFormat="1" ht="39.950000000000003" customHeight="1" x14ac:dyDescent="0.3">
      <c r="A35" s="245"/>
      <c r="B35" s="242" t="s">
        <v>453</v>
      </c>
      <c r="C35" s="243">
        <f>+C26+C28</f>
        <v>24376026</v>
      </c>
      <c r="D35" s="243">
        <f>+D26+D28</f>
        <v>5300485</v>
      </c>
      <c r="E35" s="243">
        <f t="shared" si="2"/>
        <v>-19075541</v>
      </c>
      <c r="F35" s="244">
        <f t="shared" si="3"/>
        <v>-0.78255335795916858</v>
      </c>
    </row>
    <row r="36" spans="1:6" s="240" customFormat="1" ht="39.950000000000003" customHeight="1" x14ac:dyDescent="0.3">
      <c r="A36" s="245"/>
      <c r="B36" s="242" t="s">
        <v>482</v>
      </c>
      <c r="C36" s="243">
        <f>+C27+C29</f>
        <v>6073943</v>
      </c>
      <c r="D36" s="243">
        <f>+D27+D29</f>
        <v>682765</v>
      </c>
      <c r="E36" s="243">
        <f t="shared" si="2"/>
        <v>-5391178</v>
      </c>
      <c r="F36" s="244">
        <f t="shared" si="3"/>
        <v>-0.88759114137225192</v>
      </c>
    </row>
    <row r="37" spans="1:6" ht="42" customHeight="1" x14ac:dyDescent="0.3">
      <c r="A37" s="227" t="s">
        <v>141</v>
      </c>
      <c r="B37" s="261" t="s">
        <v>486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446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447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448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449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385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384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450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451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452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453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482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487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446</v>
      </c>
      <c r="C50" s="237">
        <v>981374</v>
      </c>
      <c r="D50" s="237">
        <v>216381</v>
      </c>
      <c r="E50" s="237">
        <f t="shared" ref="E50:E60" si="6">D50-C50</f>
        <v>-764993</v>
      </c>
      <c r="F50" s="238">
        <f t="shared" ref="F50:F60" si="7">IF(C50=0,0,E50/C50)</f>
        <v>-0.77951219412782491</v>
      </c>
    </row>
    <row r="51" spans="1:6" ht="20.25" customHeight="1" x14ac:dyDescent="0.3">
      <c r="A51" s="235">
        <v>2</v>
      </c>
      <c r="B51" s="236" t="s">
        <v>447</v>
      </c>
      <c r="C51" s="237">
        <v>278206</v>
      </c>
      <c r="D51" s="237">
        <v>29132</v>
      </c>
      <c r="E51" s="237">
        <f t="shared" si="6"/>
        <v>-249074</v>
      </c>
      <c r="F51" s="238">
        <f t="shared" si="7"/>
        <v>-0.89528622675283787</v>
      </c>
    </row>
    <row r="52" spans="1:6" ht="20.25" customHeight="1" x14ac:dyDescent="0.3">
      <c r="A52" s="235">
        <v>3</v>
      </c>
      <c r="B52" s="236" t="s">
        <v>448</v>
      </c>
      <c r="C52" s="237">
        <v>829883</v>
      </c>
      <c r="D52" s="237">
        <v>208233</v>
      </c>
      <c r="E52" s="237">
        <f t="shared" si="6"/>
        <v>-621650</v>
      </c>
      <c r="F52" s="238">
        <f t="shared" si="7"/>
        <v>-0.74908149703030424</v>
      </c>
    </row>
    <row r="53" spans="1:6" ht="20.25" customHeight="1" x14ac:dyDescent="0.3">
      <c r="A53" s="235">
        <v>4</v>
      </c>
      <c r="B53" s="236" t="s">
        <v>449</v>
      </c>
      <c r="C53" s="237">
        <v>248092</v>
      </c>
      <c r="D53" s="237">
        <v>37055</v>
      </c>
      <c r="E53" s="237">
        <f t="shared" si="6"/>
        <v>-211037</v>
      </c>
      <c r="F53" s="238">
        <f t="shared" si="7"/>
        <v>-0.8506400851297099</v>
      </c>
    </row>
    <row r="54" spans="1:6" ht="20.25" customHeight="1" x14ac:dyDescent="0.3">
      <c r="A54" s="235">
        <v>5</v>
      </c>
      <c r="B54" s="236" t="s">
        <v>385</v>
      </c>
      <c r="C54" s="239">
        <v>105</v>
      </c>
      <c r="D54" s="239">
        <v>21</v>
      </c>
      <c r="E54" s="239">
        <f t="shared" si="6"/>
        <v>-84</v>
      </c>
      <c r="F54" s="238">
        <f t="shared" si="7"/>
        <v>-0.8</v>
      </c>
    </row>
    <row r="55" spans="1:6" ht="20.25" customHeight="1" x14ac:dyDescent="0.3">
      <c r="A55" s="235">
        <v>6</v>
      </c>
      <c r="B55" s="236" t="s">
        <v>384</v>
      </c>
      <c r="C55" s="239">
        <v>404</v>
      </c>
      <c r="D55" s="239">
        <v>73</v>
      </c>
      <c r="E55" s="239">
        <f t="shared" si="6"/>
        <v>-331</v>
      </c>
      <c r="F55" s="238">
        <f t="shared" si="7"/>
        <v>-0.81930693069306926</v>
      </c>
    </row>
    <row r="56" spans="1:6" ht="20.25" customHeight="1" x14ac:dyDescent="0.3">
      <c r="A56" s="235">
        <v>7</v>
      </c>
      <c r="B56" s="236" t="s">
        <v>450</v>
      </c>
      <c r="C56" s="239">
        <v>1407</v>
      </c>
      <c r="D56" s="239">
        <v>324</v>
      </c>
      <c r="E56" s="239">
        <f t="shared" si="6"/>
        <v>-1083</v>
      </c>
      <c r="F56" s="238">
        <f t="shared" si="7"/>
        <v>-0.76972281449893387</v>
      </c>
    </row>
    <row r="57" spans="1:6" ht="20.25" customHeight="1" x14ac:dyDescent="0.3">
      <c r="A57" s="235">
        <v>8</v>
      </c>
      <c r="B57" s="236" t="s">
        <v>451</v>
      </c>
      <c r="C57" s="239">
        <v>13</v>
      </c>
      <c r="D57" s="239">
        <v>3</v>
      </c>
      <c r="E57" s="239">
        <f t="shared" si="6"/>
        <v>-10</v>
      </c>
      <c r="F57" s="238">
        <f t="shared" si="7"/>
        <v>-0.76923076923076927</v>
      </c>
    </row>
    <row r="58" spans="1:6" ht="20.25" customHeight="1" x14ac:dyDescent="0.3">
      <c r="A58" s="235">
        <v>9</v>
      </c>
      <c r="B58" s="236" t="s">
        <v>452</v>
      </c>
      <c r="C58" s="239">
        <v>91</v>
      </c>
      <c r="D58" s="239">
        <v>19</v>
      </c>
      <c r="E58" s="239">
        <f t="shared" si="6"/>
        <v>-72</v>
      </c>
      <c r="F58" s="238">
        <f t="shared" si="7"/>
        <v>-0.79120879120879117</v>
      </c>
    </row>
    <row r="59" spans="1:6" s="240" customFormat="1" ht="39.950000000000003" customHeight="1" x14ac:dyDescent="0.3">
      <c r="A59" s="245"/>
      <c r="B59" s="242" t="s">
        <v>453</v>
      </c>
      <c r="C59" s="243">
        <f>+C50+C52</f>
        <v>1811257</v>
      </c>
      <c r="D59" s="243">
        <f>+D50+D52</f>
        <v>424614</v>
      </c>
      <c r="E59" s="243">
        <f t="shared" si="6"/>
        <v>-1386643</v>
      </c>
      <c r="F59" s="244">
        <f t="shared" si="7"/>
        <v>-0.76556943603254535</v>
      </c>
    </row>
    <row r="60" spans="1:6" s="240" customFormat="1" ht="39.950000000000003" customHeight="1" x14ac:dyDescent="0.3">
      <c r="A60" s="245"/>
      <c r="B60" s="242" t="s">
        <v>482</v>
      </c>
      <c r="C60" s="243">
        <f>+C51+C53</f>
        <v>526298</v>
      </c>
      <c r="D60" s="243">
        <f>+D51+D53</f>
        <v>66187</v>
      </c>
      <c r="E60" s="243">
        <f t="shared" si="6"/>
        <v>-460111</v>
      </c>
      <c r="F60" s="244">
        <f t="shared" si="7"/>
        <v>-0.87424044932718725</v>
      </c>
    </row>
    <row r="61" spans="1:6" ht="42" customHeight="1" x14ac:dyDescent="0.3">
      <c r="A61" s="227" t="s">
        <v>176</v>
      </c>
      <c r="B61" s="261" t="s">
        <v>461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446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447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448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449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385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384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450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451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452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453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482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488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446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447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448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449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385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384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450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451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452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453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482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489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446</v>
      </c>
      <c r="C86" s="237">
        <v>848011</v>
      </c>
      <c r="D86" s="237">
        <v>110599</v>
      </c>
      <c r="E86" s="237">
        <f t="shared" ref="E86:E96" si="12">D86-C86</f>
        <v>-737412</v>
      </c>
      <c r="F86" s="238">
        <f t="shared" ref="F86:F96" si="13">IF(C86=0,0,E86/C86)</f>
        <v>-0.86957834273376167</v>
      </c>
    </row>
    <row r="87" spans="1:6" ht="20.25" customHeight="1" x14ac:dyDescent="0.3">
      <c r="A87" s="235">
        <v>2</v>
      </c>
      <c r="B87" s="236" t="s">
        <v>447</v>
      </c>
      <c r="C87" s="237">
        <v>209169</v>
      </c>
      <c r="D87" s="237">
        <v>17789</v>
      </c>
      <c r="E87" s="237">
        <f t="shared" si="12"/>
        <v>-191380</v>
      </c>
      <c r="F87" s="238">
        <f t="shared" si="13"/>
        <v>-0.91495393676883285</v>
      </c>
    </row>
    <row r="88" spans="1:6" ht="20.25" customHeight="1" x14ac:dyDescent="0.3">
      <c r="A88" s="235">
        <v>3</v>
      </c>
      <c r="B88" s="236" t="s">
        <v>448</v>
      </c>
      <c r="C88" s="237">
        <v>1340181</v>
      </c>
      <c r="D88" s="237">
        <v>344400</v>
      </c>
      <c r="E88" s="237">
        <f t="shared" si="12"/>
        <v>-995781</v>
      </c>
      <c r="F88" s="238">
        <f t="shared" si="13"/>
        <v>-0.74301978613336561</v>
      </c>
    </row>
    <row r="89" spans="1:6" ht="20.25" customHeight="1" x14ac:dyDescent="0.3">
      <c r="A89" s="235">
        <v>4</v>
      </c>
      <c r="B89" s="236" t="s">
        <v>449</v>
      </c>
      <c r="C89" s="237">
        <v>299597</v>
      </c>
      <c r="D89" s="237">
        <v>40112</v>
      </c>
      <c r="E89" s="237">
        <f t="shared" si="12"/>
        <v>-259485</v>
      </c>
      <c r="F89" s="238">
        <f t="shared" si="13"/>
        <v>-0.86611347910693359</v>
      </c>
    </row>
    <row r="90" spans="1:6" ht="20.25" customHeight="1" x14ac:dyDescent="0.3">
      <c r="A90" s="235">
        <v>5</v>
      </c>
      <c r="B90" s="236" t="s">
        <v>385</v>
      </c>
      <c r="C90" s="239">
        <v>67</v>
      </c>
      <c r="D90" s="239">
        <v>13</v>
      </c>
      <c r="E90" s="239">
        <f t="shared" si="12"/>
        <v>-54</v>
      </c>
      <c r="F90" s="238">
        <f t="shared" si="13"/>
        <v>-0.80597014925373134</v>
      </c>
    </row>
    <row r="91" spans="1:6" ht="20.25" customHeight="1" x14ac:dyDescent="0.3">
      <c r="A91" s="235">
        <v>6</v>
      </c>
      <c r="B91" s="236" t="s">
        <v>384</v>
      </c>
      <c r="C91" s="239">
        <v>195</v>
      </c>
      <c r="D91" s="239">
        <v>31</v>
      </c>
      <c r="E91" s="239">
        <f t="shared" si="12"/>
        <v>-164</v>
      </c>
      <c r="F91" s="238">
        <f t="shared" si="13"/>
        <v>-0.84102564102564104</v>
      </c>
    </row>
    <row r="92" spans="1:6" ht="20.25" customHeight="1" x14ac:dyDescent="0.3">
      <c r="A92" s="235">
        <v>7</v>
      </c>
      <c r="B92" s="236" t="s">
        <v>450</v>
      </c>
      <c r="C92" s="239">
        <v>655</v>
      </c>
      <c r="D92" s="239">
        <v>180</v>
      </c>
      <c r="E92" s="239">
        <f t="shared" si="12"/>
        <v>-475</v>
      </c>
      <c r="F92" s="238">
        <f t="shared" si="13"/>
        <v>-0.72519083969465647</v>
      </c>
    </row>
    <row r="93" spans="1:6" ht="20.25" customHeight="1" x14ac:dyDescent="0.3">
      <c r="A93" s="235">
        <v>8</v>
      </c>
      <c r="B93" s="236" t="s">
        <v>451</v>
      </c>
      <c r="C93" s="239">
        <v>546</v>
      </c>
      <c r="D93" s="239">
        <v>135</v>
      </c>
      <c r="E93" s="239">
        <f t="shared" si="12"/>
        <v>-411</v>
      </c>
      <c r="F93" s="238">
        <f t="shared" si="13"/>
        <v>-0.75274725274725274</v>
      </c>
    </row>
    <row r="94" spans="1:6" ht="20.25" customHeight="1" x14ac:dyDescent="0.3">
      <c r="A94" s="235">
        <v>9</v>
      </c>
      <c r="B94" s="236" t="s">
        <v>452</v>
      </c>
      <c r="C94" s="239">
        <v>19</v>
      </c>
      <c r="D94" s="239">
        <v>5</v>
      </c>
      <c r="E94" s="239">
        <f t="shared" si="12"/>
        <v>-14</v>
      </c>
      <c r="F94" s="238">
        <f t="shared" si="13"/>
        <v>-0.73684210526315785</v>
      </c>
    </row>
    <row r="95" spans="1:6" s="240" customFormat="1" ht="39.950000000000003" customHeight="1" x14ac:dyDescent="0.3">
      <c r="A95" s="245"/>
      <c r="B95" s="242" t="s">
        <v>453</v>
      </c>
      <c r="C95" s="243">
        <f>+C86+C88</f>
        <v>2188192</v>
      </c>
      <c r="D95" s="243">
        <f>+D86+D88</f>
        <v>454999</v>
      </c>
      <c r="E95" s="243">
        <f t="shared" si="12"/>
        <v>-1733193</v>
      </c>
      <c r="F95" s="244">
        <f t="shared" si="13"/>
        <v>-0.79206623550401423</v>
      </c>
    </row>
    <row r="96" spans="1:6" s="240" customFormat="1" ht="39.950000000000003" customHeight="1" x14ac:dyDescent="0.3">
      <c r="A96" s="245"/>
      <c r="B96" s="242" t="s">
        <v>482</v>
      </c>
      <c r="C96" s="243">
        <f>+C87+C89</f>
        <v>508766</v>
      </c>
      <c r="D96" s="243">
        <f>+D87+D89</f>
        <v>57901</v>
      </c>
      <c r="E96" s="243">
        <f t="shared" si="12"/>
        <v>-450865</v>
      </c>
      <c r="F96" s="244">
        <f t="shared" si="13"/>
        <v>-0.8861932597697173</v>
      </c>
    </row>
    <row r="97" spans="1:7" ht="42" customHeight="1" x14ac:dyDescent="0.3">
      <c r="A97" s="227" t="s">
        <v>187</v>
      </c>
      <c r="B97" s="261" t="s">
        <v>462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446</v>
      </c>
      <c r="C98" s="237">
        <v>398159</v>
      </c>
      <c r="D98" s="237">
        <v>132908</v>
      </c>
      <c r="E98" s="237">
        <f t="shared" ref="E98:E108" si="14">D98-C98</f>
        <v>-265251</v>
      </c>
      <c r="F98" s="238">
        <f t="shared" ref="F98:F108" si="15">IF(C98=0,0,E98/C98)</f>
        <v>-0.66619365630313521</v>
      </c>
    </row>
    <row r="99" spans="1:7" ht="20.25" customHeight="1" x14ac:dyDescent="0.3">
      <c r="A99" s="235">
        <v>2</v>
      </c>
      <c r="B99" s="236" t="s">
        <v>447</v>
      </c>
      <c r="C99" s="237">
        <v>69791</v>
      </c>
      <c r="D99" s="237">
        <v>18471</v>
      </c>
      <c r="E99" s="237">
        <f t="shared" si="14"/>
        <v>-51320</v>
      </c>
      <c r="F99" s="238">
        <f t="shared" si="15"/>
        <v>-0.73533836741127079</v>
      </c>
    </row>
    <row r="100" spans="1:7" ht="20.25" customHeight="1" x14ac:dyDescent="0.3">
      <c r="A100" s="235">
        <v>3</v>
      </c>
      <c r="B100" s="236" t="s">
        <v>448</v>
      </c>
      <c r="C100" s="237">
        <v>1582812</v>
      </c>
      <c r="D100" s="237">
        <v>308729</v>
      </c>
      <c r="E100" s="237">
        <f t="shared" si="14"/>
        <v>-1274083</v>
      </c>
      <c r="F100" s="238">
        <f t="shared" si="15"/>
        <v>-0.80494904006287549</v>
      </c>
    </row>
    <row r="101" spans="1:7" ht="20.25" customHeight="1" x14ac:dyDescent="0.3">
      <c r="A101" s="235">
        <v>4</v>
      </c>
      <c r="B101" s="236" t="s">
        <v>449</v>
      </c>
      <c r="C101" s="237">
        <v>354907</v>
      </c>
      <c r="D101" s="237">
        <v>33786</v>
      </c>
      <c r="E101" s="237">
        <f t="shared" si="14"/>
        <v>-321121</v>
      </c>
      <c r="F101" s="238">
        <f t="shared" si="15"/>
        <v>-0.90480323014198083</v>
      </c>
    </row>
    <row r="102" spans="1:7" ht="20.25" customHeight="1" x14ac:dyDescent="0.3">
      <c r="A102" s="235">
        <v>5</v>
      </c>
      <c r="B102" s="236" t="s">
        <v>385</v>
      </c>
      <c r="C102" s="239">
        <v>29</v>
      </c>
      <c r="D102" s="239">
        <v>11</v>
      </c>
      <c r="E102" s="239">
        <f t="shared" si="14"/>
        <v>-18</v>
      </c>
      <c r="F102" s="238">
        <f t="shared" si="15"/>
        <v>-0.62068965517241381</v>
      </c>
    </row>
    <row r="103" spans="1:7" ht="20.25" customHeight="1" x14ac:dyDescent="0.3">
      <c r="A103" s="235">
        <v>6</v>
      </c>
      <c r="B103" s="236" t="s">
        <v>384</v>
      </c>
      <c r="C103" s="239">
        <v>73</v>
      </c>
      <c r="D103" s="239">
        <v>35</v>
      </c>
      <c r="E103" s="239">
        <f t="shared" si="14"/>
        <v>-38</v>
      </c>
      <c r="F103" s="238">
        <f t="shared" si="15"/>
        <v>-0.52054794520547942</v>
      </c>
    </row>
    <row r="104" spans="1:7" ht="20.25" customHeight="1" x14ac:dyDescent="0.3">
      <c r="A104" s="235">
        <v>7</v>
      </c>
      <c r="B104" s="236" t="s">
        <v>450</v>
      </c>
      <c r="C104" s="239">
        <v>176</v>
      </c>
      <c r="D104" s="239">
        <v>58</v>
      </c>
      <c r="E104" s="239">
        <f t="shared" si="14"/>
        <v>-118</v>
      </c>
      <c r="F104" s="238">
        <f t="shared" si="15"/>
        <v>-0.67045454545454541</v>
      </c>
    </row>
    <row r="105" spans="1:7" ht="20.25" customHeight="1" x14ac:dyDescent="0.3">
      <c r="A105" s="235">
        <v>8</v>
      </c>
      <c r="B105" s="236" t="s">
        <v>451</v>
      </c>
      <c r="C105" s="239">
        <v>999</v>
      </c>
      <c r="D105" s="239">
        <v>181</v>
      </c>
      <c r="E105" s="239">
        <f t="shared" si="14"/>
        <v>-818</v>
      </c>
      <c r="F105" s="238">
        <f t="shared" si="15"/>
        <v>-0.81881881881881879</v>
      </c>
    </row>
    <row r="106" spans="1:7" ht="20.25" customHeight="1" x14ac:dyDescent="0.3">
      <c r="A106" s="235">
        <v>9</v>
      </c>
      <c r="B106" s="236" t="s">
        <v>452</v>
      </c>
      <c r="C106" s="239">
        <v>22</v>
      </c>
      <c r="D106" s="239">
        <v>8</v>
      </c>
      <c r="E106" s="239">
        <f t="shared" si="14"/>
        <v>-14</v>
      </c>
      <c r="F106" s="238">
        <f t="shared" si="15"/>
        <v>-0.63636363636363635</v>
      </c>
    </row>
    <row r="107" spans="1:7" s="240" customFormat="1" ht="39.950000000000003" customHeight="1" x14ac:dyDescent="0.3">
      <c r="A107" s="245"/>
      <c r="B107" s="242" t="s">
        <v>453</v>
      </c>
      <c r="C107" s="243">
        <f>+C98+C100</f>
        <v>1980971</v>
      </c>
      <c r="D107" s="243">
        <f>+D98+D100</f>
        <v>441637</v>
      </c>
      <c r="E107" s="243">
        <f t="shared" si="14"/>
        <v>-1539334</v>
      </c>
      <c r="F107" s="244">
        <f t="shared" si="15"/>
        <v>-0.77706034061074092</v>
      </c>
    </row>
    <row r="108" spans="1:7" s="240" customFormat="1" ht="39.950000000000003" customHeight="1" x14ac:dyDescent="0.3">
      <c r="A108" s="245"/>
      <c r="B108" s="242" t="s">
        <v>482</v>
      </c>
      <c r="C108" s="243">
        <f>+C99+C101</f>
        <v>424698</v>
      </c>
      <c r="D108" s="243">
        <f>+D99+D101</f>
        <v>52257</v>
      </c>
      <c r="E108" s="243">
        <f t="shared" si="14"/>
        <v>-372441</v>
      </c>
      <c r="F108" s="244">
        <f t="shared" si="15"/>
        <v>-0.87695491855389007</v>
      </c>
    </row>
    <row r="109" spans="1:7" s="240" customFormat="1" ht="20.25" customHeight="1" x14ac:dyDescent="0.3">
      <c r="A109" s="688" t="s">
        <v>44</v>
      </c>
      <c r="B109" s="689" t="s">
        <v>490</v>
      </c>
      <c r="C109" s="691"/>
      <c r="D109" s="692"/>
      <c r="E109" s="692"/>
      <c r="F109" s="693"/>
      <c r="G109" s="212"/>
    </row>
    <row r="110" spans="1:7" ht="20.25" customHeight="1" x14ac:dyDescent="0.3">
      <c r="A110" s="679"/>
      <c r="B110" s="690"/>
      <c r="C110" s="685"/>
      <c r="D110" s="686"/>
      <c r="E110" s="686"/>
      <c r="F110" s="687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472</v>
      </c>
      <c r="C112" s="243">
        <f t="shared" ref="C112:D120" si="16">+C98+C86+C74+C62+C50+C38+C26+C14</f>
        <v>8184767</v>
      </c>
      <c r="D112" s="243">
        <f t="shared" si="16"/>
        <v>1645390</v>
      </c>
      <c r="E112" s="243">
        <f t="shared" ref="E112:E122" si="17">D112-C112</f>
        <v>-6539377</v>
      </c>
      <c r="F112" s="244">
        <f t="shared" ref="F112:F122" si="18">IF(C112=0,0,E112/C112)</f>
        <v>-0.79896923150042021</v>
      </c>
    </row>
    <row r="113" spans="1:6" ht="20.25" customHeight="1" x14ac:dyDescent="0.3">
      <c r="A113" s="249"/>
      <c r="B113" s="250" t="s">
        <v>473</v>
      </c>
      <c r="C113" s="243">
        <f t="shared" si="16"/>
        <v>2061734</v>
      </c>
      <c r="D113" s="243">
        <f t="shared" si="16"/>
        <v>223772</v>
      </c>
      <c r="E113" s="243">
        <f t="shared" si="17"/>
        <v>-1837962</v>
      </c>
      <c r="F113" s="244">
        <f t="shared" si="18"/>
        <v>-0.89146417530098454</v>
      </c>
    </row>
    <row r="114" spans="1:6" ht="20.25" customHeight="1" x14ac:dyDescent="0.3">
      <c r="A114" s="249"/>
      <c r="B114" s="250" t="s">
        <v>474</v>
      </c>
      <c r="C114" s="243">
        <f t="shared" si="16"/>
        <v>22171679</v>
      </c>
      <c r="D114" s="243">
        <f t="shared" si="16"/>
        <v>4976345</v>
      </c>
      <c r="E114" s="243">
        <f t="shared" si="17"/>
        <v>-17195334</v>
      </c>
      <c r="F114" s="244">
        <f t="shared" si="18"/>
        <v>-0.77555398488314753</v>
      </c>
    </row>
    <row r="115" spans="1:6" ht="20.25" customHeight="1" x14ac:dyDescent="0.3">
      <c r="A115" s="249"/>
      <c r="B115" s="250" t="s">
        <v>475</v>
      </c>
      <c r="C115" s="243">
        <f t="shared" si="16"/>
        <v>5471971</v>
      </c>
      <c r="D115" s="243">
        <f t="shared" si="16"/>
        <v>635338</v>
      </c>
      <c r="E115" s="243">
        <f t="shared" si="17"/>
        <v>-4836633</v>
      </c>
      <c r="F115" s="244">
        <f t="shared" si="18"/>
        <v>-0.88389229401983305</v>
      </c>
    </row>
    <row r="116" spans="1:6" ht="20.25" customHeight="1" x14ac:dyDescent="0.3">
      <c r="A116" s="249"/>
      <c r="B116" s="250" t="s">
        <v>476</v>
      </c>
      <c r="C116" s="252">
        <f t="shared" si="16"/>
        <v>735</v>
      </c>
      <c r="D116" s="252">
        <f t="shared" si="16"/>
        <v>126</v>
      </c>
      <c r="E116" s="252">
        <f t="shared" si="17"/>
        <v>-609</v>
      </c>
      <c r="F116" s="244">
        <f t="shared" si="18"/>
        <v>-0.82857142857142863</v>
      </c>
    </row>
    <row r="117" spans="1:6" ht="20.25" customHeight="1" x14ac:dyDescent="0.3">
      <c r="A117" s="249"/>
      <c r="B117" s="250" t="s">
        <v>477</v>
      </c>
      <c r="C117" s="252">
        <f t="shared" si="16"/>
        <v>2092</v>
      </c>
      <c r="D117" s="252">
        <f t="shared" si="16"/>
        <v>420</v>
      </c>
      <c r="E117" s="252">
        <f t="shared" si="17"/>
        <v>-1672</v>
      </c>
      <c r="F117" s="244">
        <f t="shared" si="18"/>
        <v>-0.79923518164435947</v>
      </c>
    </row>
    <row r="118" spans="1:6" ht="39.950000000000003" customHeight="1" x14ac:dyDescent="0.3">
      <c r="A118" s="249"/>
      <c r="B118" s="250" t="s">
        <v>478</v>
      </c>
      <c r="C118" s="252">
        <f t="shared" si="16"/>
        <v>9646</v>
      </c>
      <c r="D118" s="252">
        <f t="shared" si="16"/>
        <v>2544</v>
      </c>
      <c r="E118" s="252">
        <f t="shared" si="17"/>
        <v>-7102</v>
      </c>
      <c r="F118" s="244">
        <f t="shared" si="18"/>
        <v>-0.73626373626373631</v>
      </c>
    </row>
    <row r="119" spans="1:6" ht="39.950000000000003" customHeight="1" x14ac:dyDescent="0.3">
      <c r="A119" s="249"/>
      <c r="B119" s="250" t="s">
        <v>479</v>
      </c>
      <c r="C119" s="252">
        <f t="shared" si="16"/>
        <v>7585</v>
      </c>
      <c r="D119" s="252">
        <f t="shared" si="16"/>
        <v>1696</v>
      </c>
      <c r="E119" s="252">
        <f t="shared" si="17"/>
        <v>-5889</v>
      </c>
      <c r="F119" s="244">
        <f t="shared" si="18"/>
        <v>-0.77640079103493742</v>
      </c>
    </row>
    <row r="120" spans="1:6" ht="39.950000000000003" customHeight="1" x14ac:dyDescent="0.3">
      <c r="A120" s="249"/>
      <c r="B120" s="250" t="s">
        <v>480</v>
      </c>
      <c r="C120" s="252">
        <f t="shared" si="16"/>
        <v>267</v>
      </c>
      <c r="D120" s="252">
        <f t="shared" si="16"/>
        <v>57</v>
      </c>
      <c r="E120" s="252">
        <f t="shared" si="17"/>
        <v>-210</v>
      </c>
      <c r="F120" s="244">
        <f t="shared" si="18"/>
        <v>-0.7865168539325843</v>
      </c>
    </row>
    <row r="121" spans="1:6" ht="39.950000000000003" customHeight="1" x14ac:dyDescent="0.3">
      <c r="A121" s="249"/>
      <c r="B121" s="242" t="s">
        <v>453</v>
      </c>
      <c r="C121" s="243">
        <f>+C112+C114</f>
        <v>30356446</v>
      </c>
      <c r="D121" s="243">
        <f>+D112+D114</f>
        <v>6621735</v>
      </c>
      <c r="E121" s="243">
        <f t="shared" si="17"/>
        <v>-23734711</v>
      </c>
      <c r="F121" s="244">
        <f t="shared" si="18"/>
        <v>-0.78186725152213143</v>
      </c>
    </row>
    <row r="122" spans="1:6" ht="39.950000000000003" customHeight="1" x14ac:dyDescent="0.3">
      <c r="A122" s="249"/>
      <c r="B122" s="242" t="s">
        <v>482</v>
      </c>
      <c r="C122" s="243">
        <f>+C113+C115</f>
        <v>7533705</v>
      </c>
      <c r="D122" s="243">
        <f>+D113+D115</f>
        <v>859110</v>
      </c>
      <c r="E122" s="243">
        <f t="shared" si="17"/>
        <v>-6674595</v>
      </c>
      <c r="F122" s="244">
        <f t="shared" si="18"/>
        <v>-0.88596447564644487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/>
  <headerFooter>
    <oddHeader>&amp;LOFFICE OF HEALTH CARE ACCESS&amp;CTWELVE MONTHS ACTUAL FILING&amp;RBRISTOL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491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492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9063284</v>
      </c>
      <c r="D13" s="23">
        <v>12928177</v>
      </c>
      <c r="E13" s="23">
        <f t="shared" ref="E13:E22" si="0">D13-C13</f>
        <v>3864893</v>
      </c>
      <c r="F13" s="24">
        <f t="shared" ref="F13:F22" si="1">IF(C13=0,0,E13/C13)</f>
        <v>0.42643406076649482</v>
      </c>
    </row>
    <row r="14" spans="1:8" ht="24" customHeight="1" x14ac:dyDescent="0.2">
      <c r="A14" s="21">
        <v>2</v>
      </c>
      <c r="B14" s="22" t="s">
        <v>17</v>
      </c>
      <c r="C14" s="23">
        <v>96343</v>
      </c>
      <c r="D14" s="23">
        <v>96452</v>
      </c>
      <c r="E14" s="23">
        <f t="shared" si="0"/>
        <v>109</v>
      </c>
      <c r="F14" s="24">
        <f t="shared" si="1"/>
        <v>1.1313743603583032E-3</v>
      </c>
    </row>
    <row r="15" spans="1:8" ht="35.1" customHeight="1" x14ac:dyDescent="0.2">
      <c r="A15" s="21">
        <v>3</v>
      </c>
      <c r="B15" s="22" t="s">
        <v>18</v>
      </c>
      <c r="C15" s="23">
        <v>24121394</v>
      </c>
      <c r="D15" s="23">
        <v>20476194</v>
      </c>
      <c r="E15" s="23">
        <f t="shared" si="0"/>
        <v>-3645200</v>
      </c>
      <c r="F15" s="24">
        <f t="shared" si="1"/>
        <v>-0.1511189610351707</v>
      </c>
    </row>
    <row r="16" spans="1:8" ht="35.1" customHeight="1" x14ac:dyDescent="0.2">
      <c r="A16" s="21">
        <v>4</v>
      </c>
      <c r="B16" s="22" t="s">
        <v>19</v>
      </c>
      <c r="C16" s="23">
        <v>654455</v>
      </c>
      <c r="D16" s="23">
        <v>650968</v>
      </c>
      <c r="E16" s="23">
        <f t="shared" si="0"/>
        <v>-3487</v>
      </c>
      <c r="F16" s="24">
        <f t="shared" si="1"/>
        <v>-5.3280974245746458E-3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2379937</v>
      </c>
      <c r="D18" s="23">
        <v>1964075</v>
      </c>
      <c r="E18" s="23">
        <f t="shared" si="0"/>
        <v>-415862</v>
      </c>
      <c r="F18" s="24">
        <f t="shared" si="1"/>
        <v>-0.17473655815258976</v>
      </c>
    </row>
    <row r="19" spans="1:11" ht="24" customHeight="1" x14ac:dyDescent="0.2">
      <c r="A19" s="21">
        <v>7</v>
      </c>
      <c r="B19" s="22" t="s">
        <v>22</v>
      </c>
      <c r="C19" s="23">
        <v>1731093</v>
      </c>
      <c r="D19" s="23">
        <v>1627771</v>
      </c>
      <c r="E19" s="23">
        <f t="shared" si="0"/>
        <v>-103322</v>
      </c>
      <c r="F19" s="24">
        <f t="shared" si="1"/>
        <v>-5.9685990296304128E-2</v>
      </c>
    </row>
    <row r="20" spans="1:11" ht="24" customHeight="1" x14ac:dyDescent="0.2">
      <c r="A20" s="21">
        <v>8</v>
      </c>
      <c r="B20" s="22" t="s">
        <v>23</v>
      </c>
      <c r="C20" s="23">
        <v>518896</v>
      </c>
      <c r="D20" s="23">
        <v>860601</v>
      </c>
      <c r="E20" s="23">
        <f t="shared" si="0"/>
        <v>341705</v>
      </c>
      <c r="F20" s="24">
        <f t="shared" si="1"/>
        <v>0.65852309518670404</v>
      </c>
    </row>
    <row r="21" spans="1:11" ht="24" customHeight="1" x14ac:dyDescent="0.2">
      <c r="A21" s="21">
        <v>9</v>
      </c>
      <c r="B21" s="22" t="s">
        <v>24</v>
      </c>
      <c r="C21" s="23">
        <v>1618950</v>
      </c>
      <c r="D21" s="23">
        <v>5925593</v>
      </c>
      <c r="E21" s="23">
        <f t="shared" si="0"/>
        <v>4306643</v>
      </c>
      <c r="F21" s="24">
        <f t="shared" si="1"/>
        <v>2.6601457734951666</v>
      </c>
    </row>
    <row r="22" spans="1:11" ht="24" customHeight="1" x14ac:dyDescent="0.25">
      <c r="A22" s="25"/>
      <c r="B22" s="26" t="s">
        <v>25</v>
      </c>
      <c r="C22" s="27">
        <f>SUM(C13:C21)</f>
        <v>40184352</v>
      </c>
      <c r="D22" s="27">
        <f>SUM(D13:D21)</f>
        <v>44529831</v>
      </c>
      <c r="E22" s="27">
        <f t="shared" si="0"/>
        <v>4345479</v>
      </c>
      <c r="F22" s="28">
        <f t="shared" si="1"/>
        <v>0.10813858588537149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0</v>
      </c>
      <c r="D25" s="23">
        <v>0</v>
      </c>
      <c r="E25" s="23">
        <f>D25-C25</f>
        <v>0</v>
      </c>
      <c r="F25" s="24">
        <f>IF(C25=0,0,E25/C25)</f>
        <v>0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6253488</v>
      </c>
      <c r="D26" s="23">
        <v>7458112</v>
      </c>
      <c r="E26" s="23">
        <f>D26-C26</f>
        <v>1204624</v>
      </c>
      <c r="F26" s="24">
        <f>IF(C26=0,0,E26/C26)</f>
        <v>0.19263233574606684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15480513</v>
      </c>
      <c r="D28" s="23">
        <v>16194282</v>
      </c>
      <c r="E28" s="23">
        <f>D28-C28</f>
        <v>713769</v>
      </c>
      <c r="F28" s="24">
        <f>IF(C28=0,0,E28/C28)</f>
        <v>4.6107580543357965E-2</v>
      </c>
    </row>
    <row r="29" spans="1:11" ht="35.1" customHeight="1" x14ac:dyDescent="0.25">
      <c r="A29" s="25"/>
      <c r="B29" s="26" t="s">
        <v>32</v>
      </c>
      <c r="C29" s="27">
        <f>SUM(C25:C28)</f>
        <v>21734001</v>
      </c>
      <c r="D29" s="27">
        <f>SUM(D25:D28)</f>
        <v>23652394</v>
      </c>
      <c r="E29" s="27">
        <f>D29-C29</f>
        <v>1918393</v>
      </c>
      <c r="F29" s="28">
        <f>IF(C29=0,0,E29/C29)</f>
        <v>8.8266904929285683E-2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1493598</v>
      </c>
      <c r="D31" s="23">
        <v>2506470</v>
      </c>
      <c r="E31" s="23">
        <f>D31-C31</f>
        <v>1012872</v>
      </c>
      <c r="F31" s="24">
        <f>IF(C31=0,0,E31/C31)</f>
        <v>0.67814231138499115</v>
      </c>
    </row>
    <row r="32" spans="1:11" ht="24" customHeight="1" x14ac:dyDescent="0.2">
      <c r="A32" s="21">
        <v>6</v>
      </c>
      <c r="B32" s="22" t="s">
        <v>34</v>
      </c>
      <c r="C32" s="23">
        <v>6015999</v>
      </c>
      <c r="D32" s="23">
        <v>7231860</v>
      </c>
      <c r="E32" s="23">
        <f>D32-C32</f>
        <v>1215861</v>
      </c>
      <c r="F32" s="24">
        <f>IF(C32=0,0,E32/C32)</f>
        <v>0.20210458811578924</v>
      </c>
    </row>
    <row r="33" spans="1:8" ht="24" customHeight="1" x14ac:dyDescent="0.2">
      <c r="A33" s="21">
        <v>7</v>
      </c>
      <c r="B33" s="22" t="s">
        <v>35</v>
      </c>
      <c r="C33" s="23">
        <v>2552059</v>
      </c>
      <c r="D33" s="23">
        <v>2537453</v>
      </c>
      <c r="E33" s="23">
        <f>D33-C33</f>
        <v>-14606</v>
      </c>
      <c r="F33" s="24">
        <f>IF(C33=0,0,E33/C33)</f>
        <v>-5.7232219161077388E-3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153806770</v>
      </c>
      <c r="D36" s="23">
        <v>156431776</v>
      </c>
      <c r="E36" s="23">
        <f>D36-C36</f>
        <v>2625006</v>
      </c>
      <c r="F36" s="24">
        <f>IF(C36=0,0,E36/C36)</f>
        <v>1.7066908043124499E-2</v>
      </c>
    </row>
    <row r="37" spans="1:8" ht="24" customHeight="1" x14ac:dyDescent="0.2">
      <c r="A37" s="21">
        <v>2</v>
      </c>
      <c r="B37" s="22" t="s">
        <v>39</v>
      </c>
      <c r="C37" s="23">
        <v>109172229</v>
      </c>
      <c r="D37" s="23">
        <v>116102360</v>
      </c>
      <c r="E37" s="23">
        <f>D37-C37</f>
        <v>6930131</v>
      </c>
      <c r="F37" s="23">
        <f>IF(C37=0,0,E37/C37)</f>
        <v>6.3478881611916158E-2</v>
      </c>
    </row>
    <row r="38" spans="1:8" ht="24" customHeight="1" x14ac:dyDescent="0.25">
      <c r="A38" s="25"/>
      <c r="B38" s="26" t="s">
        <v>40</v>
      </c>
      <c r="C38" s="27">
        <f>C36-C37</f>
        <v>44634541</v>
      </c>
      <c r="D38" s="27">
        <f>D36-D37</f>
        <v>40329416</v>
      </c>
      <c r="E38" s="27">
        <f>D38-C38</f>
        <v>-4305125</v>
      </c>
      <c r="F38" s="28">
        <f>IF(C38=0,0,E38/C38)</f>
        <v>-9.6452767375831194E-2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149341</v>
      </c>
      <c r="D40" s="23">
        <v>1841857</v>
      </c>
      <c r="E40" s="23">
        <f>D40-C40</f>
        <v>1692516</v>
      </c>
      <c r="F40" s="24">
        <f>IF(C40=0,0,E40/C40)</f>
        <v>11.333230660033079</v>
      </c>
    </row>
    <row r="41" spans="1:8" ht="24" customHeight="1" x14ac:dyDescent="0.25">
      <c r="A41" s="25"/>
      <c r="B41" s="26" t="s">
        <v>42</v>
      </c>
      <c r="C41" s="27">
        <f>+C38+C40</f>
        <v>44783882</v>
      </c>
      <c r="D41" s="27">
        <f>+D38+D40</f>
        <v>42171273</v>
      </c>
      <c r="E41" s="27">
        <f>D41-C41</f>
        <v>-2612609</v>
      </c>
      <c r="F41" s="28">
        <f>IF(C41=0,0,E41/C41)</f>
        <v>-5.8338153892063219E-2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116763891</v>
      </c>
      <c r="D43" s="27">
        <f>D22+D29+D31+D32+D33+D41</f>
        <v>122629281</v>
      </c>
      <c r="E43" s="27">
        <f>D43-C43</f>
        <v>5865390</v>
      </c>
      <c r="F43" s="28">
        <f>IF(C43=0,0,E43/C43)</f>
        <v>5.0232909761460415E-2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13113207</v>
      </c>
      <c r="D49" s="23">
        <v>10947996</v>
      </c>
      <c r="E49" s="23">
        <f t="shared" ref="E49:E56" si="2">D49-C49</f>
        <v>-2165211</v>
      </c>
      <c r="F49" s="24">
        <f t="shared" ref="F49:F56" si="3">IF(C49=0,0,E49/C49)</f>
        <v>-0.16511681696170891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12731046</v>
      </c>
      <c r="D50" s="23">
        <v>14340489</v>
      </c>
      <c r="E50" s="23">
        <f t="shared" si="2"/>
        <v>1609443</v>
      </c>
      <c r="F50" s="24">
        <f t="shared" si="3"/>
        <v>0.12641875616504725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0</v>
      </c>
      <c r="D51" s="23">
        <v>0</v>
      </c>
      <c r="E51" s="23">
        <f t="shared" si="2"/>
        <v>0</v>
      </c>
      <c r="F51" s="24">
        <f t="shared" si="3"/>
        <v>0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1230305</v>
      </c>
      <c r="D53" s="23">
        <v>990292</v>
      </c>
      <c r="E53" s="23">
        <f t="shared" si="2"/>
        <v>-240013</v>
      </c>
      <c r="F53" s="24">
        <f t="shared" si="3"/>
        <v>-0.19508414580124442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7444</v>
      </c>
      <c r="D54" s="23">
        <v>7826</v>
      </c>
      <c r="E54" s="23">
        <f t="shared" si="2"/>
        <v>382</v>
      </c>
      <c r="F54" s="24">
        <f t="shared" si="3"/>
        <v>5.1316496507254165E-2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3952806</v>
      </c>
      <c r="D55" s="23">
        <v>3774737</v>
      </c>
      <c r="E55" s="23">
        <f t="shared" si="2"/>
        <v>-178069</v>
      </c>
      <c r="F55" s="24">
        <f t="shared" si="3"/>
        <v>-4.5048757768532025E-2</v>
      </c>
    </row>
    <row r="56" spans="1:6" ht="24" customHeight="1" x14ac:dyDescent="0.25">
      <c r="A56" s="25"/>
      <c r="B56" s="26" t="s">
        <v>54</v>
      </c>
      <c r="C56" s="27">
        <f>SUM(C49:C55)</f>
        <v>31034808</v>
      </c>
      <c r="D56" s="27">
        <f>SUM(D49:D55)</f>
        <v>30061340</v>
      </c>
      <c r="E56" s="27">
        <f t="shared" si="2"/>
        <v>-973468</v>
      </c>
      <c r="F56" s="28">
        <f t="shared" si="3"/>
        <v>-3.1366973496339982E-2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31065526</v>
      </c>
      <c r="D59" s="23">
        <v>30052808</v>
      </c>
      <c r="E59" s="23">
        <f>D59-C59</f>
        <v>-1012718</v>
      </c>
      <c r="F59" s="24">
        <f>IF(C59=0,0,E59/C59)</f>
        <v>-3.2599415828336531E-2</v>
      </c>
    </row>
    <row r="60" spans="1:6" ht="24" customHeight="1" x14ac:dyDescent="0.2">
      <c r="A60" s="21">
        <v>2</v>
      </c>
      <c r="B60" s="22" t="s">
        <v>57</v>
      </c>
      <c r="C60" s="23">
        <v>297963</v>
      </c>
      <c r="D60" s="23">
        <v>290135</v>
      </c>
      <c r="E60" s="23">
        <f>D60-C60</f>
        <v>-7828</v>
      </c>
      <c r="F60" s="24">
        <f>IF(C60=0,0,E60/C60)</f>
        <v>-2.6271718300594368E-2</v>
      </c>
    </row>
    <row r="61" spans="1:6" ht="24" customHeight="1" x14ac:dyDescent="0.25">
      <c r="A61" s="25"/>
      <c r="B61" s="26" t="s">
        <v>58</v>
      </c>
      <c r="C61" s="27">
        <f>SUM(C59:C60)</f>
        <v>31363489</v>
      </c>
      <c r="D61" s="27">
        <f>SUM(D59:D60)</f>
        <v>30342943</v>
      </c>
      <c r="E61" s="27">
        <f>D61-C61</f>
        <v>-1020546</v>
      </c>
      <c r="F61" s="28">
        <f>IF(C61=0,0,E61/C61)</f>
        <v>-3.2539300713641903E-2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25622329</v>
      </c>
      <c r="D63" s="23">
        <v>30446134</v>
      </c>
      <c r="E63" s="23">
        <f>D63-C63</f>
        <v>4823805</v>
      </c>
      <c r="F63" s="24">
        <f>IF(C63=0,0,E63/C63)</f>
        <v>0.18826567249214543</v>
      </c>
    </row>
    <row r="64" spans="1:6" ht="24" customHeight="1" x14ac:dyDescent="0.2">
      <c r="A64" s="21">
        <v>4</v>
      </c>
      <c r="B64" s="22" t="s">
        <v>60</v>
      </c>
      <c r="C64" s="23">
        <v>17247851</v>
      </c>
      <c r="D64" s="23">
        <v>20373037</v>
      </c>
      <c r="E64" s="23">
        <f>D64-C64</f>
        <v>3125186</v>
      </c>
      <c r="F64" s="24">
        <f>IF(C64=0,0,E64/C64)</f>
        <v>0.18119277584204549</v>
      </c>
    </row>
    <row r="65" spans="1:6" ht="24" customHeight="1" x14ac:dyDescent="0.25">
      <c r="A65" s="25"/>
      <c r="B65" s="26" t="s">
        <v>61</v>
      </c>
      <c r="C65" s="27">
        <f>SUM(C61:C64)</f>
        <v>74233669</v>
      </c>
      <c r="D65" s="27">
        <f>SUM(D61:D64)</f>
        <v>81162114</v>
      </c>
      <c r="E65" s="27">
        <f>D65-C65</f>
        <v>6928445</v>
      </c>
      <c r="F65" s="28">
        <f>IF(C65=0,0,E65/C65)</f>
        <v>9.333291878648757E-2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2677931</v>
      </c>
      <c r="D70" s="23">
        <v>1127653</v>
      </c>
      <c r="E70" s="23">
        <f>D70-C70</f>
        <v>-1550278</v>
      </c>
      <c r="F70" s="24">
        <f>IF(C70=0,0,E70/C70)</f>
        <v>-0.57890886658394114</v>
      </c>
    </row>
    <row r="71" spans="1:6" ht="24" customHeight="1" x14ac:dyDescent="0.2">
      <c r="A71" s="21">
        <v>2</v>
      </c>
      <c r="B71" s="22" t="s">
        <v>65</v>
      </c>
      <c r="C71" s="23">
        <v>2250412</v>
      </c>
      <c r="D71" s="23">
        <v>3350571</v>
      </c>
      <c r="E71" s="23">
        <f>D71-C71</f>
        <v>1100159</v>
      </c>
      <c r="F71" s="24">
        <f>IF(C71=0,0,E71/C71)</f>
        <v>0.48887003801970486</v>
      </c>
    </row>
    <row r="72" spans="1:6" ht="24" customHeight="1" x14ac:dyDescent="0.2">
      <c r="A72" s="21">
        <v>3</v>
      </c>
      <c r="B72" s="22" t="s">
        <v>66</v>
      </c>
      <c r="C72" s="23">
        <v>6567071</v>
      </c>
      <c r="D72" s="23">
        <v>6927603</v>
      </c>
      <c r="E72" s="23">
        <f>D72-C72</f>
        <v>360532</v>
      </c>
      <c r="F72" s="24">
        <f>IF(C72=0,0,E72/C72)</f>
        <v>5.4899969864799697E-2</v>
      </c>
    </row>
    <row r="73" spans="1:6" ht="24" customHeight="1" x14ac:dyDescent="0.25">
      <c r="A73" s="21"/>
      <c r="B73" s="26" t="s">
        <v>67</v>
      </c>
      <c r="C73" s="27">
        <f>SUM(C70:C72)</f>
        <v>11495414</v>
      </c>
      <c r="D73" s="27">
        <f>SUM(D70:D72)</f>
        <v>11405827</v>
      </c>
      <c r="E73" s="27">
        <f>D73-C73</f>
        <v>-89587</v>
      </c>
      <c r="F73" s="28">
        <f>IF(C73=0,0,E73/C73)</f>
        <v>-7.7932817382653638E-3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116763891</v>
      </c>
      <c r="D75" s="27">
        <f>D56+D65+D67+D73</f>
        <v>122629281</v>
      </c>
      <c r="E75" s="27">
        <f>D75-C75</f>
        <v>5865390</v>
      </c>
      <c r="F75" s="28">
        <f>IF(C75=0,0,E75/C75)</f>
        <v>5.0232909761460415E-2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/>
  <headerFooter>
    <oddHeader>&amp;LOFFICE OF HEALTH CARE ACCESS&amp;CTWELVE MONTHS ACTUAL FILING&amp;RBRISTOL HOSPITAL &amp;AMP; HEALTH CARE GROUP,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491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493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390926400</v>
      </c>
      <c r="D12" s="51">
        <v>435147772</v>
      </c>
      <c r="E12" s="51">
        <f t="shared" ref="E12:E19" si="0">D12-C12</f>
        <v>44221372</v>
      </c>
      <c r="F12" s="70">
        <f t="shared" ref="F12:F19" si="1">IF(C12=0,0,E12/C12)</f>
        <v>0.11311943117681487</v>
      </c>
    </row>
    <row r="13" spans="1:8" ht="23.1" customHeight="1" x14ac:dyDescent="0.2">
      <c r="A13" s="25">
        <v>2</v>
      </c>
      <c r="B13" s="48" t="s">
        <v>72</v>
      </c>
      <c r="C13" s="51">
        <v>235543944</v>
      </c>
      <c r="D13" s="51">
        <v>271142564</v>
      </c>
      <c r="E13" s="51">
        <f t="shared" si="0"/>
        <v>35598620</v>
      </c>
      <c r="F13" s="70">
        <f t="shared" si="1"/>
        <v>0.15113366701544234</v>
      </c>
    </row>
    <row r="14" spans="1:8" ht="23.1" customHeight="1" x14ac:dyDescent="0.2">
      <c r="A14" s="25">
        <v>3</v>
      </c>
      <c r="B14" s="48" t="s">
        <v>73</v>
      </c>
      <c r="C14" s="51">
        <v>223751</v>
      </c>
      <c r="D14" s="51">
        <v>3781958</v>
      </c>
      <c r="E14" s="51">
        <f t="shared" si="0"/>
        <v>3558207</v>
      </c>
      <c r="F14" s="70">
        <f t="shared" si="1"/>
        <v>15.902530044558461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155158705</v>
      </c>
      <c r="D16" s="27">
        <f>D12-D13-D14-D15</f>
        <v>160223250</v>
      </c>
      <c r="E16" s="27">
        <f t="shared" si="0"/>
        <v>5064545</v>
      </c>
      <c r="F16" s="28">
        <f t="shared" si="1"/>
        <v>3.2641062581696592E-2</v>
      </c>
    </row>
    <row r="17" spans="1:7" ht="23.1" customHeight="1" x14ac:dyDescent="0.2">
      <c r="A17" s="25">
        <v>5</v>
      </c>
      <c r="B17" s="48" t="s">
        <v>76</v>
      </c>
      <c r="C17" s="51">
        <v>8394129</v>
      </c>
      <c r="D17" s="51">
        <v>7071296</v>
      </c>
      <c r="E17" s="51">
        <f t="shared" si="0"/>
        <v>-1322833</v>
      </c>
      <c r="F17" s="70">
        <f t="shared" si="1"/>
        <v>-0.15759026338527798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163552834</v>
      </c>
      <c r="D19" s="27">
        <f>SUM(D16:D18)</f>
        <v>167294546</v>
      </c>
      <c r="E19" s="27">
        <f t="shared" si="0"/>
        <v>3741712</v>
      </c>
      <c r="F19" s="28">
        <f t="shared" si="1"/>
        <v>2.2877695901007744E-2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72229733</v>
      </c>
      <c r="D22" s="51">
        <v>76026760</v>
      </c>
      <c r="E22" s="51">
        <f t="shared" ref="E22:E31" si="2">D22-C22</f>
        <v>3797027</v>
      </c>
      <c r="F22" s="70">
        <f t="shared" ref="F22:F31" si="3">IF(C22=0,0,E22/C22)</f>
        <v>5.2568753092303418E-2</v>
      </c>
    </row>
    <row r="23" spans="1:7" ht="23.1" customHeight="1" x14ac:dyDescent="0.2">
      <c r="A23" s="25">
        <v>2</v>
      </c>
      <c r="B23" s="48" t="s">
        <v>81</v>
      </c>
      <c r="C23" s="51">
        <v>20027192</v>
      </c>
      <c r="D23" s="51">
        <v>17641018</v>
      </c>
      <c r="E23" s="51">
        <f t="shared" si="2"/>
        <v>-2386174</v>
      </c>
      <c r="F23" s="70">
        <f t="shared" si="3"/>
        <v>-0.11914670813561881</v>
      </c>
    </row>
    <row r="24" spans="1:7" ht="23.1" customHeight="1" x14ac:dyDescent="0.2">
      <c r="A24" s="25">
        <v>3</v>
      </c>
      <c r="B24" s="48" t="s">
        <v>82</v>
      </c>
      <c r="C24" s="51">
        <v>2274756</v>
      </c>
      <c r="D24" s="51">
        <v>1294829</v>
      </c>
      <c r="E24" s="51">
        <f t="shared" si="2"/>
        <v>-979927</v>
      </c>
      <c r="F24" s="70">
        <f t="shared" si="3"/>
        <v>-0.43078334555442432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19027463</v>
      </c>
      <c r="D25" s="51">
        <v>20892182</v>
      </c>
      <c r="E25" s="51">
        <f t="shared" si="2"/>
        <v>1864719</v>
      </c>
      <c r="F25" s="70">
        <f t="shared" si="3"/>
        <v>9.8001451901391159E-2</v>
      </c>
    </row>
    <row r="26" spans="1:7" ht="23.1" customHeight="1" x14ac:dyDescent="0.2">
      <c r="A26" s="25">
        <v>5</v>
      </c>
      <c r="B26" s="48" t="s">
        <v>84</v>
      </c>
      <c r="C26" s="51">
        <v>6287283</v>
      </c>
      <c r="D26" s="51">
        <v>7011232</v>
      </c>
      <c r="E26" s="51">
        <f t="shared" si="2"/>
        <v>723949</v>
      </c>
      <c r="F26" s="70">
        <f t="shared" si="3"/>
        <v>0.115144968025139</v>
      </c>
    </row>
    <row r="27" spans="1:7" ht="23.1" customHeight="1" x14ac:dyDescent="0.2">
      <c r="A27" s="25">
        <v>6</v>
      </c>
      <c r="B27" s="48" t="s">
        <v>85</v>
      </c>
      <c r="C27" s="51">
        <v>11141062</v>
      </c>
      <c r="D27" s="51">
        <v>7606229</v>
      </c>
      <c r="E27" s="51">
        <f t="shared" si="2"/>
        <v>-3534833</v>
      </c>
      <c r="F27" s="70">
        <f t="shared" si="3"/>
        <v>-0.31727971714007158</v>
      </c>
    </row>
    <row r="28" spans="1:7" ht="23.1" customHeight="1" x14ac:dyDescent="0.2">
      <c r="A28" s="25">
        <v>7</v>
      </c>
      <c r="B28" s="48" t="s">
        <v>86</v>
      </c>
      <c r="C28" s="51">
        <v>2148712</v>
      </c>
      <c r="D28" s="51">
        <v>1943647</v>
      </c>
      <c r="E28" s="51">
        <f t="shared" si="2"/>
        <v>-205065</v>
      </c>
      <c r="F28" s="70">
        <f t="shared" si="3"/>
        <v>-9.5436242735182752E-2</v>
      </c>
    </row>
    <row r="29" spans="1:7" ht="23.1" customHeight="1" x14ac:dyDescent="0.2">
      <c r="A29" s="25">
        <v>8</v>
      </c>
      <c r="B29" s="48" t="s">
        <v>87</v>
      </c>
      <c r="C29" s="51">
        <v>1863983</v>
      </c>
      <c r="D29" s="51">
        <v>1844897</v>
      </c>
      <c r="E29" s="51">
        <f t="shared" si="2"/>
        <v>-19086</v>
      </c>
      <c r="F29" s="70">
        <f t="shared" si="3"/>
        <v>-1.0239363771021517E-2</v>
      </c>
    </row>
    <row r="30" spans="1:7" ht="23.1" customHeight="1" x14ac:dyDescent="0.2">
      <c r="A30" s="25">
        <v>9</v>
      </c>
      <c r="B30" s="48" t="s">
        <v>88</v>
      </c>
      <c r="C30" s="51">
        <v>29004715</v>
      </c>
      <c r="D30" s="51">
        <v>33132110</v>
      </c>
      <c r="E30" s="51">
        <f t="shared" si="2"/>
        <v>4127395</v>
      </c>
      <c r="F30" s="70">
        <f t="shared" si="3"/>
        <v>0.14230082936515667</v>
      </c>
    </row>
    <row r="31" spans="1:7" ht="23.1" customHeight="1" x14ac:dyDescent="0.25">
      <c r="A31" s="29"/>
      <c r="B31" s="71" t="s">
        <v>89</v>
      </c>
      <c r="C31" s="27">
        <f>SUM(C22:C30)</f>
        <v>164004899</v>
      </c>
      <c r="D31" s="27">
        <f>SUM(D22:D30)</f>
        <v>167392904</v>
      </c>
      <c r="E31" s="27">
        <f t="shared" si="2"/>
        <v>3388005</v>
      </c>
      <c r="F31" s="28">
        <f t="shared" si="3"/>
        <v>2.0657949979896638E-2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-452065</v>
      </c>
      <c r="D33" s="27">
        <f>+D19-D31</f>
        <v>-98358</v>
      </c>
      <c r="E33" s="27">
        <f>D33-C33</f>
        <v>353707</v>
      </c>
      <c r="F33" s="28">
        <f>IF(C33=0,0,E33/C33)</f>
        <v>-0.78242509373652014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528681</v>
      </c>
      <c r="D36" s="51">
        <v>368338</v>
      </c>
      <c r="E36" s="51">
        <f>D36-C36</f>
        <v>-160343</v>
      </c>
      <c r="F36" s="70">
        <f>IF(C36=0,0,E36/C36)</f>
        <v>-0.3032887506833043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1641535</v>
      </c>
      <c r="D38" s="51">
        <v>930385</v>
      </c>
      <c r="E38" s="51">
        <f>D38-C38</f>
        <v>-711150</v>
      </c>
      <c r="F38" s="70">
        <f>IF(C38=0,0,E38/C38)</f>
        <v>-0.43322256302789769</v>
      </c>
    </row>
    <row r="39" spans="1:6" ht="23.1" customHeight="1" x14ac:dyDescent="0.25">
      <c r="A39" s="20"/>
      <c r="B39" s="71" t="s">
        <v>95</v>
      </c>
      <c r="C39" s="27">
        <f>SUM(C36:C38)</f>
        <v>2170216</v>
      </c>
      <c r="D39" s="27">
        <f>SUM(D36:D38)</f>
        <v>1298723</v>
      </c>
      <c r="E39" s="27">
        <f>D39-C39</f>
        <v>-871493</v>
      </c>
      <c r="F39" s="28">
        <f>IF(C39=0,0,E39/C39)</f>
        <v>-0.40156970550396826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1718151</v>
      </c>
      <c r="D41" s="27">
        <f>D33+D39</f>
        <v>1200365</v>
      </c>
      <c r="E41" s="27">
        <f>D41-C41</f>
        <v>-517786</v>
      </c>
      <c r="F41" s="28">
        <f>IF(C41=0,0,E41/C41)</f>
        <v>-0.30136233660487349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1718151</v>
      </c>
      <c r="D48" s="27">
        <f>D41+D46</f>
        <v>1200365</v>
      </c>
      <c r="E48" s="27">
        <f>D48-C48</f>
        <v>-517786</v>
      </c>
      <c r="F48" s="28">
        <f>IF(C48=0,0,E48/C48)</f>
        <v>-0.30136233660487349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/>
  <headerFooter>
    <oddHeader>&amp;L&amp;8OFFICE OF HEALTH CARE ACCESS&amp;C&amp;8TWELVE MONTHS ACTUAL FILING&amp;R&amp;8BRISTOL HOSPITAL &amp;AMP; HEALTH CARE GROUP,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2013-09-11T11:27:31Z</cp:lastPrinted>
  <dcterms:created xsi:type="dcterms:W3CDTF">2006-08-03T13:49:12Z</dcterms:created>
  <dcterms:modified xsi:type="dcterms:W3CDTF">2013-09-12T14:55:03Z</dcterms:modified>
</cp:coreProperties>
</file>