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7" i="14"/>
  <c r="D226" i="14"/>
  <c r="D223" i="14"/>
  <c r="D204" i="14"/>
  <c r="D285" i="14"/>
  <c r="D203" i="14"/>
  <c r="D283" i="14"/>
  <c r="D286" i="14"/>
  <c r="D198" i="14"/>
  <c r="D290" i="14"/>
  <c r="D191" i="14"/>
  <c r="D264" i="14"/>
  <c r="D189" i="14"/>
  <c r="D278" i="14"/>
  <c r="D288" i="14"/>
  <c r="D188" i="14"/>
  <c r="D261" i="14"/>
  <c r="D180" i="14"/>
  <c r="D179" i="14"/>
  <c r="D181" i="14"/>
  <c r="D171" i="14"/>
  <c r="D172" i="14"/>
  <c r="D170" i="14"/>
  <c r="D165" i="14"/>
  <c r="D164" i="14"/>
  <c r="D159" i="14"/>
  <c r="D158" i="14"/>
  <c r="D155" i="14"/>
  <c r="D145" i="14"/>
  <c r="D144" i="14"/>
  <c r="D146" i="14"/>
  <c r="D136" i="14"/>
  <c r="D137" i="14"/>
  <c r="D135" i="14"/>
  <c r="D130" i="14"/>
  <c r="D129" i="14"/>
  <c r="D123" i="14"/>
  <c r="D192" i="14"/>
  <c r="D120" i="14"/>
  <c r="D110" i="14"/>
  <c r="D109" i="14"/>
  <c r="D101" i="14"/>
  <c r="D102" i="14"/>
  <c r="D103" i="14"/>
  <c r="D100" i="14"/>
  <c r="D95" i="14"/>
  <c r="D94" i="14"/>
  <c r="D89" i="14"/>
  <c r="D88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7" i="14"/>
  <c r="D30" i="14"/>
  <c r="D31" i="14"/>
  <c r="D32" i="14"/>
  <c r="D29" i="14"/>
  <c r="D24" i="14"/>
  <c r="D23" i="14"/>
  <c r="D21" i="14"/>
  <c r="D91" i="14"/>
  <c r="D92" i="14"/>
  <c r="D20" i="14"/>
  <c r="D17" i="14"/>
  <c r="E97" i="19"/>
  <c r="D97" i="19"/>
  <c r="D98" i="19"/>
  <c r="C97" i="19"/>
  <c r="E96" i="19"/>
  <c r="E98" i="19"/>
  <c r="D96" i="19"/>
  <c r="C96" i="19"/>
  <c r="C98" i="19"/>
  <c r="E92" i="19"/>
  <c r="D92" i="19"/>
  <c r="D93" i="19"/>
  <c r="C92" i="19"/>
  <c r="E91" i="19"/>
  <c r="E93" i="19"/>
  <c r="D91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1" i="19"/>
  <c r="E102" i="19"/>
  <c r="D83" i="19"/>
  <c r="C83" i="19"/>
  <c r="E76" i="19"/>
  <c r="E77" i="19"/>
  <c r="D76" i="19"/>
  <c r="C76" i="19"/>
  <c r="C102" i="19"/>
  <c r="E75" i="19"/>
  <c r="D75" i="19"/>
  <c r="D101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23" i="19"/>
  <c r="D46" i="19"/>
  <c r="C12" i="19"/>
  <c r="C22" i="19"/>
  <c r="C45" i="19"/>
  <c r="D21" i="18"/>
  <c r="E21" i="18"/>
  <c r="F21" i="18"/>
  <c r="C21" i="18"/>
  <c r="D19" i="18"/>
  <c r="E19" i="18"/>
  <c r="F19" i="18"/>
  <c r="C19" i="18"/>
  <c r="E17" i="18"/>
  <c r="F17" i="18"/>
  <c r="F15" i="18"/>
  <c r="E15" i="18"/>
  <c r="D45" i="17"/>
  <c r="C45" i="17"/>
  <c r="E45" i="17"/>
  <c r="D44" i="17"/>
  <c r="C44" i="17"/>
  <c r="E44" i="17"/>
  <c r="D43" i="17"/>
  <c r="E43" i="17"/>
  <c r="E46" i="17"/>
  <c r="C43" i="17"/>
  <c r="D36" i="17"/>
  <c r="D40" i="17"/>
  <c r="C36" i="17"/>
  <c r="E35" i="17"/>
  <c r="F35" i="17"/>
  <c r="E34" i="17"/>
  <c r="F34" i="17"/>
  <c r="E33" i="17"/>
  <c r="E36" i="17"/>
  <c r="E30" i="17"/>
  <c r="F30" i="17"/>
  <c r="E29" i="17"/>
  <c r="F29" i="17"/>
  <c r="E28" i="17"/>
  <c r="F28" i="17"/>
  <c r="E27" i="17"/>
  <c r="F27" i="17"/>
  <c r="D25" i="17"/>
  <c r="D39" i="17"/>
  <c r="C25" i="17"/>
  <c r="E24" i="17"/>
  <c r="F24" i="17"/>
  <c r="E23" i="17"/>
  <c r="F23" i="17"/>
  <c r="E22" i="17"/>
  <c r="F22" i="17"/>
  <c r="D19" i="17"/>
  <c r="E19" i="17"/>
  <c r="C19" i="17"/>
  <c r="F19" i="17"/>
  <c r="E18" i="17"/>
  <c r="F18" i="17"/>
  <c r="D16" i="17"/>
  <c r="E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65" i="16"/>
  <c r="C114" i="16"/>
  <c r="C116" i="16"/>
  <c r="C119" i="16"/>
  <c r="C123" i="16"/>
  <c r="C36" i="16"/>
  <c r="C33" i="16"/>
  <c r="C32" i="16"/>
  <c r="C21" i="16"/>
  <c r="C37" i="16"/>
  <c r="C38" i="16"/>
  <c r="C127" i="16"/>
  <c r="C129" i="16"/>
  <c r="C133" i="16"/>
  <c r="E328" i="15"/>
  <c r="E325" i="15"/>
  <c r="E324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C293" i="15"/>
  <c r="E293" i="15"/>
  <c r="D292" i="15"/>
  <c r="E292" i="15"/>
  <c r="C292" i="15"/>
  <c r="D291" i="15"/>
  <c r="E291" i="15"/>
  <c r="C291" i="15"/>
  <c r="D290" i="15"/>
  <c r="E290" i="15"/>
  <c r="C290" i="15"/>
  <c r="D288" i="15"/>
  <c r="C288" i="15"/>
  <c r="E288" i="15"/>
  <c r="D287" i="15"/>
  <c r="E287" i="15"/>
  <c r="C287" i="15"/>
  <c r="D282" i="15"/>
  <c r="C282" i="15"/>
  <c r="E282" i="15"/>
  <c r="D281" i="15"/>
  <c r="E281" i="15"/>
  <c r="C281" i="15"/>
  <c r="D280" i="15"/>
  <c r="E280" i="15"/>
  <c r="C280" i="15"/>
  <c r="D279" i="15"/>
  <c r="E279" i="15"/>
  <c r="C279" i="15"/>
  <c r="D278" i="15"/>
  <c r="C278" i="15"/>
  <c r="E278" i="15"/>
  <c r="D277" i="15"/>
  <c r="E277" i="15"/>
  <c r="C277" i="15"/>
  <c r="D276" i="15"/>
  <c r="E276" i="15"/>
  <c r="C276" i="15"/>
  <c r="E270" i="15"/>
  <c r="E265" i="15"/>
  <c r="D265" i="15"/>
  <c r="D302" i="15"/>
  <c r="C265" i="15"/>
  <c r="C302" i="15"/>
  <c r="C303" i="15"/>
  <c r="C306" i="15"/>
  <c r="C310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E231" i="15"/>
  <c r="D230" i="15"/>
  <c r="E230" i="15"/>
  <c r="C230" i="15"/>
  <c r="D228" i="15"/>
  <c r="C228" i="15"/>
  <c r="E228" i="15"/>
  <c r="D227" i="15"/>
  <c r="C227" i="15"/>
  <c r="E227" i="15"/>
  <c r="D221" i="15"/>
  <c r="D245" i="15"/>
  <c r="C221" i="15"/>
  <c r="C245" i="15"/>
  <c r="D220" i="15"/>
  <c r="D244" i="15"/>
  <c r="C220" i="15"/>
  <c r="C244" i="15"/>
  <c r="D219" i="15"/>
  <c r="E219" i="15"/>
  <c r="C219" i="15"/>
  <c r="C243" i="15"/>
  <c r="D218" i="15"/>
  <c r="D242" i="15"/>
  <c r="C218" i="15"/>
  <c r="D216" i="15"/>
  <c r="D240" i="15"/>
  <c r="E240" i="15"/>
  <c r="C216" i="15"/>
  <c r="C240" i="15"/>
  <c r="D215" i="15"/>
  <c r="C215" i="15"/>
  <c r="E209" i="15"/>
  <c r="E208" i="15"/>
  <c r="E207" i="15"/>
  <c r="E206" i="15"/>
  <c r="D205" i="15"/>
  <c r="D229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9" i="15"/>
  <c r="D188" i="15"/>
  <c r="D261" i="15"/>
  <c r="C188" i="15"/>
  <c r="C189" i="15"/>
  <c r="E186" i="15"/>
  <c r="E185" i="15"/>
  <c r="D179" i="15"/>
  <c r="C179" i="15"/>
  <c r="E179" i="15"/>
  <c r="D178" i="15"/>
  <c r="C178" i="15"/>
  <c r="E178" i="15"/>
  <c r="D177" i="15"/>
  <c r="E177" i="15"/>
  <c r="C177" i="15"/>
  <c r="D176" i="15"/>
  <c r="E176" i="15"/>
  <c r="C176" i="15"/>
  <c r="D174" i="15"/>
  <c r="E174" i="15"/>
  <c r="C174" i="15"/>
  <c r="D173" i="15"/>
  <c r="E173" i="15"/>
  <c r="C173" i="15"/>
  <c r="D167" i="15"/>
  <c r="E167" i="15"/>
  <c r="C167" i="15"/>
  <c r="D166" i="15"/>
  <c r="E166" i="15"/>
  <c r="C166" i="15"/>
  <c r="D165" i="15"/>
  <c r="E165" i="15"/>
  <c r="C165" i="15"/>
  <c r="D164" i="15"/>
  <c r="C164" i="15"/>
  <c r="E164" i="15"/>
  <c r="D162" i="15"/>
  <c r="E162" i="15"/>
  <c r="C162" i="15"/>
  <c r="D161" i="15"/>
  <c r="E161" i="15"/>
  <c r="C161" i="15"/>
  <c r="E155" i="15"/>
  <c r="E154" i="15"/>
  <c r="E153" i="15"/>
  <c r="E152" i="15"/>
  <c r="D151" i="15"/>
  <c r="D156" i="15"/>
  <c r="C151" i="15"/>
  <c r="C156" i="15"/>
  <c r="C157" i="15"/>
  <c r="E150" i="15"/>
  <c r="E149" i="15"/>
  <c r="E143" i="15"/>
  <c r="E142" i="15"/>
  <c r="E141" i="15"/>
  <c r="E140" i="15"/>
  <c r="D139" i="15"/>
  <c r="D163" i="15"/>
  <c r="C139" i="15"/>
  <c r="C144" i="15"/>
  <c r="E138" i="15"/>
  <c r="E137" i="15"/>
  <c r="D75" i="15"/>
  <c r="E75" i="15"/>
  <c r="C75" i="15"/>
  <c r="D74" i="15"/>
  <c r="E74" i="15"/>
  <c r="C74" i="15"/>
  <c r="D73" i="15"/>
  <c r="C73" i="15"/>
  <c r="E73" i="15"/>
  <c r="D72" i="15"/>
  <c r="E72" i="15"/>
  <c r="C72" i="15"/>
  <c r="D71" i="15"/>
  <c r="D70" i="15"/>
  <c r="D76" i="15"/>
  <c r="C70" i="15"/>
  <c r="D69" i="15"/>
  <c r="C69" i="15"/>
  <c r="E69" i="15"/>
  <c r="E64" i="15"/>
  <c r="E63" i="15"/>
  <c r="E62" i="15"/>
  <c r="E61" i="15"/>
  <c r="D60" i="15"/>
  <c r="C60" i="15"/>
  <c r="E59" i="15"/>
  <c r="E58" i="15"/>
  <c r="D54" i="15"/>
  <c r="E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C40" i="15"/>
  <c r="E40" i="15"/>
  <c r="D39" i="15"/>
  <c r="E39" i="15"/>
  <c r="C39" i="15"/>
  <c r="D38" i="15"/>
  <c r="C38" i="15"/>
  <c r="D37" i="15"/>
  <c r="D43" i="15"/>
  <c r="C37" i="15"/>
  <c r="E36" i="15"/>
  <c r="D36" i="15"/>
  <c r="C36" i="15"/>
  <c r="D32" i="15"/>
  <c r="D33" i="15"/>
  <c r="C32" i="15"/>
  <c r="E31" i="15"/>
  <c r="E30" i="15"/>
  <c r="E29" i="15"/>
  <c r="E28" i="15"/>
  <c r="E27" i="15"/>
  <c r="E26" i="15"/>
  <c r="E25" i="15"/>
  <c r="D21" i="15"/>
  <c r="C21" i="15"/>
  <c r="C283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E330" i="14"/>
  <c r="F330" i="14"/>
  <c r="F329" i="14"/>
  <c r="E329" i="14"/>
  <c r="F316" i="14"/>
  <c r="E316" i="14"/>
  <c r="C311" i="14"/>
  <c r="E308" i="14"/>
  <c r="F308" i="14"/>
  <c r="C307" i="14"/>
  <c r="E307" i="14"/>
  <c r="F307" i="14"/>
  <c r="C306" i="14"/>
  <c r="C299" i="14"/>
  <c r="C298" i="14"/>
  <c r="C297" i="14"/>
  <c r="C296" i="14"/>
  <c r="E296" i="14"/>
  <c r="C295" i="14"/>
  <c r="E295" i="14"/>
  <c r="C294" i="14"/>
  <c r="C250" i="14"/>
  <c r="F249" i="14"/>
  <c r="E249" i="14"/>
  <c r="E248" i="14"/>
  <c r="F248" i="14"/>
  <c r="F245" i="14"/>
  <c r="E245" i="14"/>
  <c r="E244" i="14"/>
  <c r="F244" i="14"/>
  <c r="F243" i="14"/>
  <c r="E243" i="14"/>
  <c r="C238" i="14"/>
  <c r="E238" i="14"/>
  <c r="C237" i="14"/>
  <c r="E234" i="14"/>
  <c r="F234" i="14"/>
  <c r="E233" i="14"/>
  <c r="F233" i="14"/>
  <c r="C230" i="14"/>
  <c r="E230" i="14"/>
  <c r="F230" i="14"/>
  <c r="C229" i="14"/>
  <c r="E229" i="14"/>
  <c r="E228" i="14"/>
  <c r="F228" i="14"/>
  <c r="C226" i="14"/>
  <c r="C227" i="14"/>
  <c r="E227" i="14"/>
  <c r="E225" i="14"/>
  <c r="F225" i="14"/>
  <c r="E224" i="14"/>
  <c r="F224" i="14"/>
  <c r="E223" i="14"/>
  <c r="C223" i="14"/>
  <c r="E222" i="14"/>
  <c r="F222" i="14"/>
  <c r="E221" i="14"/>
  <c r="F221" i="14"/>
  <c r="C204" i="14"/>
  <c r="C269" i="14"/>
  <c r="C203" i="14"/>
  <c r="C267" i="14"/>
  <c r="C198" i="14"/>
  <c r="C191" i="14"/>
  <c r="C200" i="14"/>
  <c r="C189" i="14"/>
  <c r="C262" i="14"/>
  <c r="C188" i="14"/>
  <c r="C277" i="14"/>
  <c r="E180" i="14"/>
  <c r="C180" i="14"/>
  <c r="C179" i="14"/>
  <c r="E179" i="14"/>
  <c r="C171" i="14"/>
  <c r="C172" i="14"/>
  <c r="C173" i="14"/>
  <c r="C170" i="14"/>
  <c r="E170" i="14"/>
  <c r="E169" i="14"/>
  <c r="F169" i="14"/>
  <c r="E168" i="14"/>
  <c r="F168" i="14"/>
  <c r="C165" i="14"/>
  <c r="E165" i="14"/>
  <c r="F165" i="14"/>
  <c r="C164" i="14"/>
  <c r="E163" i="14"/>
  <c r="F163" i="14"/>
  <c r="C158" i="14"/>
  <c r="C159" i="14"/>
  <c r="E157" i="14"/>
  <c r="F157" i="14"/>
  <c r="E156" i="14"/>
  <c r="F156" i="14"/>
  <c r="C155" i="14"/>
  <c r="E155" i="14"/>
  <c r="F155" i="14"/>
  <c r="E154" i="14"/>
  <c r="F154" i="14"/>
  <c r="E153" i="14"/>
  <c r="F153" i="14"/>
  <c r="C145" i="14"/>
  <c r="C144" i="14"/>
  <c r="C136" i="14"/>
  <c r="E136" i="14"/>
  <c r="C135" i="14"/>
  <c r="E134" i="14"/>
  <c r="F134" i="14"/>
  <c r="E133" i="14"/>
  <c r="F133" i="14"/>
  <c r="C130" i="14"/>
  <c r="C129" i="14"/>
  <c r="E129" i="14"/>
  <c r="F129" i="14"/>
  <c r="E128" i="14"/>
  <c r="F128" i="14"/>
  <c r="C123" i="14"/>
  <c r="C192" i="14"/>
  <c r="E122" i="14"/>
  <c r="F122" i="14"/>
  <c r="E121" i="14"/>
  <c r="F121" i="14"/>
  <c r="C120" i="14"/>
  <c r="E120" i="14"/>
  <c r="F120" i="14"/>
  <c r="E119" i="14"/>
  <c r="F119" i="14"/>
  <c r="E118" i="14"/>
  <c r="F118" i="14"/>
  <c r="C110" i="14"/>
  <c r="C109" i="14"/>
  <c r="C111" i="14"/>
  <c r="C101" i="14"/>
  <c r="E101" i="14"/>
  <c r="F100" i="14"/>
  <c r="C100" i="14"/>
  <c r="E100" i="14"/>
  <c r="E99" i="14"/>
  <c r="F99" i="14"/>
  <c r="E98" i="14"/>
  <c r="F98" i="14"/>
  <c r="C95" i="14"/>
  <c r="E95" i="14"/>
  <c r="C94" i="14"/>
  <c r="E94" i="14"/>
  <c r="E93" i="14"/>
  <c r="F93" i="14"/>
  <c r="C88" i="14"/>
  <c r="C89" i="14"/>
  <c r="E89" i="14"/>
  <c r="E87" i="14"/>
  <c r="F87" i="14"/>
  <c r="E86" i="14"/>
  <c r="F86" i="14"/>
  <c r="C85" i="14"/>
  <c r="E84" i="14"/>
  <c r="F84" i="14"/>
  <c r="E83" i="14"/>
  <c r="F83" i="14"/>
  <c r="C77" i="14"/>
  <c r="C76" i="14"/>
  <c r="E76" i="14"/>
  <c r="F76" i="14"/>
  <c r="E74" i="14"/>
  <c r="F74" i="14"/>
  <c r="F73" i="14"/>
  <c r="E73" i="14"/>
  <c r="C68" i="14"/>
  <c r="C67" i="14"/>
  <c r="E66" i="14"/>
  <c r="C66" i="14"/>
  <c r="C59" i="14"/>
  <c r="C60" i="14"/>
  <c r="C58" i="14"/>
  <c r="F57" i="14"/>
  <c r="E57" i="14"/>
  <c r="E56" i="14"/>
  <c r="F56" i="14"/>
  <c r="C53" i="14"/>
  <c r="E53" i="14"/>
  <c r="C52" i="14"/>
  <c r="E51" i="14"/>
  <c r="F51" i="14"/>
  <c r="C47" i="14"/>
  <c r="E46" i="14"/>
  <c r="F46" i="14"/>
  <c r="E45" i="14"/>
  <c r="F45" i="14"/>
  <c r="C44" i="14"/>
  <c r="E44" i="14"/>
  <c r="F44" i="14"/>
  <c r="E43" i="14"/>
  <c r="F43" i="14"/>
  <c r="E42" i="14"/>
  <c r="F42" i="14"/>
  <c r="C36" i="14"/>
  <c r="E36" i="14"/>
  <c r="C35" i="14"/>
  <c r="E35" i="14"/>
  <c r="C30" i="14"/>
  <c r="C31" i="14"/>
  <c r="C29" i="14"/>
  <c r="F28" i="14"/>
  <c r="E28" i="14"/>
  <c r="E27" i="14"/>
  <c r="F27" i="14"/>
  <c r="C24" i="14"/>
  <c r="E24" i="14"/>
  <c r="F24" i="14"/>
  <c r="E23" i="14"/>
  <c r="C23" i="14"/>
  <c r="F23" i="14"/>
  <c r="E22" i="14"/>
  <c r="F22" i="14"/>
  <c r="C21" i="14"/>
  <c r="C20" i="14"/>
  <c r="E20" i="14"/>
  <c r="F20" i="14"/>
  <c r="E19" i="14"/>
  <c r="F19" i="14"/>
  <c r="E18" i="14"/>
  <c r="F18" i="14"/>
  <c r="C17" i="14"/>
  <c r="E17" i="14"/>
  <c r="E16" i="14"/>
  <c r="F16" i="14"/>
  <c r="E15" i="14"/>
  <c r="F15" i="14"/>
  <c r="D21" i="13"/>
  <c r="E21" i="13"/>
  <c r="C21" i="13"/>
  <c r="E20" i="13"/>
  <c r="F20" i="13"/>
  <c r="D17" i="13"/>
  <c r="E17" i="13"/>
  <c r="C17" i="13"/>
  <c r="F17" i="13"/>
  <c r="F16" i="13"/>
  <c r="E16" i="13"/>
  <c r="D13" i="13"/>
  <c r="E13" i="13"/>
  <c r="C13" i="13"/>
  <c r="E12" i="13"/>
  <c r="F12" i="13"/>
  <c r="D99" i="12"/>
  <c r="E99" i="12"/>
  <c r="C99" i="12"/>
  <c r="F99" i="12"/>
  <c r="E98" i="12"/>
  <c r="F98" i="12"/>
  <c r="E97" i="12"/>
  <c r="F97" i="12"/>
  <c r="E96" i="12"/>
  <c r="F96" i="12"/>
  <c r="D92" i="12"/>
  <c r="E92" i="12"/>
  <c r="C92" i="12"/>
  <c r="E91" i="12"/>
  <c r="F91" i="12"/>
  <c r="E90" i="12"/>
  <c r="F90" i="12"/>
  <c r="E89" i="12"/>
  <c r="F89" i="12"/>
  <c r="E88" i="12"/>
  <c r="F88" i="12"/>
  <c r="E87" i="12"/>
  <c r="F87" i="12"/>
  <c r="D84" i="12"/>
  <c r="E84" i="12"/>
  <c r="F84" i="12"/>
  <c r="C84" i="12"/>
  <c r="F83" i="12"/>
  <c r="E83" i="12"/>
  <c r="E82" i="12"/>
  <c r="F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E70" i="12"/>
  <c r="C70" i="12"/>
  <c r="E69" i="12"/>
  <c r="F69" i="12"/>
  <c r="F68" i="12"/>
  <c r="E68" i="12"/>
  <c r="D65" i="12"/>
  <c r="E65" i="12"/>
  <c r="C65" i="12"/>
  <c r="E64" i="12"/>
  <c r="F64" i="12"/>
  <c r="E63" i="12"/>
  <c r="F63" i="12"/>
  <c r="D60" i="12"/>
  <c r="C60" i="12"/>
  <c r="E59" i="12"/>
  <c r="F59" i="12"/>
  <c r="E58" i="12"/>
  <c r="F58" i="12"/>
  <c r="D55" i="12"/>
  <c r="C55" i="12"/>
  <c r="E54" i="12"/>
  <c r="F54" i="12"/>
  <c r="F53" i="12"/>
  <c r="E53" i="12"/>
  <c r="D50" i="12"/>
  <c r="C50" i="12"/>
  <c r="E49" i="12"/>
  <c r="F49" i="12"/>
  <c r="E48" i="12"/>
  <c r="F48" i="12"/>
  <c r="D45" i="12"/>
  <c r="E45" i="12"/>
  <c r="C45" i="12"/>
  <c r="E44" i="12"/>
  <c r="F44" i="12"/>
  <c r="E43" i="12"/>
  <c r="F43" i="12"/>
  <c r="D37" i="12"/>
  <c r="E37" i="12"/>
  <c r="C37" i="12"/>
  <c r="F36" i="12"/>
  <c r="E36" i="12"/>
  <c r="F35" i="12"/>
  <c r="E35" i="12"/>
  <c r="E34" i="12"/>
  <c r="F34" i="12"/>
  <c r="F33" i="12"/>
  <c r="E33" i="12"/>
  <c r="D30" i="12"/>
  <c r="C30" i="12"/>
  <c r="F30" i="12"/>
  <c r="F29" i="12"/>
  <c r="E29" i="12"/>
  <c r="F28" i="12"/>
  <c r="E28" i="12"/>
  <c r="F27" i="12"/>
  <c r="E27" i="12"/>
  <c r="F26" i="12"/>
  <c r="E26" i="12"/>
  <c r="D23" i="12"/>
  <c r="E23" i="12"/>
  <c r="C23" i="12"/>
  <c r="F22" i="12"/>
  <c r="E22" i="12"/>
  <c r="F21" i="12"/>
  <c r="E21" i="12"/>
  <c r="F20" i="12"/>
  <c r="E20" i="12"/>
  <c r="F19" i="12"/>
  <c r="E19" i="12"/>
  <c r="D16" i="12"/>
  <c r="C16" i="12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3" i="11"/>
  <c r="D17" i="11"/>
  <c r="C17" i="11"/>
  <c r="C33" i="11"/>
  <c r="C36" i="11"/>
  <c r="C38" i="11"/>
  <c r="C40" i="11"/>
  <c r="G16" i="11"/>
  <c r="F16" i="11"/>
  <c r="G15" i="11"/>
  <c r="F15" i="11"/>
  <c r="G13" i="11"/>
  <c r="F13" i="11"/>
  <c r="G11" i="11"/>
  <c r="F11" i="11"/>
  <c r="C80" i="10"/>
  <c r="C77" i="10"/>
  <c r="E79" i="10"/>
  <c r="D79" i="10"/>
  <c r="C79" i="10"/>
  <c r="E78" i="10"/>
  <c r="E80" i="10"/>
  <c r="E77" i="10"/>
  <c r="D78" i="10"/>
  <c r="D80" i="10"/>
  <c r="C78" i="10"/>
  <c r="D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C66" i="10"/>
  <c r="D65" i="10"/>
  <c r="C65" i="10"/>
  <c r="E60" i="10"/>
  <c r="D60" i="10"/>
  <c r="C60" i="10"/>
  <c r="E58" i="10"/>
  <c r="D58" i="10"/>
  <c r="C58" i="10"/>
  <c r="E55" i="10"/>
  <c r="D55" i="10"/>
  <c r="C55" i="10"/>
  <c r="C50" i="10"/>
  <c r="E54" i="10"/>
  <c r="D54" i="10"/>
  <c r="D50" i="10"/>
  <c r="C54" i="10"/>
  <c r="E46" i="10"/>
  <c r="E48" i="10"/>
  <c r="D46" i="10"/>
  <c r="D59" i="10"/>
  <c r="D61" i="10"/>
  <c r="D57" i="10"/>
  <c r="C46" i="10"/>
  <c r="C48" i="10"/>
  <c r="C42" i="10"/>
  <c r="C59" i="10"/>
  <c r="C61" i="10"/>
  <c r="C57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E15" i="10"/>
  <c r="D13" i="10"/>
  <c r="D15" i="10"/>
  <c r="D25" i="10"/>
  <c r="D27" i="10"/>
  <c r="C13" i="10"/>
  <c r="C15" i="10"/>
  <c r="D46" i="9"/>
  <c r="E46" i="9"/>
  <c r="C46" i="9"/>
  <c r="F45" i="9"/>
  <c r="E45" i="9"/>
  <c r="E44" i="9"/>
  <c r="F44" i="9"/>
  <c r="D39" i="9"/>
  <c r="E39" i="9"/>
  <c r="C39" i="9"/>
  <c r="E38" i="9"/>
  <c r="F38" i="9"/>
  <c r="F37" i="9"/>
  <c r="E37" i="9"/>
  <c r="F36" i="9"/>
  <c r="E36" i="9"/>
  <c r="D31" i="9"/>
  <c r="E31" i="9"/>
  <c r="C31" i="9"/>
  <c r="E30" i="9"/>
  <c r="F30" i="9"/>
  <c r="E29" i="9"/>
  <c r="F29" i="9"/>
  <c r="F28" i="9"/>
  <c r="E28" i="9"/>
  <c r="E27" i="9"/>
  <c r="F27" i="9"/>
  <c r="F26" i="9"/>
  <c r="E26" i="9"/>
  <c r="E25" i="9"/>
  <c r="F25" i="9"/>
  <c r="F24" i="9"/>
  <c r="E24" i="9"/>
  <c r="E23" i="9"/>
  <c r="F23" i="9"/>
  <c r="E22" i="9"/>
  <c r="F22" i="9"/>
  <c r="E18" i="9"/>
  <c r="F18" i="9"/>
  <c r="F17" i="9"/>
  <c r="E17" i="9"/>
  <c r="D16" i="9"/>
  <c r="D19" i="9"/>
  <c r="C16" i="9"/>
  <c r="C19" i="9"/>
  <c r="E15" i="9"/>
  <c r="F15" i="9"/>
  <c r="E14" i="9"/>
  <c r="F14" i="9"/>
  <c r="E13" i="9"/>
  <c r="F13" i="9"/>
  <c r="E12" i="9"/>
  <c r="F12" i="9"/>
  <c r="D73" i="8"/>
  <c r="E73" i="8"/>
  <c r="C73" i="8"/>
  <c r="F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E61" i="8"/>
  <c r="C61" i="8"/>
  <c r="C65" i="8"/>
  <c r="F60" i="8"/>
  <c r="E60" i="8"/>
  <c r="E59" i="8"/>
  <c r="F59" i="8"/>
  <c r="D56" i="8"/>
  <c r="C56" i="8"/>
  <c r="F55" i="8"/>
  <c r="E55" i="8"/>
  <c r="F54" i="8"/>
  <c r="E54" i="8"/>
  <c r="F53" i="8"/>
  <c r="E53" i="8"/>
  <c r="F52" i="8"/>
  <c r="E52" i="8"/>
  <c r="F51" i="8"/>
  <c r="E51" i="8"/>
  <c r="A51" i="8"/>
  <c r="A52" i="8"/>
  <c r="A53" i="8"/>
  <c r="A54" i="8"/>
  <c r="A55" i="8"/>
  <c r="E50" i="8"/>
  <c r="F50" i="8"/>
  <c r="A50" i="8"/>
  <c r="F49" i="8"/>
  <c r="E49" i="8"/>
  <c r="D41" i="8"/>
  <c r="E40" i="8"/>
  <c r="F40" i="8"/>
  <c r="D38" i="8"/>
  <c r="E38" i="8"/>
  <c r="C38" i="8"/>
  <c r="C41" i="8"/>
  <c r="E37" i="8"/>
  <c r="F37" i="8"/>
  <c r="E36" i="8"/>
  <c r="F36" i="8"/>
  <c r="E33" i="8"/>
  <c r="F33" i="8"/>
  <c r="E32" i="8"/>
  <c r="F32" i="8"/>
  <c r="F31" i="8"/>
  <c r="E31" i="8"/>
  <c r="D29" i="8"/>
  <c r="C29" i="8"/>
  <c r="F28" i="8"/>
  <c r="E28" i="8"/>
  <c r="E27" i="8"/>
  <c r="F27" i="8"/>
  <c r="F26" i="8"/>
  <c r="E26" i="8"/>
  <c r="E25" i="8"/>
  <c r="F25" i="8"/>
  <c r="D22" i="8"/>
  <c r="E22" i="8"/>
  <c r="C22" i="8"/>
  <c r="C43" i="8"/>
  <c r="E21" i="8"/>
  <c r="F21" i="8"/>
  <c r="E20" i="8"/>
  <c r="F20" i="8"/>
  <c r="E19" i="8"/>
  <c r="F19" i="8"/>
  <c r="F18" i="8"/>
  <c r="E18" i="8"/>
  <c r="F17" i="8"/>
  <c r="E17" i="8"/>
  <c r="F16" i="8"/>
  <c r="E16" i="8"/>
  <c r="E15" i="8"/>
  <c r="F15" i="8"/>
  <c r="F14" i="8"/>
  <c r="E14" i="8"/>
  <c r="E13" i="8"/>
  <c r="F13" i="8"/>
  <c r="D120" i="7"/>
  <c r="C120" i="7"/>
  <c r="E120" i="7"/>
  <c r="D119" i="7"/>
  <c r="C119" i="7"/>
  <c r="E119" i="7"/>
  <c r="D118" i="7"/>
  <c r="C118" i="7"/>
  <c r="E118" i="7"/>
  <c r="D117" i="7"/>
  <c r="C117" i="7"/>
  <c r="E117" i="7"/>
  <c r="D116" i="7"/>
  <c r="E116" i="7"/>
  <c r="C116" i="7"/>
  <c r="F116" i="7"/>
  <c r="D115" i="7"/>
  <c r="E115" i="7"/>
  <c r="C115" i="7"/>
  <c r="F115" i="7"/>
  <c r="D114" i="7"/>
  <c r="E114" i="7"/>
  <c r="C114" i="7"/>
  <c r="F114" i="7"/>
  <c r="D113" i="7"/>
  <c r="E113" i="7"/>
  <c r="C113" i="7"/>
  <c r="F113" i="7"/>
  <c r="D112" i="7"/>
  <c r="E112" i="7"/>
  <c r="C112" i="7"/>
  <c r="F112" i="7"/>
  <c r="C121" i="7"/>
  <c r="D108" i="7"/>
  <c r="E108" i="7"/>
  <c r="C108" i="7"/>
  <c r="D107" i="7"/>
  <c r="E107" i="7"/>
  <c r="C107" i="7"/>
  <c r="F106" i="7"/>
  <c r="E106" i="7"/>
  <c r="E105" i="7"/>
  <c r="F105" i="7"/>
  <c r="F104" i="7"/>
  <c r="E104" i="7"/>
  <c r="E103" i="7"/>
  <c r="F103" i="7"/>
  <c r="F102" i="7"/>
  <c r="E102" i="7"/>
  <c r="E101" i="7"/>
  <c r="F101" i="7"/>
  <c r="E100" i="7"/>
  <c r="F100" i="7"/>
  <c r="E99" i="7"/>
  <c r="F99" i="7"/>
  <c r="F98" i="7"/>
  <c r="E98" i="7"/>
  <c r="D96" i="7"/>
  <c r="E96" i="7"/>
  <c r="C96" i="7"/>
  <c r="D95" i="7"/>
  <c r="E95" i="7"/>
  <c r="C95" i="7"/>
  <c r="F94" i="7"/>
  <c r="E94" i="7"/>
  <c r="F93" i="7"/>
  <c r="E93" i="7"/>
  <c r="E92" i="7"/>
  <c r="F92" i="7"/>
  <c r="F91" i="7"/>
  <c r="E91" i="7"/>
  <c r="F90" i="7"/>
  <c r="E90" i="7"/>
  <c r="F89" i="7"/>
  <c r="E89" i="7"/>
  <c r="E88" i="7"/>
  <c r="F88" i="7"/>
  <c r="F87" i="7"/>
  <c r="E87" i="7"/>
  <c r="F86" i="7"/>
  <c r="E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F60" i="7"/>
  <c r="C60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E53" i="7"/>
  <c r="F53" i="7"/>
  <c r="E52" i="7"/>
  <c r="F52" i="7"/>
  <c r="F51" i="7"/>
  <c r="E51" i="7"/>
  <c r="F50" i="7"/>
  <c r="E50" i="7"/>
  <c r="D48" i="7"/>
  <c r="E48" i="7"/>
  <c r="C48" i="7"/>
  <c r="D47" i="7"/>
  <c r="C47" i="7"/>
  <c r="E46" i="7"/>
  <c r="F46" i="7"/>
  <c r="E45" i="7"/>
  <c r="F45" i="7"/>
  <c r="E44" i="7"/>
  <c r="F44" i="7"/>
  <c r="E43" i="7"/>
  <c r="F43" i="7"/>
  <c r="E42" i="7"/>
  <c r="F42" i="7"/>
  <c r="E41" i="7"/>
  <c r="F41" i="7"/>
  <c r="E40" i="7"/>
  <c r="F40" i="7"/>
  <c r="E39" i="7"/>
  <c r="F39" i="7"/>
  <c r="E38" i="7"/>
  <c r="F38" i="7"/>
  <c r="D36" i="7"/>
  <c r="C36" i="7"/>
  <c r="D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D23" i="7"/>
  <c r="E23" i="7"/>
  <c r="C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C206" i="6"/>
  <c r="D205" i="6"/>
  <c r="C205" i="6"/>
  <c r="D204" i="6"/>
  <c r="C204" i="6"/>
  <c r="D203" i="6"/>
  <c r="C203" i="6"/>
  <c r="D202" i="6"/>
  <c r="C202" i="6"/>
  <c r="D201" i="6"/>
  <c r="C201" i="6"/>
  <c r="D200" i="6"/>
  <c r="C200" i="6"/>
  <c r="E199" i="6"/>
  <c r="D199" i="6"/>
  <c r="D208" i="6"/>
  <c r="E208" i="6"/>
  <c r="C199" i="6"/>
  <c r="F199" i="6"/>
  <c r="C208" i="6"/>
  <c r="D198" i="6"/>
  <c r="E198" i="6"/>
  <c r="C198" i="6"/>
  <c r="C207" i="6"/>
  <c r="D193" i="6"/>
  <c r="C193" i="6"/>
  <c r="F193" i="6"/>
  <c r="D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7" i="6"/>
  <c r="D167" i="6"/>
  <c r="E167" i="6"/>
  <c r="C167" i="6"/>
  <c r="F166" i="6"/>
  <c r="D166" i="6"/>
  <c r="E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/>
  <c r="D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F128" i="6"/>
  <c r="D127" i="6"/>
  <c r="E127" i="6"/>
  <c r="C127" i="6"/>
  <c r="F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C115" i="6"/>
  <c r="E115" i="6"/>
  <c r="F115" i="6"/>
  <c r="D114" i="6"/>
  <c r="C114" i="6"/>
  <c r="E114" i="6"/>
  <c r="F114" i="6"/>
  <c r="F113" i="6"/>
  <c r="E113" i="6"/>
  <c r="E112" i="6"/>
  <c r="F112" i="6"/>
  <c r="E111" i="6"/>
  <c r="F111" i="6"/>
  <c r="E110" i="6"/>
  <c r="F110" i="6"/>
  <c r="E109" i="6"/>
  <c r="F109" i="6"/>
  <c r="E108" i="6"/>
  <c r="F108" i="6"/>
  <c r="F107" i="6"/>
  <c r="E107" i="6"/>
  <c r="E106" i="6"/>
  <c r="F106" i="6"/>
  <c r="F105" i="6"/>
  <c r="E105" i="6"/>
  <c r="D102" i="6"/>
  <c r="E102" i="6"/>
  <c r="C102" i="6"/>
  <c r="F102" i="6"/>
  <c r="D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F89" i="6"/>
  <c r="C89" i="6"/>
  <c r="D88" i="6"/>
  <c r="E88" i="6"/>
  <c r="F88" i="6"/>
  <c r="C88" i="6"/>
  <c r="F87" i="6"/>
  <c r="E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E76" i="6"/>
  <c r="C76" i="6"/>
  <c r="D75" i="6"/>
  <c r="E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E63" i="6"/>
  <c r="C63" i="6"/>
  <c r="D62" i="6"/>
  <c r="E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F50" i="6"/>
  <c r="D49" i="6"/>
  <c r="E49" i="6"/>
  <c r="C49" i="6"/>
  <c r="F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C37" i="6"/>
  <c r="F37" i="6"/>
  <c r="D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C24" i="6"/>
  <c r="F24" i="6"/>
  <c r="D23" i="6"/>
  <c r="E23" i="6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/>
  <c r="E166" i="5"/>
  <c r="D164" i="5"/>
  <c r="D160" i="5"/>
  <c r="D166" i="5"/>
  <c r="C164" i="5"/>
  <c r="C160" i="5"/>
  <c r="C166" i="5"/>
  <c r="E162" i="5"/>
  <c r="D162" i="5"/>
  <c r="C162" i="5"/>
  <c r="E161" i="5"/>
  <c r="D161" i="5"/>
  <c r="C161" i="5"/>
  <c r="E147" i="5"/>
  <c r="E143" i="5"/>
  <c r="E149" i="5"/>
  <c r="D147" i="5"/>
  <c r="D143" i="5"/>
  <c r="D149" i="5"/>
  <c r="C147" i="5"/>
  <c r="E145" i="5"/>
  <c r="D145" i="5"/>
  <c r="C145" i="5"/>
  <c r="E144" i="5"/>
  <c r="D144" i="5"/>
  <c r="C144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C104" i="5"/>
  <c r="E102" i="5"/>
  <c r="E104" i="5"/>
  <c r="D102" i="5"/>
  <c r="D104" i="5"/>
  <c r="C102" i="5"/>
  <c r="E100" i="5"/>
  <c r="D100" i="5"/>
  <c r="C100" i="5"/>
  <c r="E95" i="5"/>
  <c r="E94" i="5"/>
  <c r="D95" i="5"/>
  <c r="C95" i="5"/>
  <c r="D94" i="5"/>
  <c r="C94" i="5"/>
  <c r="E89" i="5"/>
  <c r="D89" i="5"/>
  <c r="C89" i="5"/>
  <c r="C88" i="5"/>
  <c r="C90" i="5"/>
  <c r="C86" i="5"/>
  <c r="E87" i="5"/>
  <c r="D87" i="5"/>
  <c r="C87" i="5"/>
  <c r="E84" i="5"/>
  <c r="E79" i="5"/>
  <c r="D84" i="5"/>
  <c r="C84" i="5"/>
  <c r="C79" i="5"/>
  <c r="E83" i="5"/>
  <c r="D83" i="5"/>
  <c r="C83" i="5"/>
  <c r="D79" i="5"/>
  <c r="C77" i="5"/>
  <c r="C71" i="5"/>
  <c r="E75" i="5"/>
  <c r="E77" i="5"/>
  <c r="E71" i="5"/>
  <c r="D75" i="5"/>
  <c r="D88" i="5"/>
  <c r="D90" i="5"/>
  <c r="D86" i="5"/>
  <c r="C75" i="5"/>
  <c r="E74" i="5"/>
  <c r="D74" i="5"/>
  <c r="C74" i="5"/>
  <c r="E67" i="5"/>
  <c r="D67" i="5"/>
  <c r="C67" i="5"/>
  <c r="C49" i="5"/>
  <c r="E38" i="5"/>
  <c r="E49" i="5"/>
  <c r="D38" i="5"/>
  <c r="D43" i="5"/>
  <c r="C38" i="5"/>
  <c r="C53" i="5"/>
  <c r="C57" i="5"/>
  <c r="C62" i="5"/>
  <c r="D34" i="5"/>
  <c r="E33" i="5"/>
  <c r="E34" i="5"/>
  <c r="D33" i="5"/>
  <c r="E26" i="5"/>
  <c r="D26" i="5"/>
  <c r="C26" i="5"/>
  <c r="D25" i="5"/>
  <c r="D27" i="5"/>
  <c r="C25" i="5"/>
  <c r="C27" i="5"/>
  <c r="E13" i="5"/>
  <c r="E15" i="5"/>
  <c r="D13" i="5"/>
  <c r="D15" i="5"/>
  <c r="C13" i="5"/>
  <c r="C15" i="5"/>
  <c r="C24" i="5"/>
  <c r="E174" i="4"/>
  <c r="F174" i="4"/>
  <c r="D171" i="4"/>
  <c r="C171" i="4"/>
  <c r="E170" i="4"/>
  <c r="F170" i="4"/>
  <c r="E169" i="4"/>
  <c r="F169" i="4"/>
  <c r="F168" i="4"/>
  <c r="E168" i="4"/>
  <c r="E167" i="4"/>
  <c r="F167" i="4"/>
  <c r="E166" i="4"/>
  <c r="F166" i="4"/>
  <c r="E165" i="4"/>
  <c r="F165" i="4"/>
  <c r="F164" i="4"/>
  <c r="E164" i="4"/>
  <c r="F163" i="4"/>
  <c r="E163" i="4"/>
  <c r="F162" i="4"/>
  <c r="E162" i="4"/>
  <c r="E161" i="4"/>
  <c r="F161" i="4"/>
  <c r="F160" i="4"/>
  <c r="E160" i="4"/>
  <c r="E159" i="4"/>
  <c r="F159" i="4"/>
  <c r="E158" i="4"/>
  <c r="F158" i="4"/>
  <c r="D155" i="4"/>
  <c r="C155" i="4"/>
  <c r="F154" i="4"/>
  <c r="E154" i="4"/>
  <c r="F153" i="4"/>
  <c r="E153" i="4"/>
  <c r="E152" i="4"/>
  <c r="F152" i="4"/>
  <c r="F151" i="4"/>
  <c r="E151" i="4"/>
  <c r="F150" i="4"/>
  <c r="E150" i="4"/>
  <c r="F149" i="4"/>
  <c r="E149" i="4"/>
  <c r="E148" i="4"/>
  <c r="F148" i="4"/>
  <c r="F147" i="4"/>
  <c r="E147" i="4"/>
  <c r="E146" i="4"/>
  <c r="F146" i="4"/>
  <c r="F145" i="4"/>
  <c r="E145" i="4"/>
  <c r="E144" i="4"/>
  <c r="F144" i="4"/>
  <c r="E143" i="4"/>
  <c r="F143" i="4"/>
  <c r="E142" i="4"/>
  <c r="F142" i="4"/>
  <c r="F141" i="4"/>
  <c r="E141" i="4"/>
  <c r="F140" i="4"/>
  <c r="E140" i="4"/>
  <c r="E139" i="4"/>
  <c r="F139" i="4"/>
  <c r="E138" i="4"/>
  <c r="F138" i="4"/>
  <c r="F137" i="4"/>
  <c r="E137" i="4"/>
  <c r="F136" i="4"/>
  <c r="E136" i="4"/>
  <c r="F135" i="4"/>
  <c r="E135" i="4"/>
  <c r="E134" i="4"/>
  <c r="F134" i="4"/>
  <c r="E133" i="4"/>
  <c r="F133" i="4"/>
  <c r="E132" i="4"/>
  <c r="F132" i="4"/>
  <c r="F131" i="4"/>
  <c r="E131" i="4"/>
  <c r="E130" i="4"/>
  <c r="F130" i="4"/>
  <c r="E129" i="4"/>
  <c r="F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E118" i="4"/>
  <c r="F118" i="4"/>
  <c r="C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09" i="4"/>
  <c r="E109" i="4"/>
  <c r="F109" i="4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D83" i="4"/>
  <c r="C78" i="4"/>
  <c r="E77" i="4"/>
  <c r="F77" i="4"/>
  <c r="F76" i="4"/>
  <c r="E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E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/>
  <c r="F41" i="4"/>
  <c r="C41" i="4"/>
  <c r="F40" i="4"/>
  <c r="E40" i="4"/>
  <c r="F39" i="4"/>
  <c r="E39" i="4"/>
  <c r="F38" i="4"/>
  <c r="E38" i="4"/>
  <c r="D35" i="4"/>
  <c r="E35" i="4"/>
  <c r="F35" i="4"/>
  <c r="C35" i="4"/>
  <c r="E34" i="4"/>
  <c r="F34" i="4"/>
  <c r="E33" i="4"/>
  <c r="F33" i="4"/>
  <c r="D30" i="4"/>
  <c r="E30" i="4"/>
  <c r="C30" i="4"/>
  <c r="F29" i="4"/>
  <c r="E29" i="4"/>
  <c r="F28" i="4"/>
  <c r="E28" i="4"/>
  <c r="F27" i="4"/>
  <c r="E27" i="4"/>
  <c r="D24" i="4"/>
  <c r="E24" i="4"/>
  <c r="F24" i="4"/>
  <c r="C24" i="4"/>
  <c r="F23" i="4"/>
  <c r="E23" i="4"/>
  <c r="F22" i="4"/>
  <c r="E22" i="4"/>
  <c r="F21" i="4"/>
  <c r="E21" i="4"/>
  <c r="D18" i="4"/>
  <c r="E18" i="4"/>
  <c r="F18" i="4"/>
  <c r="C18" i="4"/>
  <c r="E17" i="4"/>
  <c r="F17" i="4"/>
  <c r="E16" i="4"/>
  <c r="F16" i="4"/>
  <c r="E15" i="4"/>
  <c r="F15" i="4"/>
  <c r="D179" i="3"/>
  <c r="C179" i="3"/>
  <c r="E179" i="3"/>
  <c r="F178" i="3"/>
  <c r="E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F136" i="3"/>
  <c r="E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E124" i="3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E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D93" i="3"/>
  <c r="E93" i="3"/>
  <c r="F93" i="3"/>
  <c r="C93" i="3"/>
  <c r="D92" i="3"/>
  <c r="E92" i="3"/>
  <c r="F92" i="3"/>
  <c r="C92" i="3"/>
  <c r="D91" i="3"/>
  <c r="E91" i="3"/>
  <c r="F91" i="3"/>
  <c r="C91" i="3"/>
  <c r="D90" i="3"/>
  <c r="E90" i="3"/>
  <c r="F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E84" i="3"/>
  <c r="F84" i="3"/>
  <c r="C84" i="3"/>
  <c r="C95" i="3"/>
  <c r="D81" i="3"/>
  <c r="C81" i="3"/>
  <c r="E81" i="3"/>
  <c r="F80" i="3"/>
  <c r="E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C68" i="3"/>
  <c r="F68" i="3"/>
  <c r="F67" i="3"/>
  <c r="E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E51" i="3"/>
  <c r="D50" i="3"/>
  <c r="C50" i="3"/>
  <c r="E50" i="3"/>
  <c r="D49" i="3"/>
  <c r="C49" i="3"/>
  <c r="E49" i="3"/>
  <c r="D48" i="3"/>
  <c r="C48" i="3"/>
  <c r="E48" i="3"/>
  <c r="D47" i="3"/>
  <c r="C47" i="3"/>
  <c r="E47" i="3"/>
  <c r="D46" i="3"/>
  <c r="C46" i="3"/>
  <c r="E46" i="3"/>
  <c r="D45" i="3"/>
  <c r="C45" i="3"/>
  <c r="E45" i="3"/>
  <c r="D44" i="3"/>
  <c r="C44" i="3"/>
  <c r="E44" i="3"/>
  <c r="D43" i="3"/>
  <c r="C43" i="3"/>
  <c r="E43" i="3"/>
  <c r="D42" i="3"/>
  <c r="C42" i="3"/>
  <c r="E42" i="3"/>
  <c r="D41" i="3"/>
  <c r="D52" i="3"/>
  <c r="C41" i="3"/>
  <c r="E41" i="3"/>
  <c r="D38" i="3"/>
  <c r="E38" i="3"/>
  <c r="F38" i="3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/>
  <c r="C25" i="3"/>
  <c r="F24" i="3"/>
  <c r="E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C46" i="2"/>
  <c r="F46" i="2"/>
  <c r="F45" i="2"/>
  <c r="E45" i="2"/>
  <c r="E44" i="2"/>
  <c r="F44" i="2"/>
  <c r="D39" i="2"/>
  <c r="E39" i="2"/>
  <c r="C39" i="2"/>
  <c r="F38" i="2"/>
  <c r="E38" i="2"/>
  <c r="F37" i="2"/>
  <c r="E37" i="2"/>
  <c r="F36" i="2"/>
  <c r="E36" i="2"/>
  <c r="D31" i="2"/>
  <c r="E31" i="2"/>
  <c r="F31" i="2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D19" i="2"/>
  <c r="C16" i="2"/>
  <c r="F15" i="2"/>
  <c r="E15" i="2"/>
  <c r="E14" i="2"/>
  <c r="F14" i="2"/>
  <c r="E13" i="2"/>
  <c r="F13" i="2"/>
  <c r="E12" i="2"/>
  <c r="F12" i="2"/>
  <c r="D73" i="1"/>
  <c r="E73" i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D65" i="1"/>
  <c r="E65" i="1"/>
  <c r="C61" i="1"/>
  <c r="C65" i="1"/>
  <c r="F65" i="1"/>
  <c r="F60" i="1"/>
  <c r="E60" i="1"/>
  <c r="F59" i="1"/>
  <c r="E59" i="1"/>
  <c r="D56" i="1"/>
  <c r="D75" i="1"/>
  <c r="E75" i="1"/>
  <c r="C56" i="1"/>
  <c r="C75" i="1"/>
  <c r="F55" i="1"/>
  <c r="E55" i="1"/>
  <c r="F54" i="1"/>
  <c r="E54" i="1"/>
  <c r="E53" i="1"/>
  <c r="F53" i="1"/>
  <c r="F52" i="1"/>
  <c r="E52" i="1"/>
  <c r="F51" i="1"/>
  <c r="E51" i="1"/>
  <c r="F50" i="1"/>
  <c r="E50" i="1"/>
  <c r="A50" i="1"/>
  <c r="A51" i="1"/>
  <c r="A52" i="1"/>
  <c r="A53" i="1"/>
  <c r="A54" i="1"/>
  <c r="A55" i="1"/>
  <c r="E49" i="1"/>
  <c r="F49" i="1"/>
  <c r="E40" i="1"/>
  <c r="F40" i="1"/>
  <c r="D38" i="1"/>
  <c r="D41" i="1"/>
  <c r="C38" i="1"/>
  <c r="E38" i="1"/>
  <c r="E37" i="1"/>
  <c r="F37" i="1"/>
  <c r="E36" i="1"/>
  <c r="F36" i="1"/>
  <c r="E33" i="1"/>
  <c r="F33" i="1"/>
  <c r="E32" i="1"/>
  <c r="F32" i="1"/>
  <c r="F31" i="1"/>
  <c r="E31" i="1"/>
  <c r="D29" i="1"/>
  <c r="E29" i="1"/>
  <c r="C29" i="1"/>
  <c r="F28" i="1"/>
  <c r="E28" i="1"/>
  <c r="F27" i="1"/>
  <c r="E27" i="1"/>
  <c r="F26" i="1"/>
  <c r="E26" i="1"/>
  <c r="F25" i="1"/>
  <c r="E25" i="1"/>
  <c r="D22" i="1"/>
  <c r="D43" i="1"/>
  <c r="C22" i="1"/>
  <c r="E21" i="1"/>
  <c r="F21" i="1"/>
  <c r="E20" i="1"/>
  <c r="F20" i="1"/>
  <c r="E19" i="1"/>
  <c r="F19" i="1"/>
  <c r="E18" i="1"/>
  <c r="F18" i="1"/>
  <c r="F17" i="1"/>
  <c r="E17" i="1"/>
  <c r="F16" i="1"/>
  <c r="E16" i="1"/>
  <c r="E15" i="1"/>
  <c r="F15" i="1"/>
  <c r="F14" i="1"/>
  <c r="E14" i="1"/>
  <c r="E13" i="1"/>
  <c r="F13" i="1"/>
  <c r="D173" i="14"/>
  <c r="E172" i="14"/>
  <c r="F172" i="14"/>
  <c r="D49" i="14"/>
  <c r="D50" i="14"/>
  <c r="E30" i="14"/>
  <c r="E85" i="14"/>
  <c r="F85" i="14"/>
  <c r="F89" i="14"/>
  <c r="D111" i="14"/>
  <c r="E111" i="14"/>
  <c r="F111" i="14"/>
  <c r="D239" i="14"/>
  <c r="D269" i="14"/>
  <c r="E269" i="14"/>
  <c r="F269" i="14"/>
  <c r="E145" i="14"/>
  <c r="E159" i="14"/>
  <c r="E77" i="14"/>
  <c r="E67" i="14"/>
  <c r="F67" i="14"/>
  <c r="E171" i="14"/>
  <c r="F171" i="14"/>
  <c r="D206" i="14"/>
  <c r="D199" i="14"/>
  <c r="D215" i="14"/>
  <c r="D255" i="14"/>
  <c r="E155" i="5"/>
  <c r="E154" i="5"/>
  <c r="E157" i="5"/>
  <c r="E153" i="5"/>
  <c r="E156" i="5"/>
  <c r="E152" i="5"/>
  <c r="D21" i="10"/>
  <c r="F29" i="1"/>
  <c r="F73" i="1"/>
  <c r="F39" i="2"/>
  <c r="F59" i="4"/>
  <c r="C157" i="5"/>
  <c r="C153" i="5"/>
  <c r="C156" i="5"/>
  <c r="C152" i="5"/>
  <c r="C155" i="5"/>
  <c r="C154" i="5"/>
  <c r="D154" i="5"/>
  <c r="D157" i="5"/>
  <c r="D153" i="5"/>
  <c r="D156" i="5"/>
  <c r="D152" i="5"/>
  <c r="D155" i="5"/>
  <c r="E138" i="5"/>
  <c r="E137" i="5"/>
  <c r="E140" i="5"/>
  <c r="E136" i="5"/>
  <c r="E139" i="5"/>
  <c r="E135" i="5"/>
  <c r="E24" i="5"/>
  <c r="E17" i="5"/>
  <c r="D33" i="2"/>
  <c r="D24" i="5"/>
  <c r="D20" i="5"/>
  <c r="D17" i="5"/>
  <c r="D21" i="5"/>
  <c r="C140" i="5"/>
  <c r="C136" i="5"/>
  <c r="C139" i="5"/>
  <c r="C135" i="5"/>
  <c r="C138" i="5"/>
  <c r="C137" i="5"/>
  <c r="D137" i="5"/>
  <c r="D140" i="5"/>
  <c r="D136" i="5"/>
  <c r="D139" i="5"/>
  <c r="D135" i="5"/>
  <c r="D138" i="5"/>
  <c r="F75" i="1"/>
  <c r="F25" i="3"/>
  <c r="F111" i="3"/>
  <c r="F166" i="3"/>
  <c r="F30" i="4"/>
  <c r="C20" i="5"/>
  <c r="F23" i="6"/>
  <c r="C24" i="10"/>
  <c r="C17" i="10"/>
  <c r="C28" i="10"/>
  <c r="C70" i="10"/>
  <c r="C72" i="10"/>
  <c r="C69" i="10"/>
  <c r="D33" i="11"/>
  <c r="F17" i="11"/>
  <c r="D31" i="11"/>
  <c r="C272" i="14"/>
  <c r="C19" i="2"/>
  <c r="F61" i="1"/>
  <c r="E22" i="1"/>
  <c r="F22" i="1"/>
  <c r="E56" i="1"/>
  <c r="F56" i="1"/>
  <c r="E61" i="1"/>
  <c r="E16" i="2"/>
  <c r="F16" i="2"/>
  <c r="E78" i="4"/>
  <c r="F78" i="4"/>
  <c r="C83" i="4"/>
  <c r="E171" i="4"/>
  <c r="F171" i="4"/>
  <c r="C176" i="4"/>
  <c r="C21" i="5"/>
  <c r="C43" i="5"/>
  <c r="D49" i="5"/>
  <c r="E53" i="5"/>
  <c r="F76" i="6"/>
  <c r="E128" i="6"/>
  <c r="E154" i="6"/>
  <c r="E180" i="6"/>
  <c r="F23" i="7"/>
  <c r="E47" i="7"/>
  <c r="F95" i="7"/>
  <c r="F22" i="8"/>
  <c r="D43" i="8"/>
  <c r="E43" i="8"/>
  <c r="F43" i="8"/>
  <c r="E56" i="8"/>
  <c r="F39" i="9"/>
  <c r="F46" i="9"/>
  <c r="C25" i="10"/>
  <c r="C27" i="10"/>
  <c r="E42" i="10"/>
  <c r="E59" i="10"/>
  <c r="E61" i="10"/>
  <c r="E57" i="10"/>
  <c r="E16" i="12"/>
  <c r="E30" i="12"/>
  <c r="F37" i="12"/>
  <c r="E55" i="12"/>
  <c r="F55" i="12"/>
  <c r="D24" i="10"/>
  <c r="D20" i="10"/>
  <c r="D17" i="10"/>
  <c r="D28" i="10"/>
  <c r="E25" i="5"/>
  <c r="E27" i="5"/>
  <c r="D53" i="5"/>
  <c r="E57" i="5"/>
  <c r="E62" i="5"/>
  <c r="E88" i="5"/>
  <c r="E90" i="5"/>
  <c r="E86" i="5"/>
  <c r="F47" i="7"/>
  <c r="E29" i="8"/>
  <c r="F56" i="8"/>
  <c r="D65" i="8"/>
  <c r="E65" i="8"/>
  <c r="C31" i="11"/>
  <c r="F31" i="11"/>
  <c r="F16" i="12"/>
  <c r="E50" i="12"/>
  <c r="D33" i="9"/>
  <c r="E19" i="9"/>
  <c r="E31" i="14"/>
  <c r="F31" i="14"/>
  <c r="C32" i="14"/>
  <c r="E60" i="14"/>
  <c r="F60" i="14"/>
  <c r="C61" i="14"/>
  <c r="C270" i="14"/>
  <c r="C17" i="5"/>
  <c r="E43" i="5"/>
  <c r="D57" i="5"/>
  <c r="D62" i="5"/>
  <c r="F208" i="6"/>
  <c r="F24" i="7"/>
  <c r="F96" i="7"/>
  <c r="F29" i="8"/>
  <c r="F65" i="8"/>
  <c r="E50" i="10"/>
  <c r="G33" i="11"/>
  <c r="G36" i="11"/>
  <c r="G38" i="11"/>
  <c r="G40" i="11"/>
  <c r="F50" i="12"/>
  <c r="F92" i="12"/>
  <c r="F19" i="9"/>
  <c r="C33" i="9"/>
  <c r="F75" i="6"/>
  <c r="E101" i="6"/>
  <c r="F48" i="7"/>
  <c r="F61" i="8"/>
  <c r="D75" i="8"/>
  <c r="E36" i="11"/>
  <c r="E38" i="11"/>
  <c r="E40" i="11"/>
  <c r="F23" i="12"/>
  <c r="F45" i="12"/>
  <c r="F65" i="12"/>
  <c r="F13" i="13"/>
  <c r="F21" i="13"/>
  <c r="C261" i="14"/>
  <c r="C254" i="14"/>
  <c r="E188" i="14"/>
  <c r="D22" i="15"/>
  <c r="D283" i="15"/>
  <c r="E283" i="15"/>
  <c r="D289" i="15"/>
  <c r="E60" i="15"/>
  <c r="E260" i="15"/>
  <c r="C108" i="19"/>
  <c r="C109" i="19"/>
  <c r="E75" i="12"/>
  <c r="F75" i="12"/>
  <c r="F17" i="14"/>
  <c r="C161" i="14"/>
  <c r="E29" i="14"/>
  <c r="F29" i="14"/>
  <c r="F30" i="14"/>
  <c r="F36" i="14"/>
  <c r="E47" i="14"/>
  <c r="F47" i="14"/>
  <c r="E58" i="14"/>
  <c r="F58" i="14"/>
  <c r="E68" i="14"/>
  <c r="F68" i="14"/>
  <c r="C102" i="14"/>
  <c r="E109" i="14"/>
  <c r="F179" i="14"/>
  <c r="C190" i="14"/>
  <c r="E198" i="14"/>
  <c r="F198" i="14"/>
  <c r="E38" i="15"/>
  <c r="D77" i="15"/>
  <c r="E302" i="15"/>
  <c r="D303" i="15"/>
  <c r="F36" i="17"/>
  <c r="C290" i="14"/>
  <c r="C199" i="14"/>
  <c r="E298" i="14"/>
  <c r="F298" i="14"/>
  <c r="E311" i="14"/>
  <c r="F311" i="14"/>
  <c r="E32" i="15"/>
  <c r="C71" i="15"/>
  <c r="C65" i="15"/>
  <c r="C66" i="15"/>
  <c r="C289" i="15"/>
  <c r="C168" i="15"/>
  <c r="C145" i="15"/>
  <c r="C304" i="14"/>
  <c r="E59" i="14"/>
  <c r="F59" i="14"/>
  <c r="F101" i="14"/>
  <c r="F136" i="14"/>
  <c r="F159" i="14"/>
  <c r="F170" i="14"/>
  <c r="C181" i="14"/>
  <c r="E189" i="14"/>
  <c r="F189" i="14"/>
  <c r="E203" i="14"/>
  <c r="E226" i="14"/>
  <c r="F226" i="14"/>
  <c r="F295" i="14"/>
  <c r="D55" i="15"/>
  <c r="E55" i="15"/>
  <c r="E71" i="15"/>
  <c r="C278" i="14"/>
  <c r="C215" i="14"/>
  <c r="C283" i="14"/>
  <c r="C205" i="14"/>
  <c r="F203" i="14"/>
  <c r="F294" i="14"/>
  <c r="E294" i="14"/>
  <c r="C33" i="15"/>
  <c r="E33" i="15"/>
  <c r="D207" i="14"/>
  <c r="D138" i="14"/>
  <c r="D139" i="14"/>
  <c r="C48" i="14"/>
  <c r="F94" i="14"/>
  <c r="C214" i="14"/>
  <c r="F227" i="14"/>
  <c r="F238" i="14"/>
  <c r="C274" i="14"/>
  <c r="C284" i="14"/>
  <c r="C253" i="15"/>
  <c r="E245" i="15"/>
  <c r="E192" i="14"/>
  <c r="F192" i="14"/>
  <c r="C239" i="14"/>
  <c r="E237" i="14"/>
  <c r="F237" i="14"/>
  <c r="C43" i="15"/>
  <c r="E37" i="15"/>
  <c r="E156" i="15"/>
  <c r="D157" i="15"/>
  <c r="E157" i="15"/>
  <c r="D320" i="15"/>
  <c r="E320" i="15"/>
  <c r="E316" i="15"/>
  <c r="D330" i="15"/>
  <c r="E330" i="15"/>
  <c r="E326" i="15"/>
  <c r="E109" i="19"/>
  <c r="E108" i="19"/>
  <c r="D175" i="14"/>
  <c r="D140" i="14"/>
  <c r="D62" i="14"/>
  <c r="D105" i="14"/>
  <c r="E21" i="14"/>
  <c r="F21" i="14"/>
  <c r="F35" i="14"/>
  <c r="C37" i="14"/>
  <c r="C49" i="14"/>
  <c r="E88" i="14"/>
  <c r="F88" i="14"/>
  <c r="F109" i="14"/>
  <c r="C137" i="14"/>
  <c r="F145" i="14"/>
  <c r="F180" i="14"/>
  <c r="F188" i="14"/>
  <c r="E204" i="14"/>
  <c r="F204" i="14"/>
  <c r="C206" i="14"/>
  <c r="F223" i="14"/>
  <c r="E250" i="14"/>
  <c r="F250" i="14"/>
  <c r="C255" i="14"/>
  <c r="E255" i="14"/>
  <c r="F255" i="14"/>
  <c r="E299" i="14"/>
  <c r="F299" i="14"/>
  <c r="E21" i="15"/>
  <c r="D65" i="15"/>
  <c r="D294" i="15"/>
  <c r="E294" i="15"/>
  <c r="C76" i="15"/>
  <c r="E76" i="15"/>
  <c r="E189" i="15"/>
  <c r="F16" i="17"/>
  <c r="E103" i="19"/>
  <c r="E173" i="14"/>
  <c r="F173" i="14"/>
  <c r="E206" i="14"/>
  <c r="C22" i="15"/>
  <c r="C284" i="15"/>
  <c r="E70" i="15"/>
  <c r="E139" i="15"/>
  <c r="C163" i="15"/>
  <c r="E163" i="15"/>
  <c r="D175" i="15"/>
  <c r="E188" i="15"/>
  <c r="D217" i="15"/>
  <c r="E218" i="15"/>
  <c r="E233" i="15"/>
  <c r="D239" i="15"/>
  <c r="E239" i="15"/>
  <c r="C242" i="15"/>
  <c r="E242" i="15"/>
  <c r="D243" i="15"/>
  <c r="E251" i="15"/>
  <c r="C22" i="16"/>
  <c r="C39" i="17"/>
  <c r="C40" i="17"/>
  <c r="E40" i="17"/>
  <c r="F40" i="17"/>
  <c r="C46" i="17"/>
  <c r="F46" i="17"/>
  <c r="E22" i="19"/>
  <c r="C33" i="19"/>
  <c r="D34" i="19"/>
  <c r="C53" i="19"/>
  <c r="D54" i="19"/>
  <c r="C101" i="19"/>
  <c r="C103" i="19"/>
  <c r="D102" i="19"/>
  <c r="D103" i="19"/>
  <c r="D161" i="14"/>
  <c r="D174" i="14"/>
  <c r="D193" i="14"/>
  <c r="D266" i="14"/>
  <c r="D267" i="14"/>
  <c r="D277" i="14"/>
  <c r="D306" i="14"/>
  <c r="E306" i="14"/>
  <c r="C77" i="15"/>
  <c r="E151" i="15"/>
  <c r="C175" i="15"/>
  <c r="E195" i="15"/>
  <c r="E215" i="15"/>
  <c r="C217" i="15"/>
  <c r="C241" i="15"/>
  <c r="D222" i="15"/>
  <c r="C239" i="15"/>
  <c r="C261" i="15"/>
  <c r="E261" i="15"/>
  <c r="E314" i="15"/>
  <c r="C49" i="16"/>
  <c r="F33" i="17"/>
  <c r="D22" i="19"/>
  <c r="D53" i="19"/>
  <c r="E23" i="19"/>
  <c r="C34" i="19"/>
  <c r="C110" i="19"/>
  <c r="D124" i="14"/>
  <c r="D160" i="14"/>
  <c r="D200" i="14"/>
  <c r="E200" i="14"/>
  <c r="F200" i="14"/>
  <c r="D262" i="14"/>
  <c r="D274" i="14"/>
  <c r="E274" i="14"/>
  <c r="F274" i="14"/>
  <c r="D280" i="14"/>
  <c r="C29" i="19"/>
  <c r="D30" i="19"/>
  <c r="E33" i="19"/>
  <c r="C35" i="19"/>
  <c r="D36" i="19"/>
  <c r="C39" i="19"/>
  <c r="D40" i="19"/>
  <c r="E221" i="15"/>
  <c r="D190" i="14"/>
  <c r="E190" i="14"/>
  <c r="C112" i="19"/>
  <c r="C55" i="19"/>
  <c r="C47" i="19"/>
  <c r="C37" i="19"/>
  <c r="E54" i="19"/>
  <c r="E46" i="19"/>
  <c r="E40" i="19"/>
  <c r="E36" i="19"/>
  <c r="E30" i="19"/>
  <c r="E111" i="19"/>
  <c r="C126" i="15"/>
  <c r="C122" i="15"/>
  <c r="C128" i="15"/>
  <c r="C129" i="15"/>
  <c r="C115" i="15"/>
  <c r="C111" i="15"/>
  <c r="C125" i="15"/>
  <c r="C121" i="15"/>
  <c r="C114" i="15"/>
  <c r="C110" i="15"/>
  <c r="C124" i="15"/>
  <c r="C113" i="15"/>
  <c r="C109" i="15"/>
  <c r="C127" i="15"/>
  <c r="C123" i="15"/>
  <c r="C112" i="15"/>
  <c r="D162" i="14"/>
  <c r="E161" i="14"/>
  <c r="F161" i="14"/>
  <c r="E110" i="19"/>
  <c r="E53" i="19"/>
  <c r="E45" i="19"/>
  <c r="E39" i="19"/>
  <c r="E35" i="19"/>
  <c r="E29" i="19"/>
  <c r="D45" i="19"/>
  <c r="D35" i="19"/>
  <c r="D287" i="14"/>
  <c r="D279" i="14"/>
  <c r="D284" i="14"/>
  <c r="E284" i="14"/>
  <c r="E277" i="14"/>
  <c r="F277" i="14"/>
  <c r="D194" i="14"/>
  <c r="E243" i="15"/>
  <c r="D252" i="15"/>
  <c r="E37" i="14"/>
  <c r="F37" i="14"/>
  <c r="D106" i="14"/>
  <c r="D176" i="14"/>
  <c r="E239" i="14"/>
  <c r="F239" i="14"/>
  <c r="C216" i="14"/>
  <c r="C160" i="14"/>
  <c r="C90" i="14"/>
  <c r="E48" i="14"/>
  <c r="F48" i="14"/>
  <c r="D208" i="14"/>
  <c r="E215" i="14"/>
  <c r="F215" i="14"/>
  <c r="E290" i="14"/>
  <c r="F290" i="14"/>
  <c r="D127" i="15"/>
  <c r="E127" i="15"/>
  <c r="D123" i="15"/>
  <c r="E123" i="15"/>
  <c r="D112" i="15"/>
  <c r="E77" i="15"/>
  <c r="D126" i="15"/>
  <c r="E126" i="15"/>
  <c r="D122" i="15"/>
  <c r="D115" i="15"/>
  <c r="E115" i="15"/>
  <c r="D111" i="15"/>
  <c r="E111" i="15"/>
  <c r="D125" i="15"/>
  <c r="E125" i="15"/>
  <c r="D121" i="15"/>
  <c r="D114" i="15"/>
  <c r="E114" i="15"/>
  <c r="D110" i="15"/>
  <c r="D124" i="15"/>
  <c r="E124" i="15"/>
  <c r="D113" i="15"/>
  <c r="E113" i="15"/>
  <c r="D109" i="15"/>
  <c r="C162" i="14"/>
  <c r="D125" i="14"/>
  <c r="C294" i="15"/>
  <c r="D282" i="14"/>
  <c r="D300" i="14"/>
  <c r="F190" i="14"/>
  <c r="E289" i="15"/>
  <c r="D272" i="14"/>
  <c r="E272" i="14"/>
  <c r="F272" i="14"/>
  <c r="E262" i="14"/>
  <c r="F262" i="14"/>
  <c r="C138" i="14"/>
  <c r="E138" i="14"/>
  <c r="F138" i="14"/>
  <c r="E137" i="14"/>
  <c r="F137" i="14"/>
  <c r="C207" i="14"/>
  <c r="E207" i="14"/>
  <c r="E49" i="14"/>
  <c r="F49" i="14"/>
  <c r="C50" i="14"/>
  <c r="D141" i="14"/>
  <c r="C169" i="15"/>
  <c r="E199" i="14"/>
  <c r="F199" i="14"/>
  <c r="E102" i="14"/>
  <c r="F102" i="14"/>
  <c r="C103" i="14"/>
  <c r="C268" i="14"/>
  <c r="E261" i="14"/>
  <c r="F261" i="14"/>
  <c r="C271" i="14"/>
  <c r="C263" i="14"/>
  <c r="C104" i="14"/>
  <c r="E61" i="14"/>
  <c r="F61" i="14"/>
  <c r="C139" i="14"/>
  <c r="C174" i="14"/>
  <c r="D112" i="5"/>
  <c r="D111" i="5"/>
  <c r="D28" i="5"/>
  <c r="E112" i="5"/>
  <c r="E111" i="5"/>
  <c r="E28" i="5"/>
  <c r="E99" i="5"/>
  <c r="E101" i="5"/>
  <c r="E98" i="5"/>
  <c r="D263" i="14"/>
  <c r="E175" i="15"/>
  <c r="F284" i="14"/>
  <c r="E141" i="5"/>
  <c r="E158" i="5"/>
  <c r="D63" i="14"/>
  <c r="E283" i="14"/>
  <c r="F283" i="14"/>
  <c r="E181" i="14"/>
  <c r="F181" i="14"/>
  <c r="D306" i="15"/>
  <c r="E303" i="15"/>
  <c r="D284" i="15"/>
  <c r="E284" i="15"/>
  <c r="E22" i="15"/>
  <c r="C41" i="9"/>
  <c r="C112" i="5"/>
  <c r="C111" i="5"/>
  <c r="C28" i="5"/>
  <c r="E32" i="14"/>
  <c r="F32" i="14"/>
  <c r="C175" i="14"/>
  <c r="E175" i="14"/>
  <c r="C105" i="14"/>
  <c r="E105" i="14"/>
  <c r="F105" i="14"/>
  <c r="C62" i="14"/>
  <c r="E33" i="9"/>
  <c r="F33" i="9"/>
  <c r="D41" i="9"/>
  <c r="C33" i="2"/>
  <c r="E33" i="2"/>
  <c r="F33" i="2"/>
  <c r="F33" i="11"/>
  <c r="F36" i="11"/>
  <c r="F38" i="11"/>
  <c r="F40" i="11"/>
  <c r="D36" i="11"/>
  <c r="D38" i="11"/>
  <c r="D40" i="11"/>
  <c r="D41" i="2"/>
  <c r="E160" i="14"/>
  <c r="C287" i="14"/>
  <c r="D126" i="14"/>
  <c r="D127" i="14"/>
  <c r="D158" i="5"/>
  <c r="D56" i="19"/>
  <c r="D48" i="19"/>
  <c r="D38" i="19"/>
  <c r="D246" i="15"/>
  <c r="D270" i="14"/>
  <c r="E270" i="14"/>
  <c r="F270" i="14"/>
  <c r="E267" i="14"/>
  <c r="F267" i="14"/>
  <c r="E39" i="17"/>
  <c r="E41" i="17"/>
  <c r="C41" i="17"/>
  <c r="F41" i="17"/>
  <c r="E217" i="15"/>
  <c r="D241" i="15"/>
  <c r="E241" i="15"/>
  <c r="D66" i="15"/>
  <c r="E65" i="15"/>
  <c r="E278" i="14"/>
  <c r="F278" i="14"/>
  <c r="C22" i="10"/>
  <c r="C20" i="10"/>
  <c r="C21" i="10"/>
  <c r="D271" i="14"/>
  <c r="D304" i="14"/>
  <c r="E174" i="14"/>
  <c r="F206" i="14"/>
  <c r="C259" i="15"/>
  <c r="D268" i="14"/>
  <c r="C44" i="15"/>
  <c r="D223" i="15"/>
  <c r="C279" i="14"/>
  <c r="E43" i="15"/>
  <c r="E83" i="4"/>
  <c r="F83" i="4"/>
  <c r="D141" i="5"/>
  <c r="E19" i="2"/>
  <c r="F19" i="2"/>
  <c r="C158" i="5"/>
  <c r="D310" i="15"/>
  <c r="E310" i="15"/>
  <c r="E306" i="15"/>
  <c r="D99" i="5"/>
  <c r="D101" i="5"/>
  <c r="D98" i="5"/>
  <c r="D22" i="5"/>
  <c r="D116" i="15"/>
  <c r="E110" i="15"/>
  <c r="E47" i="19"/>
  <c r="E37" i="19"/>
  <c r="E112" i="19"/>
  <c r="E55" i="19"/>
  <c r="E139" i="14"/>
  <c r="F139" i="14"/>
  <c r="D247" i="15"/>
  <c r="D273" i="14"/>
  <c r="E41" i="9"/>
  <c r="D48" i="9"/>
  <c r="C106" i="14"/>
  <c r="C99" i="5"/>
  <c r="C101" i="5"/>
  <c r="C98" i="5"/>
  <c r="C22" i="5"/>
  <c r="D195" i="14"/>
  <c r="D196" i="14"/>
  <c r="E287" i="14"/>
  <c r="F287" i="14"/>
  <c r="D291" i="14"/>
  <c r="D289" i="14"/>
  <c r="D183" i="14"/>
  <c r="D323" i="14"/>
  <c r="E162" i="14"/>
  <c r="F162" i="14"/>
  <c r="E48" i="19"/>
  <c r="E38" i="19"/>
  <c r="E113" i="19"/>
  <c r="E56" i="19"/>
  <c r="D281" i="14"/>
  <c r="C99" i="15"/>
  <c r="C95" i="15"/>
  <c r="C88" i="15"/>
  <c r="C84" i="15"/>
  <c r="C258" i="15"/>
  <c r="C264" i="15"/>
  <c r="C266" i="15"/>
  <c r="C267" i="15"/>
  <c r="C98" i="15"/>
  <c r="C87" i="15"/>
  <c r="C83" i="15"/>
  <c r="C101" i="15"/>
  <c r="C97" i="15"/>
  <c r="C86" i="15"/>
  <c r="C100" i="15"/>
  <c r="C96" i="15"/>
  <c r="C89" i="15"/>
  <c r="C85" i="15"/>
  <c r="F41" i="9"/>
  <c r="C48" i="9"/>
  <c r="C273" i="14"/>
  <c r="E273" i="14"/>
  <c r="F273" i="14"/>
  <c r="E50" i="14"/>
  <c r="F50" i="14"/>
  <c r="F207" i="14"/>
  <c r="C208" i="14"/>
  <c r="E121" i="15"/>
  <c r="E122" i="15"/>
  <c r="D128" i="15"/>
  <c r="E128" i="15"/>
  <c r="F174" i="14"/>
  <c r="F160" i="14"/>
  <c r="E279" i="14"/>
  <c r="F279" i="14"/>
  <c r="C116" i="15"/>
  <c r="C117" i="15"/>
  <c r="C131" i="15"/>
  <c r="C263" i="15"/>
  <c r="D48" i="2"/>
  <c r="C63" i="14"/>
  <c r="E63" i="14"/>
  <c r="D70" i="14"/>
  <c r="D295" i="15"/>
  <c r="C41" i="2"/>
  <c r="C176" i="14"/>
  <c r="E176" i="14"/>
  <c r="F175" i="14"/>
  <c r="E103" i="14"/>
  <c r="F103" i="14"/>
  <c r="D322" i="14"/>
  <c r="E109" i="15"/>
  <c r="D117" i="15"/>
  <c r="D209" i="14"/>
  <c r="E208" i="14"/>
  <c r="D210" i="14"/>
  <c r="E210" i="14"/>
  <c r="F210" i="14"/>
  <c r="E90" i="14"/>
  <c r="F90" i="14"/>
  <c r="E106" i="14"/>
  <c r="D113" i="14"/>
  <c r="D324" i="14"/>
  <c r="E268" i="14"/>
  <c r="F268" i="14"/>
  <c r="F39" i="17"/>
  <c r="C140" i="14"/>
  <c r="E62" i="14"/>
  <c r="F62" i="14"/>
  <c r="E263" i="14"/>
  <c r="F263" i="14"/>
  <c r="E112" i="15"/>
  <c r="D211" i="14"/>
  <c r="C102" i="15"/>
  <c r="C103" i="15"/>
  <c r="C105" i="15"/>
  <c r="F63" i="14"/>
  <c r="D325" i="14"/>
  <c r="C48" i="2"/>
  <c r="D305" i="14"/>
  <c r="D309" i="14"/>
  <c r="E48" i="9"/>
  <c r="F48" i="9"/>
  <c r="F208" i="14"/>
  <c r="C210" i="14"/>
  <c r="C209" i="14"/>
  <c r="F209" i="14"/>
  <c r="F106" i="14"/>
  <c r="E41" i="2"/>
  <c r="F41" i="2"/>
  <c r="E116" i="15"/>
  <c r="C141" i="14"/>
  <c r="C211" i="14"/>
  <c r="E140" i="14"/>
  <c r="F140" i="14"/>
  <c r="C90" i="15"/>
  <c r="D197" i="14"/>
  <c r="D129" i="15"/>
  <c r="E129" i="15"/>
  <c r="C70" i="14"/>
  <c r="F70" i="14"/>
  <c r="C322" i="14"/>
  <c r="F322" i="14"/>
  <c r="E141" i="14"/>
  <c r="F141" i="14"/>
  <c r="E70" i="14"/>
  <c r="E209" i="14"/>
  <c r="D131" i="15"/>
  <c r="E131" i="15"/>
  <c r="E48" i="2"/>
  <c r="F48" i="2"/>
  <c r="C91" i="15"/>
  <c r="E322" i="14"/>
  <c r="C269" i="15"/>
  <c r="C268" i="15"/>
  <c r="C271" i="15"/>
  <c r="D148" i="14"/>
  <c r="C295" i="15"/>
  <c r="E295" i="15"/>
  <c r="E66" i="15"/>
  <c r="D70" i="10"/>
  <c r="D72" i="10"/>
  <c r="D69" i="10"/>
  <c r="D22" i="10"/>
  <c r="F211" i="14"/>
  <c r="E211" i="14"/>
  <c r="E304" i="14"/>
  <c r="F304" i="14"/>
  <c r="D310" i="14"/>
  <c r="D265" i="14"/>
  <c r="E22" i="5"/>
  <c r="E20" i="5"/>
  <c r="E21" i="5"/>
  <c r="C323" i="14"/>
  <c r="C183" i="14"/>
  <c r="F176" i="14"/>
  <c r="E117" i="15"/>
  <c r="E271" i="14"/>
  <c r="F271" i="14"/>
  <c r="D29" i="19"/>
  <c r="D39" i="19"/>
  <c r="C141" i="5"/>
  <c r="F38" i="1"/>
  <c r="C41" i="1"/>
  <c r="C52" i="3"/>
  <c r="F41" i="3"/>
  <c r="F42" i="3"/>
  <c r="F43" i="3"/>
  <c r="F44" i="3"/>
  <c r="F45" i="3"/>
  <c r="F46" i="3"/>
  <c r="F47" i="3"/>
  <c r="F48" i="3"/>
  <c r="F49" i="3"/>
  <c r="F50" i="3"/>
  <c r="F51" i="3"/>
  <c r="F81" i="3"/>
  <c r="D95" i="3"/>
  <c r="E95" i="3"/>
  <c r="F95" i="3"/>
  <c r="F124" i="3"/>
  <c r="F179" i="3"/>
  <c r="F62" i="6"/>
  <c r="F63" i="6"/>
  <c r="F107" i="7"/>
  <c r="F108" i="7"/>
  <c r="E41" i="8"/>
  <c r="F41" i="8"/>
  <c r="C75" i="8"/>
  <c r="F31" i="9"/>
  <c r="E24" i="10"/>
  <c r="E17" i="10"/>
  <c r="E28" i="10"/>
  <c r="E70" i="10"/>
  <c r="E72" i="10"/>
  <c r="E69" i="10"/>
  <c r="F70" i="12"/>
  <c r="E155" i="4"/>
  <c r="F155" i="4"/>
  <c r="D176" i="4"/>
  <c r="E176" i="4"/>
  <c r="F176" i="4"/>
  <c r="E36" i="6"/>
  <c r="E37" i="6"/>
  <c r="E140" i="6"/>
  <c r="E141" i="6"/>
  <c r="E192" i="6"/>
  <c r="E193" i="6"/>
  <c r="F198" i="6"/>
  <c r="E200" i="6"/>
  <c r="F200" i="6"/>
  <c r="E201" i="6"/>
  <c r="F201" i="6"/>
  <c r="E202" i="6"/>
  <c r="F202" i="6"/>
  <c r="E203" i="6"/>
  <c r="F203" i="6"/>
  <c r="E204" i="6"/>
  <c r="F204" i="6"/>
  <c r="E205" i="6"/>
  <c r="F205" i="6"/>
  <c r="E206" i="6"/>
  <c r="F206" i="6"/>
  <c r="E35" i="7"/>
  <c r="F35" i="7"/>
  <c r="E36" i="7"/>
  <c r="F36" i="7"/>
  <c r="C122" i="7"/>
  <c r="F117" i="7"/>
  <c r="F118" i="7"/>
  <c r="F119" i="7"/>
  <c r="F120" i="7"/>
  <c r="E16" i="9"/>
  <c r="F16" i="9"/>
  <c r="E25" i="10"/>
  <c r="E27" i="10"/>
  <c r="E31" i="11"/>
  <c r="G31" i="11"/>
  <c r="G17" i="11"/>
  <c r="E60" i="12"/>
  <c r="F60" i="12"/>
  <c r="E52" i="14"/>
  <c r="F52" i="14"/>
  <c r="F53" i="14"/>
  <c r="F66" i="14"/>
  <c r="F95" i="14"/>
  <c r="D77" i="5"/>
  <c r="D71" i="5"/>
  <c r="D207" i="6"/>
  <c r="E207" i="6"/>
  <c r="F207" i="6"/>
  <c r="D121" i="7"/>
  <c r="E121" i="7"/>
  <c r="F121" i="7"/>
  <c r="D122" i="7"/>
  <c r="E122" i="7"/>
  <c r="F38" i="8"/>
  <c r="D48" i="10"/>
  <c r="D42" i="10"/>
  <c r="C91" i="14"/>
  <c r="D259" i="15"/>
  <c r="D44" i="15"/>
  <c r="E123" i="14"/>
  <c r="C124" i="14"/>
  <c r="E130" i="14"/>
  <c r="F130" i="14"/>
  <c r="E144" i="14"/>
  <c r="F144" i="14"/>
  <c r="C146" i="14"/>
  <c r="E164" i="14"/>
  <c r="F164" i="14"/>
  <c r="E191" i="14"/>
  <c r="C193" i="14"/>
  <c r="F229" i="14"/>
  <c r="C264" i="14"/>
  <c r="C280" i="14"/>
  <c r="C285" i="14"/>
  <c r="F296" i="14"/>
  <c r="D144" i="15"/>
  <c r="E229" i="15"/>
  <c r="E216" i="15"/>
  <c r="C252" i="15"/>
  <c r="E110" i="14"/>
  <c r="F110" i="14"/>
  <c r="F123" i="14"/>
  <c r="E135" i="14"/>
  <c r="F135" i="14"/>
  <c r="E158" i="14"/>
  <c r="F158" i="14"/>
  <c r="F191" i="14"/>
  <c r="D210" i="15"/>
  <c r="E205" i="15"/>
  <c r="C210" i="15"/>
  <c r="C222" i="15"/>
  <c r="E244" i="15"/>
  <c r="D253" i="15"/>
  <c r="D41" i="17"/>
  <c r="F43" i="17"/>
  <c r="D104" i="14"/>
  <c r="E104" i="14"/>
  <c r="F104" i="14"/>
  <c r="E297" i="14"/>
  <c r="F297" i="14"/>
  <c r="C20" i="17"/>
  <c r="D20" i="17"/>
  <c r="E25" i="17"/>
  <c r="F25" i="17"/>
  <c r="D46" i="17"/>
  <c r="F44" i="17"/>
  <c r="F45" i="17"/>
  <c r="C23" i="19"/>
  <c r="D33" i="19"/>
  <c r="D77" i="19"/>
  <c r="D214" i="14"/>
  <c r="D205" i="14"/>
  <c r="E205" i="14"/>
  <c r="F205" i="14"/>
  <c r="E220" i="15"/>
  <c r="D108" i="19"/>
  <c r="D109" i="19"/>
  <c r="D111" i="19"/>
  <c r="D110" i="19"/>
  <c r="D113" i="19"/>
  <c r="D254" i="14"/>
  <c r="E214" i="14"/>
  <c r="F214" i="14"/>
  <c r="D216" i="14"/>
  <c r="E216" i="14"/>
  <c r="F216" i="14"/>
  <c r="E20" i="17"/>
  <c r="E253" i="15"/>
  <c r="D254" i="15"/>
  <c r="C246" i="15"/>
  <c r="E246" i="15"/>
  <c r="E222" i="15"/>
  <c r="E252" i="15"/>
  <c r="C254" i="15"/>
  <c r="E146" i="14"/>
  <c r="F146" i="14"/>
  <c r="E124" i="14"/>
  <c r="F124" i="14"/>
  <c r="C125" i="14"/>
  <c r="C223" i="15"/>
  <c r="D263" i="15"/>
  <c r="E263" i="15"/>
  <c r="E259" i="15"/>
  <c r="C126" i="14"/>
  <c r="E21" i="10"/>
  <c r="E22" i="10"/>
  <c r="E20" i="10"/>
  <c r="F122" i="7"/>
  <c r="C43" i="1"/>
  <c r="E41" i="1"/>
  <c r="F41" i="1"/>
  <c r="E323" i="14"/>
  <c r="F323" i="14"/>
  <c r="D312" i="14"/>
  <c r="C40" i="19"/>
  <c r="C30" i="19"/>
  <c r="C54" i="19"/>
  <c r="C46" i="19"/>
  <c r="C36" i="19"/>
  <c r="C111" i="19"/>
  <c r="F20" i="17"/>
  <c r="C211" i="15"/>
  <c r="C234" i="15"/>
  <c r="C180" i="15"/>
  <c r="D234" i="15"/>
  <c r="E234" i="15"/>
  <c r="D211" i="15"/>
  <c r="E210" i="15"/>
  <c r="D145" i="15"/>
  <c r="D168" i="15"/>
  <c r="E168" i="15"/>
  <c r="D180" i="15"/>
  <c r="E180" i="15"/>
  <c r="E144" i="15"/>
  <c r="E285" i="14"/>
  <c r="F285" i="14"/>
  <c r="C286" i="14"/>
  <c r="C288" i="14"/>
  <c r="F264" i="14"/>
  <c r="E264" i="14"/>
  <c r="C300" i="14"/>
  <c r="C266" i="14"/>
  <c r="C194" i="14"/>
  <c r="C282" i="14"/>
  <c r="C281" i="14"/>
  <c r="E193" i="14"/>
  <c r="F193" i="14"/>
  <c r="D100" i="15"/>
  <c r="E100" i="15"/>
  <c r="D89" i="15"/>
  <c r="E89" i="15"/>
  <c r="D99" i="15"/>
  <c r="E99" i="15"/>
  <c r="D88" i="15"/>
  <c r="E88" i="15"/>
  <c r="D258" i="15"/>
  <c r="D87" i="15"/>
  <c r="E87" i="15"/>
  <c r="D101" i="15"/>
  <c r="E101" i="15"/>
  <c r="D86" i="15"/>
  <c r="E86" i="15"/>
  <c r="E44" i="15"/>
  <c r="D96" i="15"/>
  <c r="D85" i="15"/>
  <c r="E85" i="15"/>
  <c r="D95" i="15"/>
  <c r="D84" i="15"/>
  <c r="D98" i="15"/>
  <c r="E98" i="15"/>
  <c r="D83" i="15"/>
  <c r="D97" i="15"/>
  <c r="E97" i="15"/>
  <c r="E91" i="14"/>
  <c r="F91" i="14"/>
  <c r="C92" i="14"/>
  <c r="F75" i="8"/>
  <c r="E75" i="8"/>
  <c r="F52" i="3"/>
  <c r="D37" i="19"/>
  <c r="D55" i="19"/>
  <c r="D47" i="19"/>
  <c r="D112" i="19"/>
  <c r="E183" i="14"/>
  <c r="F183" i="14"/>
  <c r="E52" i="3"/>
  <c r="E280" i="14"/>
  <c r="F280" i="14"/>
  <c r="F281" i="14"/>
  <c r="E281" i="14"/>
  <c r="D103" i="15"/>
  <c r="E103" i="15"/>
  <c r="E95" i="15"/>
  <c r="E96" i="15"/>
  <c r="D102" i="15"/>
  <c r="E102" i="15"/>
  <c r="C195" i="14"/>
  <c r="C196" i="14"/>
  <c r="E194" i="14"/>
  <c r="F194" i="14"/>
  <c r="F266" i="14"/>
  <c r="E266" i="14"/>
  <c r="C265" i="14"/>
  <c r="C291" i="14"/>
  <c r="E288" i="14"/>
  <c r="F288" i="14"/>
  <c r="C289" i="14"/>
  <c r="D181" i="15"/>
  <c r="D169" i="15"/>
  <c r="E169" i="15"/>
  <c r="E145" i="15"/>
  <c r="D235" i="15"/>
  <c r="E235" i="15"/>
  <c r="E211" i="15"/>
  <c r="C181" i="15"/>
  <c r="C235" i="15"/>
  <c r="C56" i="19"/>
  <c r="C38" i="19"/>
  <c r="C48" i="19"/>
  <c r="C113" i="19"/>
  <c r="D313" i="14"/>
  <c r="E43" i="1"/>
  <c r="F43" i="1"/>
  <c r="C127" i="14"/>
  <c r="E126" i="14"/>
  <c r="F126" i="14"/>
  <c r="E125" i="14"/>
  <c r="F125" i="14"/>
  <c r="E254" i="14"/>
  <c r="F254" i="14"/>
  <c r="D256" i="14"/>
  <c r="E92" i="14"/>
  <c r="C324" i="14"/>
  <c r="F92" i="14"/>
  <c r="C113" i="14"/>
  <c r="E83" i="15"/>
  <c r="D91" i="15"/>
  <c r="D90" i="15"/>
  <c r="E90" i="15"/>
  <c r="E84" i="15"/>
  <c r="D264" i="15"/>
  <c r="E258" i="15"/>
  <c r="F282" i="14"/>
  <c r="E282" i="14"/>
  <c r="E300" i="14"/>
  <c r="F300" i="14"/>
  <c r="E286" i="14"/>
  <c r="F286" i="14"/>
  <c r="C247" i="15"/>
  <c r="E247" i="15"/>
  <c r="E223" i="15"/>
  <c r="E254" i="15"/>
  <c r="C197" i="14"/>
  <c r="C148" i="14"/>
  <c r="E127" i="14"/>
  <c r="F127" i="14"/>
  <c r="D315" i="14"/>
  <c r="D314" i="14"/>
  <c r="D251" i="14"/>
  <c r="E181" i="15"/>
  <c r="E196" i="14"/>
  <c r="F196" i="14"/>
  <c r="D266" i="15"/>
  <c r="E264" i="15"/>
  <c r="D105" i="15"/>
  <c r="E105" i="15"/>
  <c r="E91" i="15"/>
  <c r="E113" i="14"/>
  <c r="F113" i="14"/>
  <c r="C325" i="14"/>
  <c r="E324" i="14"/>
  <c r="F324" i="14"/>
  <c r="D257" i="14"/>
  <c r="E289" i="14"/>
  <c r="F289" i="14"/>
  <c r="C305" i="14"/>
  <c r="E291" i="14"/>
  <c r="F291" i="14"/>
  <c r="E265" i="14"/>
  <c r="F265" i="14"/>
  <c r="E195" i="14"/>
  <c r="F195" i="14"/>
  <c r="C309" i="14"/>
  <c r="E305" i="14"/>
  <c r="F305" i="14"/>
  <c r="E266" i="15"/>
  <c r="D267" i="15"/>
  <c r="E325" i="14"/>
  <c r="F325" i="14"/>
  <c r="D318" i="14"/>
  <c r="F148" i="14"/>
  <c r="E148" i="14"/>
  <c r="F197" i="14"/>
  <c r="E197" i="14"/>
  <c r="C310" i="14"/>
  <c r="E309" i="14"/>
  <c r="F309" i="14"/>
  <c r="D268" i="15"/>
  <c r="D269" i="15"/>
  <c r="E269" i="15"/>
  <c r="E267" i="15"/>
  <c r="C312" i="14"/>
  <c r="E310" i="14"/>
  <c r="F310" i="14"/>
  <c r="D271" i="15"/>
  <c r="E271" i="15"/>
  <c r="E268" i="15"/>
  <c r="F312" i="14"/>
  <c r="C313" i="14"/>
  <c r="E312" i="14"/>
  <c r="F313" i="14"/>
  <c r="C251" i="14"/>
  <c r="C256" i="14"/>
  <c r="C314" i="14"/>
  <c r="C315" i="14"/>
  <c r="E313" i="14"/>
  <c r="F315" i="14"/>
  <c r="E315" i="14"/>
  <c r="C257" i="14"/>
  <c r="E256" i="14"/>
  <c r="F256" i="14"/>
  <c r="C318" i="14"/>
  <c r="F314" i="14"/>
  <c r="E314" i="14"/>
  <c r="F251" i="14"/>
  <c r="E251" i="14"/>
  <c r="F318" i="14"/>
  <c r="E318" i="14"/>
  <c r="F257" i="14"/>
  <c r="E257" i="14"/>
</calcChain>
</file>

<file path=xl/sharedStrings.xml><?xml version="1.0" encoding="utf-8"?>
<sst xmlns="http://schemas.openxmlformats.org/spreadsheetml/2006/main" count="2300" uniqueCount="978">
  <si>
    <t>BRIDGEPORT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</si>
  <si>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</si>
  <si>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</si>
  <si>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</si>
  <si>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</si>
  <si>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</si>
  <si>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</si>
  <si>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</si>
  <si>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</si>
  <si>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</si>
  <si>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</si>
  <si>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</si>
  <si>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</si>
  <si>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</si>
  <si>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</si>
  <si>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</si>
  <si>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</si>
  <si>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</si>
  <si>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</si>
  <si>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</si>
  <si>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</si>
  <si>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</si>
  <si>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</si>
  <si>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</si>
  <si>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</si>
  <si>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</si>
  <si>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</si>
  <si>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</si>
  <si>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</si>
  <si>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</si>
  <si>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</si>
  <si>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</si>
  <si>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</si>
  <si>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</si>
  <si>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</si>
  <si>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</si>
  <si>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</si>
  <si>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</si>
  <si>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</si>
  <si>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</si>
  <si>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</si>
  <si>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</si>
  <si>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</si>
  <si>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</si>
  <si>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</si>
  <si>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</si>
  <si>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</si>
  <si>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</si>
  <si>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</si>
  <si>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</si>
  <si>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</si>
  <si>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</si>
  <si>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</si>
  <si>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</si>
  <si>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</si>
  <si>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</si>
  <si>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</si>
  <si>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</si>
  <si>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</si>
  <si>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</si>
  <si>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</si>
  <si>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</si>
  <si>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</si>
  <si>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</si>
  <si>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</si>
  <si>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</si>
  <si>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</si>
  <si>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</si>
  <si>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</si>
  <si>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</si>
  <si>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</si>
  <si>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</si>
  <si>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</si>
  <si>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</si>
  <si>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</si>
  <si>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</si>
  <si>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</si>
  <si>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</si>
  <si>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</si>
  <si>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</si>
  <si>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</si>
  <si>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</si>
  <si>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</si>
  <si>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</si>
  <si>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</si>
  <si>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</si>
  <si>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</si>
  <si>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</si>
  <si>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</si>
  <si>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</si>
  <si>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</si>
  <si>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</si>
  <si>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</si>
  <si>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</si>
  <si>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</si>
  <si>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</si>
  <si>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</si>
  <si>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</si>
  <si>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</si>
  <si>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</si>
  <si>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</si>
  <si>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</si>
  <si>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</si>
  <si>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</si>
  <si>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</si>
  <si>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</si>
  <si>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</si>
  <si>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</si>
  <si>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</si>
  <si>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</si>
  <si>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</si>
  <si>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</si>
  <si>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</si>
  <si>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</si>
  <si>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</si>
  <si>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</si>
  <si>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</si>
  <si>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</si>
  <si>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</si>
  <si>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</si>
  <si>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</si>
  <si>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</si>
  <si>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</si>
  <si>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</si>
  <si>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</si>
  <si>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</si>
  <si>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</si>
  <si>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</si>
  <si>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</si>
  <si>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</si>
  <si>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</si>
  <si>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</si>
  <si>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</si>
  <si>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</si>
  <si>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</si>
  <si>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</si>
  <si>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</si>
  <si>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</si>
  <si>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</si>
  <si>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</si>
  <si>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</si>
  <si>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</si>
  <si>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</si>
  <si>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</si>
  <si>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</si>
  <si>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</si>
  <si>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</si>
  <si>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</si>
  <si>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</si>
  <si>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</si>
  <si>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</si>
  <si>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</si>
  <si>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</si>
  <si>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</si>
  <si>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</si>
  <si>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</si>
  <si>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</si>
  <si>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</si>
  <si>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</si>
  <si>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</si>
  <si>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</si>
  <si>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</si>
  <si>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</si>
  <si>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</si>
  <si>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</si>
  <si>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</si>
  <si>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</si>
  <si>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</si>
  <si>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</si>
  <si>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</si>
  <si>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</si>
  <si>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</si>
  <si>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</si>
  <si>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</si>
  <si>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</si>
  <si>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</si>
  <si>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</si>
  <si>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</si>
  <si>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</si>
  <si>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</si>
  <si>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</si>
  <si>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</si>
  <si>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</si>
  <si>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</si>
  <si>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</si>
  <si>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</si>
  <si>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</si>
  <si>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</si>
  <si>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</si>
  <si>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</si>
  <si>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</si>
  <si>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</si>
  <si>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</si>
  <si>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</si>
  <si>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</si>
  <si>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</si>
  <si>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</si>
  <si>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</si>
  <si>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</si>
  <si>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</si>
  <si>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</si>
  <si>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</si>
  <si>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</si>
  <si>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</si>
  <si>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</si>
  <si>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</si>
  <si>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</si>
  <si>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</si>
  <si>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</si>
  <si>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</si>
  <si>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</si>
  <si>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</si>
  <si>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</si>
  <si>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</si>
  <si>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</si>
  <si>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</si>
  <si>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</si>
  <si>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</si>
  <si>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</si>
  <si>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</si>
  <si>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</si>
  <si>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</si>
  <si>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</si>
  <si>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</si>
  <si>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</si>
  <si>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</si>
  <si>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</si>
  <si>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</si>
  <si>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</si>
  <si>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</si>
  <si>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</si>
  <si>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</si>
  <si>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</si>
  <si>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</si>
  <si>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</si>
  <si>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</si>
  <si>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</si>
  <si>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</si>
  <si>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</si>
  <si>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</si>
  <si>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</si>
  <si>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</si>
  <si>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</si>
  <si>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</si>
  <si>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</si>
  <si>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</si>
  <si>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</si>
  <si>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</si>
  <si>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</si>
  <si>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</si>
  <si>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</si>
  <si>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</si>
  <si>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</si>
  <si>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</si>
  <si>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</si>
  <si>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</si>
  <si>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</si>
  <si>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</si>
  <si>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</si>
  <si>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</si>
  <si>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</si>
  <si>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</si>
  <si>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</si>
  <si>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</si>
  <si>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</si>
  <si>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</si>
  <si>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</si>
  <si>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</si>
  <si>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</si>
  <si>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</si>
  <si>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</si>
  <si>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</si>
  <si>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</si>
  <si>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</si>
  <si>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</si>
  <si>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</si>
  <si>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</si>
  <si>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</si>
  <si>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</si>
  <si>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</si>
  <si>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</si>
  <si>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</si>
  <si>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</si>
  <si>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</si>
  <si>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</si>
  <si>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</si>
  <si>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</si>
  <si>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</si>
  <si>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</si>
  <si>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</si>
  <si>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</si>
  <si>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</si>
  <si>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</si>
  <si>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</si>
  <si>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</si>
  <si>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</si>
  <si>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</si>
  <si>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</si>
  <si>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</si>
  <si>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</si>
  <si>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</si>
  <si>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</si>
  <si>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</si>
  <si>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</si>
  <si>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</si>
  <si>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</si>
  <si>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</si>
  <si>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</si>
  <si>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</si>
  <si>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</si>
  <si>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</si>
  <si>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</si>
  <si>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</si>
  <si>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</si>
  <si>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</si>
  <si>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</si>
  <si>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</si>
  <si>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</si>
  <si>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</si>
  <si>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</si>
  <si>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</si>
  <si>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</si>
  <si>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</si>
  <si>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</si>
  <si>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</si>
  <si>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</si>
  <si>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</si>
  <si>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</si>
  <si>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</si>
  <si>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</si>
  <si>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</si>
  <si>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</si>
  <si>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</si>
  <si>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</si>
  <si>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</si>
  <si>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</si>
  <si>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</si>
  <si>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</si>
  <si>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</si>
  <si>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</si>
  <si>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</si>
  <si>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</si>
  <si>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</si>
  <si>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</si>
  <si>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</si>
  <si>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</si>
  <si>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</si>
  <si>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</si>
  <si>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</si>
  <si>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</si>
  <si>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</si>
  <si>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</si>
  <si>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</si>
  <si>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</si>
  <si>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</si>
  <si>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</si>
  <si>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</si>
  <si>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</si>
  <si>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</si>
  <si>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</si>
  <si>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</si>
  <si>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</si>
  <si>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</si>
  <si>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</si>
  <si>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</si>
  <si>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</si>
  <si>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</si>
  <si>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</si>
  <si>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</si>
  <si>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</si>
  <si>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</si>
  <si>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</si>
  <si>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</si>
  <si>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</si>
  <si>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</si>
  <si>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</si>
  <si>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</si>
  <si>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</si>
  <si>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</si>
  <si>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</si>
  <si>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</si>
  <si>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</si>
  <si>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</si>
  <si>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</si>
  <si>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</si>
  <si>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</si>
  <si>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</si>
  <si>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</si>
  <si>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</si>
  <si>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</si>
  <si>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</si>
  <si>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</si>
  <si>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</si>
  <si>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</si>
  <si>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</si>
  <si>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</si>
  <si>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</si>
  <si>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</si>
  <si>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</si>
  <si>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</si>
  <si>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</si>
  <si>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</si>
  <si>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</si>
  <si>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</si>
  <si>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</si>
  <si>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</si>
  <si>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</si>
  <si>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</si>
  <si>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</si>
  <si>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</si>
  <si>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</si>
  <si>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</si>
  <si>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</si>
  <si>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</si>
  <si>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</si>
  <si>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</si>
  <si>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</si>
  <si>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</si>
  <si>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</si>
  <si>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</si>
  <si>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</si>
  <si>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</si>
  <si>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</si>
  <si>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</si>
  <si>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</si>
  <si>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</si>
  <si>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</si>
  <si>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</si>
  <si>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</si>
  <si>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</si>
  <si>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</si>
  <si>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</si>
  <si>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</si>
  <si>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</si>
  <si>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</si>
  <si>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</si>
  <si>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</si>
  <si>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</si>
  <si>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</si>
  <si>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</si>
  <si>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</si>
  <si>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</si>
  <si>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</si>
  <si>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</si>
  <si>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</si>
  <si>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</si>
  <si>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</si>
  <si>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</si>
  <si>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</si>
  <si>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</si>
  <si>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</si>
  <si>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</si>
  <si>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</si>
  <si>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</si>
  <si>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</si>
  <si>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</si>
  <si>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</si>
  <si>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</si>
  <si>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</si>
  <si>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</si>
  <si>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</si>
  <si>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</si>
  <si>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</si>
  <si>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</si>
  <si>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</si>
  <si>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</si>
  <si>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</si>
  <si>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</si>
  <si>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</si>
  <si>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</si>
  <si>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</si>
  <si>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</si>
  <si>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</si>
  <si>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</si>
  <si>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</si>
  <si>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</si>
  <si>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</si>
  <si>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</si>
  <si>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</si>
  <si>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BRIDGEPORT HOSPITAL &amp; HEALTHCARE SERVICES,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</si>
  <si>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</si>
  <si>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</si>
  <si>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</si>
  <si>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</si>
  <si>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</si>
  <si>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</si>
  <si>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</si>
  <si>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</si>
  <si>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</si>
  <si>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</si>
  <si>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</si>
  <si>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</si>
  <si>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</si>
  <si>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</si>
  <si>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</si>
  <si>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</si>
  <si>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</si>
  <si>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</si>
  <si>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</si>
  <si>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</si>
  <si>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</si>
  <si>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</si>
  <si>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</si>
  <si>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</si>
  <si>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</si>
  <si>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</si>
  <si>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</si>
  <si>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</si>
  <si>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</si>
  <si>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</si>
  <si>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</si>
  <si>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</si>
  <si>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</si>
  <si>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</si>
  <si>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</si>
  <si>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</si>
  <si>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</si>
  <si>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</si>
  <si>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</si>
  <si>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</si>
  <si>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</si>
  <si>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</si>
  <si>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</si>
  <si>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</si>
  <si>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</si>
  <si>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</si>
  <si>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</si>
  <si>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</si>
  <si>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</si>
  <si>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</si>
  <si>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</si>
  <si>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</si>
  <si>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</si>
  <si>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</si>
  <si>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</si>
  <si>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</si>
  <si>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</si>
  <si>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</si>
  <si>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</si>
  <si>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</si>
  <si>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</si>
  <si>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</si>
  <si>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</si>
  <si>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</si>
  <si>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</si>
  <si>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</si>
  <si>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</si>
  <si>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</si>
  <si>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</si>
  <si>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</si>
  <si>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</si>
  <si>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</si>
  <si>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</si>
  <si>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</si>
  <si>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</si>
  <si>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</si>
  <si>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</si>
  <si>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</si>
  <si>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</si>
  <si>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</si>
  <si>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</si>
  <si>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</si>
  <si>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</si>
  <si>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</si>
  <si>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</si>
  <si>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</si>
  <si>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</si>
  <si>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</si>
  <si>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</si>
  <si>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</si>
  <si>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</si>
  <si>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</si>
  <si>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</si>
  <si>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</si>
  <si>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</si>
  <si>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</si>
  <si>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</si>
  <si>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</si>
  <si>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</si>
  <si>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</si>
  <si>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</si>
  <si>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</si>
  <si>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</si>
  <si>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Bridgeport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</si>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</sst>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>
      <selection activeCell="B6" sqref="B6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32972000</v>
      </c>
      <c r="D13" s="23">
        <v>44477000</v>
      </c>
      <c r="E13" s="23">
        <f t="shared" ref="E13:E22" si="0">D13-C13</f>
        <v>11505000</v>
      </c>
      <c r="F13" s="24">
        <f t="shared" ref="F13:F22" si="1">IF(C13=0,0,E13/C13)</f>
        <v>0.34893242751425452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17550000</v>
      </c>
      <c r="E14" s="23">
        <f t="shared" si="0"/>
        <v>17550000</v>
      </c>
      <c r="F14" s="24">
        <f t="shared" si="1"/>
        <v>0</v>
      </c>
    </row>
    <row r="15" spans="1:8" ht="30.75" customHeight="1" x14ac:dyDescent="0.2">
      <c r="A15" s="21">
        <v>3</v>
      </c>
      <c r="B15" s="22" t="s">
        <v>18</v>
      </c>
      <c r="C15" s="23">
        <v>33101000</v>
      </c>
      <c r="D15" s="23">
        <v>29146000</v>
      </c>
      <c r="E15" s="23">
        <f t="shared" si="0"/>
        <v>-3955000</v>
      </c>
      <c r="F15" s="24">
        <f t="shared" si="1"/>
        <v>-0.11948279508171959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1517000</v>
      </c>
      <c r="D18" s="23">
        <v>1411000</v>
      </c>
      <c r="E18" s="23">
        <f t="shared" si="0"/>
        <v>-106000</v>
      </c>
      <c r="F18" s="24">
        <f t="shared" si="1"/>
        <v>-6.9874752801582077E-2</v>
      </c>
    </row>
    <row r="19" spans="1:11" ht="24" customHeight="1" x14ac:dyDescent="0.2">
      <c r="A19" s="21">
        <v>7</v>
      </c>
      <c r="B19" s="22" t="s">
        <v>22</v>
      </c>
      <c r="C19" s="23">
        <v>3286000</v>
      </c>
      <c r="D19" s="23">
        <v>3852000</v>
      </c>
      <c r="E19" s="23">
        <f t="shared" si="0"/>
        <v>566000</v>
      </c>
      <c r="F19" s="24">
        <f t="shared" si="1"/>
        <v>0.17224589166159465</v>
      </c>
    </row>
    <row r="20" spans="1:11" ht="24" customHeight="1" x14ac:dyDescent="0.2">
      <c r="A20" s="21">
        <v>8</v>
      </c>
      <c r="B20" s="22" t="s">
        <v>23</v>
      </c>
      <c r="C20" s="23">
        <v>1502000</v>
      </c>
      <c r="D20" s="23">
        <v>1876000</v>
      </c>
      <c r="E20" s="23">
        <f t="shared" si="0"/>
        <v>374000</v>
      </c>
      <c r="F20" s="24">
        <f t="shared" si="1"/>
        <v>0.24900133155792276</v>
      </c>
    </row>
    <row r="21" spans="1:11" ht="24" customHeight="1" x14ac:dyDescent="0.2">
      <c r="A21" s="21">
        <v>9</v>
      </c>
      <c r="B21" s="22" t="s">
        <v>24</v>
      </c>
      <c r="C21" s="23">
        <v>3342000</v>
      </c>
      <c r="D21" s="23">
        <v>3107000</v>
      </c>
      <c r="E21" s="23">
        <f t="shared" si="0"/>
        <v>-235000</v>
      </c>
      <c r="F21" s="24">
        <f t="shared" si="1"/>
        <v>-7.0317175344105323E-2</v>
      </c>
    </row>
    <row r="22" spans="1:11" ht="24" customHeight="1" x14ac:dyDescent="0.25">
      <c r="A22" s="25"/>
      <c r="B22" s="26" t="s">
        <v>25</v>
      </c>
      <c r="C22" s="27">
        <f>SUM(C13:C21)</f>
        <v>75720000</v>
      </c>
      <c r="D22" s="27">
        <f>SUM(D13:D21)</f>
        <v>101419000</v>
      </c>
      <c r="E22" s="27">
        <f t="shared" si="0"/>
        <v>25699000</v>
      </c>
      <c r="F22" s="28">
        <f t="shared" si="1"/>
        <v>0.33939513998943477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5845000</v>
      </c>
      <c r="D27" s="23">
        <v>5788000</v>
      </c>
      <c r="E27" s="23">
        <f>D27-C27</f>
        <v>-57000</v>
      </c>
      <c r="F27" s="24">
        <f>IF(C27=0,0,E27/C27)</f>
        <v>-9.7519247219846027E-3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5845000</v>
      </c>
      <c r="D29" s="27">
        <f>SUM(D25:D28)</f>
        <v>5788000</v>
      </c>
      <c r="E29" s="27">
        <f>D29-C29</f>
        <v>-57000</v>
      </c>
      <c r="F29" s="28">
        <f>IF(C29=0,0,E29/C29)</f>
        <v>-9.7519247219846027E-3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26174000</v>
      </c>
      <c r="D32" s="23">
        <v>20564000</v>
      </c>
      <c r="E32" s="23">
        <f>D32-C32</f>
        <v>-5610000</v>
      </c>
      <c r="F32" s="24">
        <f>IF(C32=0,0,E32/C32)</f>
        <v>-0.21433483609689005</v>
      </c>
    </row>
    <row r="33" spans="1:8" ht="24" customHeight="1" x14ac:dyDescent="0.2">
      <c r="A33" s="21">
        <v>7</v>
      </c>
      <c r="B33" s="22" t="s">
        <v>35</v>
      </c>
      <c r="C33" s="23">
        <v>50935000</v>
      </c>
      <c r="D33" s="23">
        <v>53637000</v>
      </c>
      <c r="E33" s="23">
        <f>D33-C33</f>
        <v>2702000</v>
      </c>
      <c r="F33" s="24">
        <f>IF(C33=0,0,E33/C33)</f>
        <v>5.3048002355943848E-2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366772000</v>
      </c>
      <c r="D36" s="23">
        <v>360747000</v>
      </c>
      <c r="E36" s="23">
        <f>D36-C36</f>
        <v>-6025000</v>
      </c>
      <c r="F36" s="24">
        <f>IF(C36=0,0,E36/C36)</f>
        <v>-1.6427099124251578E-2</v>
      </c>
    </row>
    <row r="37" spans="1:8" ht="24" customHeight="1" x14ac:dyDescent="0.2">
      <c r="A37" s="21">
        <v>2</v>
      </c>
      <c r="B37" s="22" t="s">
        <v>39</v>
      </c>
      <c r="C37" s="23">
        <v>260098000</v>
      </c>
      <c r="D37" s="23">
        <v>248840000</v>
      </c>
      <c r="E37" s="23">
        <f>D37-C37</f>
        <v>-11258000</v>
      </c>
      <c r="F37" s="24">
        <f>IF(C37=0,0,E37/C37)</f>
        <v>-4.3283685380125954E-2</v>
      </c>
    </row>
    <row r="38" spans="1:8" ht="24" customHeight="1" x14ac:dyDescent="0.25">
      <c r="A38" s="25"/>
      <c r="B38" s="26" t="s">
        <v>40</v>
      </c>
      <c r="C38" s="27">
        <f>C36-C37</f>
        <v>106674000</v>
      </c>
      <c r="D38" s="27">
        <f>D36-D37</f>
        <v>111907000</v>
      </c>
      <c r="E38" s="27">
        <f>D38-C38</f>
        <v>5233000</v>
      </c>
      <c r="F38" s="28">
        <f>IF(C38=0,0,E38/C38)</f>
        <v>4.9056002399835014E-2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12497000</v>
      </c>
      <c r="D40" s="23">
        <v>4946000</v>
      </c>
      <c r="E40" s="23">
        <f>D40-C40</f>
        <v>-7551000</v>
      </c>
      <c r="F40" s="24">
        <f>IF(C40=0,0,E40/C40)</f>
        <v>-0.60422501400336082</v>
      </c>
    </row>
    <row r="41" spans="1:8" ht="24" customHeight="1" x14ac:dyDescent="0.25">
      <c r="A41" s="25"/>
      <c r="B41" s="26" t="s">
        <v>42</v>
      </c>
      <c r="C41" s="27">
        <f>+C38+C40</f>
        <v>119171000</v>
      </c>
      <c r="D41" s="27">
        <f>+D38+D40</f>
        <v>116853000</v>
      </c>
      <c r="E41" s="27">
        <f>D41-C41</f>
        <v>-2318000</v>
      </c>
      <c r="F41" s="28">
        <f>IF(C41=0,0,E41/C41)</f>
        <v>-1.9451040941168573E-2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277845000</v>
      </c>
      <c r="D43" s="27">
        <f>D22+D29+D31+D32+D33+D41</f>
        <v>298261000</v>
      </c>
      <c r="E43" s="27">
        <f>D43-C43</f>
        <v>20416000</v>
      </c>
      <c r="F43" s="28">
        <f>IF(C43=0,0,E43/C43)</f>
        <v>7.3479817884072055E-2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8362000</v>
      </c>
      <c r="D49" s="23">
        <v>11257000</v>
      </c>
      <c r="E49" s="23">
        <f t="shared" ref="E49:E56" si="2">D49-C49</f>
        <v>2895000</v>
      </c>
      <c r="F49" s="24">
        <f t="shared" ref="F49:F56" si="3">IF(C49=0,0,E49/C49)</f>
        <v>0.34620904089930638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35311000</v>
      </c>
      <c r="D50" s="23">
        <v>34944000</v>
      </c>
      <c r="E50" s="23">
        <f t="shared" si="2"/>
        <v>-367000</v>
      </c>
      <c r="F50" s="24">
        <f t="shared" si="3"/>
        <v>-1.0393361841918948E-2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2857000</v>
      </c>
      <c r="E51" s="23">
        <f t="shared" si="2"/>
        <v>2857000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2785000</v>
      </c>
      <c r="D53" s="23">
        <v>2945000</v>
      </c>
      <c r="E53" s="23">
        <f t="shared" si="2"/>
        <v>160000</v>
      </c>
      <c r="F53" s="24">
        <f t="shared" si="3"/>
        <v>5.7450628366247758E-2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46458000</v>
      </c>
      <c r="D56" s="27">
        <f>SUM(D49:D55)</f>
        <v>52003000</v>
      </c>
      <c r="E56" s="27">
        <f t="shared" si="2"/>
        <v>5545000</v>
      </c>
      <c r="F56" s="28">
        <f t="shared" si="3"/>
        <v>0.11935511644926601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50090000</v>
      </c>
      <c r="D59" s="23">
        <v>47145000</v>
      </c>
      <c r="E59" s="23">
        <f>D59-C59</f>
        <v>-2945000</v>
      </c>
      <c r="F59" s="24">
        <f>IF(C59=0,0,E59/C59)</f>
        <v>-5.8794170493112398E-2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50090000</v>
      </c>
      <c r="D61" s="27">
        <f>SUM(D59:D60)</f>
        <v>47145000</v>
      </c>
      <c r="E61" s="27">
        <f>D61-C61</f>
        <v>-2945000</v>
      </c>
      <c r="F61" s="28">
        <f>IF(C61=0,0,E61/C61)</f>
        <v>-5.8794170493112398E-2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48492000</v>
      </c>
      <c r="D63" s="23">
        <v>49237000</v>
      </c>
      <c r="E63" s="23">
        <f>D63-C63</f>
        <v>745000</v>
      </c>
      <c r="F63" s="24">
        <f>IF(C63=0,0,E63/C63)</f>
        <v>1.5363358904561577E-2</v>
      </c>
    </row>
    <row r="64" spans="1:6" ht="24" customHeight="1" x14ac:dyDescent="0.2">
      <c r="A64" s="21">
        <v>4</v>
      </c>
      <c r="B64" s="22" t="s">
        <v>60</v>
      </c>
      <c r="C64" s="23">
        <v>43953000</v>
      </c>
      <c r="D64" s="23">
        <v>46777000</v>
      </c>
      <c r="E64" s="23">
        <f>D64-C64</f>
        <v>2824000</v>
      </c>
      <c r="F64" s="24">
        <f>IF(C64=0,0,E64/C64)</f>
        <v>6.4250449343617039E-2</v>
      </c>
    </row>
    <row r="65" spans="1:6" ht="24" customHeight="1" x14ac:dyDescent="0.25">
      <c r="A65" s="25"/>
      <c r="B65" s="26" t="s">
        <v>61</v>
      </c>
      <c r="C65" s="27">
        <f>SUM(C61:C64)</f>
        <v>142535000</v>
      </c>
      <c r="D65" s="27">
        <f>SUM(D61:D64)</f>
        <v>143159000</v>
      </c>
      <c r="E65" s="27">
        <f>D65-C65</f>
        <v>624000</v>
      </c>
      <c r="F65" s="28">
        <f>IF(C65=0,0,E65/C65)</f>
        <v>4.3778721015890832E-3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49998000</v>
      </c>
      <c r="D70" s="23">
        <v>62529000</v>
      </c>
      <c r="E70" s="23">
        <f>D70-C70</f>
        <v>12531000</v>
      </c>
      <c r="F70" s="24">
        <f>IF(C70=0,0,E70/C70)</f>
        <v>0.25063002520100802</v>
      </c>
    </row>
    <row r="71" spans="1:6" ht="24" customHeight="1" x14ac:dyDescent="0.2">
      <c r="A71" s="21">
        <v>2</v>
      </c>
      <c r="B71" s="22" t="s">
        <v>65</v>
      </c>
      <c r="C71" s="23">
        <v>26622000</v>
      </c>
      <c r="D71" s="23">
        <v>23262000</v>
      </c>
      <c r="E71" s="23">
        <f>D71-C71</f>
        <v>-3360000</v>
      </c>
      <c r="F71" s="24">
        <f>IF(C71=0,0,E71/C71)</f>
        <v>-0.12621140410187062</v>
      </c>
    </row>
    <row r="72" spans="1:6" ht="24" customHeight="1" x14ac:dyDescent="0.2">
      <c r="A72" s="21">
        <v>3</v>
      </c>
      <c r="B72" s="22" t="s">
        <v>66</v>
      </c>
      <c r="C72" s="23">
        <v>12232000</v>
      </c>
      <c r="D72" s="23">
        <v>17308000</v>
      </c>
      <c r="E72" s="23">
        <f>D72-C72</f>
        <v>5076000</v>
      </c>
      <c r="F72" s="24">
        <f>IF(C72=0,0,E72/C72)</f>
        <v>0.41497710922171355</v>
      </c>
    </row>
    <row r="73" spans="1:6" ht="24" customHeight="1" x14ac:dyDescent="0.25">
      <c r="A73" s="21"/>
      <c r="B73" s="26" t="s">
        <v>67</v>
      </c>
      <c r="C73" s="27">
        <f>SUM(C70:C72)</f>
        <v>88852000</v>
      </c>
      <c r="D73" s="27">
        <f>SUM(D70:D72)</f>
        <v>103099000</v>
      </c>
      <c r="E73" s="27">
        <f>D73-C73</f>
        <v>14247000</v>
      </c>
      <c r="F73" s="28">
        <f>IF(C73=0,0,E73/C73)</f>
        <v>0.16034529329671815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277845000</v>
      </c>
      <c r="D75" s="27">
        <f>D56+D65+D67+D73</f>
        <v>298261000</v>
      </c>
      <c r="E75" s="27">
        <f>D75-C75</f>
        <v>20416000</v>
      </c>
      <c r="F75" s="28">
        <f>IF(C75=0,0,E75/C75)</f>
        <v>7.3479817884072055E-2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344957000</v>
      </c>
      <c r="D11" s="51">
        <v>371280000</v>
      </c>
      <c r="E11" s="51">
        <v>369432000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13675000</v>
      </c>
      <c r="D12" s="49">
        <v>9708000</v>
      </c>
      <c r="E12" s="49">
        <v>10581000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358632000</v>
      </c>
      <c r="D13" s="51">
        <f>+D11+D12</f>
        <v>380988000</v>
      </c>
      <c r="E13" s="51">
        <f>+E11+E12</f>
        <v>380013000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355079000</v>
      </c>
      <c r="D14" s="49">
        <v>377600000</v>
      </c>
      <c r="E14" s="49">
        <v>365999000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3553000</v>
      </c>
      <c r="D15" s="51">
        <f>+D13-D14</f>
        <v>3388000</v>
      </c>
      <c r="E15" s="51">
        <f>+E13-E14</f>
        <v>14014000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-5514000</v>
      </c>
      <c r="D16" s="49">
        <v>-3545000</v>
      </c>
      <c r="E16" s="49">
        <v>1766000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-1961000</v>
      </c>
      <c r="D17" s="51">
        <f>D15+D16</f>
        <v>-157000</v>
      </c>
      <c r="E17" s="51">
        <f>E15+E16</f>
        <v>15780000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1.0061792375353281E-2</v>
      </c>
      <c r="D20" s="169">
        <f>IF(+D27=0,0,+D24/+D27)</f>
        <v>8.9761897822982547E-3</v>
      </c>
      <c r="E20" s="169">
        <f>IF(+E27=0,0,+E24/+E27)</f>
        <v>3.6707100180994767E-2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-1.5615176796424992E-2</v>
      </c>
      <c r="D21" s="169">
        <f>IF(+D27=0,0,+D26/+D27)</f>
        <v>-9.3921466287624888E-3</v>
      </c>
      <c r="E21" s="169">
        <f>IF(+E27=0,0,+E26/+E27)</f>
        <v>4.6257127814782898E-3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-5.5533844210717094E-3</v>
      </c>
      <c r="D22" s="169">
        <f>IF(+D27=0,0,+D28/+D27)</f>
        <v>-4.1595684646423436E-4</v>
      </c>
      <c r="E22" s="169">
        <f>IF(+E27=0,0,+E28/+E27)</f>
        <v>4.1332812962473056E-2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3553000</v>
      </c>
      <c r="D24" s="51">
        <f>+D15</f>
        <v>3388000</v>
      </c>
      <c r="E24" s="51">
        <f>+E15</f>
        <v>14014000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358632000</v>
      </c>
      <c r="D25" s="51">
        <f>+D13</f>
        <v>380988000</v>
      </c>
      <c r="E25" s="51">
        <f>+E13</f>
        <v>380013000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-5514000</v>
      </c>
      <c r="D26" s="51">
        <f>+D16</f>
        <v>-3545000</v>
      </c>
      <c r="E26" s="51">
        <f>+E16</f>
        <v>1766000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353118000</v>
      </c>
      <c r="D27" s="51">
        <f>SUM(D25:D26)</f>
        <v>377443000</v>
      </c>
      <c r="E27" s="51">
        <f>SUM(E25:E26)</f>
        <v>381779000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-1961000</v>
      </c>
      <c r="D28" s="51">
        <f>+D17</f>
        <v>-157000</v>
      </c>
      <c r="E28" s="51">
        <f>+E17</f>
        <v>15780000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110103000</v>
      </c>
      <c r="D31" s="51">
        <v>47837000</v>
      </c>
      <c r="E31" s="52">
        <v>60022000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149911000</v>
      </c>
      <c r="D32" s="51">
        <v>86691000</v>
      </c>
      <c r="E32" s="51">
        <v>100592000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1034000</v>
      </c>
      <c r="D33" s="51">
        <f>+D32-C32</f>
        <v>-63220000</v>
      </c>
      <c r="E33" s="51">
        <f>+E32-D32</f>
        <v>13901000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1.0068999999999999</v>
      </c>
      <c r="D34" s="171">
        <f>IF(C32=0,0,+D33/C32)</f>
        <v>-0.42171688535197549</v>
      </c>
      <c r="E34" s="171">
        <f>IF(D32=0,0,+E33/D32)</f>
        <v>0.16035113218211811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1.5460635867250125</v>
      </c>
      <c r="D38" s="269">
        <f>IF(+D40=0,0,+D39/+D40)</f>
        <v>1.624462863776144</v>
      </c>
      <c r="E38" s="269">
        <f>IF(+E40=0,0,+E39/+E40)</f>
        <v>2.4640233819174711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79848000</v>
      </c>
      <c r="D39" s="270">
        <v>79766000</v>
      </c>
      <c r="E39" s="270">
        <v>128144000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51646000</v>
      </c>
      <c r="D40" s="270">
        <v>49103000</v>
      </c>
      <c r="E40" s="270">
        <v>52006000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31.994412878507493</v>
      </c>
      <c r="D42" s="271">
        <f>IF((D48/365)=0,0,+D45/(D48/365))</f>
        <v>35.760892631767057</v>
      </c>
      <c r="E42" s="271">
        <f>IF((E48/365)=0,0,+E45/(E48/365))</f>
        <v>91.804488919918285</v>
      </c>
    </row>
    <row r="43" spans="1:14" ht="24" customHeight="1" x14ac:dyDescent="0.2">
      <c r="A43" s="17">
        <v>5</v>
      </c>
      <c r="B43" s="188" t="s">
        <v>16</v>
      </c>
      <c r="C43" s="272">
        <v>29605000</v>
      </c>
      <c r="D43" s="272">
        <v>35088000</v>
      </c>
      <c r="E43" s="272">
        <v>45152000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42391000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29605000</v>
      </c>
      <c r="D45" s="270">
        <f>+D43+D44</f>
        <v>35088000</v>
      </c>
      <c r="E45" s="270">
        <f>+E43+E44</f>
        <v>87543000</v>
      </c>
    </row>
    <row r="46" spans="1:14" ht="24" customHeight="1" x14ac:dyDescent="0.2">
      <c r="A46" s="17">
        <v>8</v>
      </c>
      <c r="B46" s="45" t="s">
        <v>324</v>
      </c>
      <c r="C46" s="270">
        <f>+C14</f>
        <v>355079000</v>
      </c>
      <c r="D46" s="270">
        <f>+D14</f>
        <v>377600000</v>
      </c>
      <c r="E46" s="270">
        <f>+E14</f>
        <v>365999000</v>
      </c>
    </row>
    <row r="47" spans="1:14" ht="24" customHeight="1" x14ac:dyDescent="0.2">
      <c r="A47" s="17">
        <v>9</v>
      </c>
      <c r="B47" s="45" t="s">
        <v>347</v>
      </c>
      <c r="C47" s="270">
        <v>17338000</v>
      </c>
      <c r="D47" s="270">
        <v>19468000</v>
      </c>
      <c r="E47" s="270">
        <v>17942000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337741000</v>
      </c>
      <c r="D48" s="270">
        <f>+D46-D47</f>
        <v>358132000</v>
      </c>
      <c r="E48" s="270">
        <f>+E46-E47</f>
        <v>348057000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38.269465469609258</v>
      </c>
      <c r="D50" s="278">
        <f>IF((D55/365)=0,0,+D54/(D55/365))</f>
        <v>34.245784852402501</v>
      </c>
      <c r="E50" s="278">
        <f>IF((E55/365)=0,0,+E54/(E55/365))</f>
        <v>27.364724766668832</v>
      </c>
    </row>
    <row r="51" spans="1:5" ht="24" customHeight="1" x14ac:dyDescent="0.2">
      <c r="A51" s="17">
        <v>12</v>
      </c>
      <c r="B51" s="188" t="s">
        <v>350</v>
      </c>
      <c r="C51" s="279">
        <v>36168000</v>
      </c>
      <c r="D51" s="279">
        <v>34835000</v>
      </c>
      <c r="E51" s="279">
        <v>29146000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1411000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2860000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36168000</v>
      </c>
      <c r="D54" s="280">
        <f>+D51+D52-D53</f>
        <v>34835000</v>
      </c>
      <c r="E54" s="280">
        <f>+E51+E52-E53</f>
        <v>27697000</v>
      </c>
    </row>
    <row r="55" spans="1:5" ht="24" customHeight="1" x14ac:dyDescent="0.2">
      <c r="A55" s="17">
        <v>16</v>
      </c>
      <c r="B55" s="45" t="s">
        <v>75</v>
      </c>
      <c r="C55" s="270">
        <f>+C11</f>
        <v>344957000</v>
      </c>
      <c r="D55" s="270">
        <f>+D11</f>
        <v>371280000</v>
      </c>
      <c r="E55" s="270">
        <f>+E11</f>
        <v>369432000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55.814337021563858</v>
      </c>
      <c r="D57" s="283">
        <f>IF((D61/365)=0,0,+D58/(D61/365))</f>
        <v>50.044662303284824</v>
      </c>
      <c r="E57" s="283">
        <f>IF((E61/365)=0,0,+E58/(E61/365))</f>
        <v>54.537590107367471</v>
      </c>
    </row>
    <row r="58" spans="1:5" ht="24" customHeight="1" x14ac:dyDescent="0.2">
      <c r="A58" s="17">
        <v>18</v>
      </c>
      <c r="B58" s="45" t="s">
        <v>54</v>
      </c>
      <c r="C58" s="281">
        <f>+C40</f>
        <v>51646000</v>
      </c>
      <c r="D58" s="281">
        <f>+D40</f>
        <v>49103000</v>
      </c>
      <c r="E58" s="281">
        <f>+E40</f>
        <v>52006000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355079000</v>
      </c>
      <c r="D59" s="281">
        <f t="shared" si="0"/>
        <v>377600000</v>
      </c>
      <c r="E59" s="281">
        <f t="shared" si="0"/>
        <v>365999000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17338000</v>
      </c>
      <c r="D60" s="176">
        <f t="shared" si="0"/>
        <v>19468000</v>
      </c>
      <c r="E60" s="176">
        <f t="shared" si="0"/>
        <v>17942000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337741000</v>
      </c>
      <c r="D61" s="281">
        <f>+D59-D60</f>
        <v>358132000</v>
      </c>
      <c r="E61" s="281">
        <f>+E59-E60</f>
        <v>348057000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50.689104839964031</v>
      </c>
      <c r="D65" s="284">
        <f>IF(D67=0,0,(D66/D67)*100)</f>
        <v>30.422805084329401</v>
      </c>
      <c r="E65" s="284">
        <f>IF(E67=0,0,(E66/E67)*100)</f>
        <v>33.223460402808698</v>
      </c>
    </row>
    <row r="66" spans="1:5" ht="24" customHeight="1" x14ac:dyDescent="0.2">
      <c r="A66" s="17">
        <v>2</v>
      </c>
      <c r="B66" s="45" t="s">
        <v>67</v>
      </c>
      <c r="C66" s="281">
        <f>+C32</f>
        <v>149911000</v>
      </c>
      <c r="D66" s="281">
        <f>+D32</f>
        <v>86691000</v>
      </c>
      <c r="E66" s="281">
        <f>+E32</f>
        <v>100592000</v>
      </c>
    </row>
    <row r="67" spans="1:5" ht="24" customHeight="1" x14ac:dyDescent="0.2">
      <c r="A67" s="17">
        <v>3</v>
      </c>
      <c r="B67" s="45" t="s">
        <v>43</v>
      </c>
      <c r="C67" s="281">
        <v>295746000</v>
      </c>
      <c r="D67" s="281">
        <v>284954000</v>
      </c>
      <c r="E67" s="281">
        <v>302774000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14.711876082318387</v>
      </c>
      <c r="D69" s="284">
        <f>IF(D75=0,0,(D72/D75)*100)</f>
        <v>19.4681076285625</v>
      </c>
      <c r="E69" s="284">
        <f>IF(E75=0,0,(E72/E75)*100)</f>
        <v>34.010751278353219</v>
      </c>
    </row>
    <row r="70" spans="1:5" ht="24" customHeight="1" x14ac:dyDescent="0.2">
      <c r="A70" s="17">
        <v>5</v>
      </c>
      <c r="B70" s="45" t="s">
        <v>358</v>
      </c>
      <c r="C70" s="281">
        <f>+C28</f>
        <v>-1961000</v>
      </c>
      <c r="D70" s="281">
        <f>+D28</f>
        <v>-157000</v>
      </c>
      <c r="E70" s="281">
        <f>+E28</f>
        <v>15780000</v>
      </c>
    </row>
    <row r="71" spans="1:5" ht="24" customHeight="1" x14ac:dyDescent="0.2">
      <c r="A71" s="17">
        <v>6</v>
      </c>
      <c r="B71" s="45" t="s">
        <v>347</v>
      </c>
      <c r="C71" s="176">
        <f>+C47</f>
        <v>17338000</v>
      </c>
      <c r="D71" s="176">
        <f>+D47</f>
        <v>19468000</v>
      </c>
      <c r="E71" s="176">
        <f>+E47</f>
        <v>17942000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15377000</v>
      </c>
      <c r="D72" s="281">
        <f>+D70+D71</f>
        <v>19311000</v>
      </c>
      <c r="E72" s="281">
        <f>+E70+E71</f>
        <v>33722000</v>
      </c>
    </row>
    <row r="73" spans="1:5" ht="24" customHeight="1" x14ac:dyDescent="0.2">
      <c r="A73" s="17">
        <v>8</v>
      </c>
      <c r="B73" s="45" t="s">
        <v>54</v>
      </c>
      <c r="C73" s="270">
        <f>+C40</f>
        <v>51646000</v>
      </c>
      <c r="D73" s="270">
        <f>+D40</f>
        <v>49103000</v>
      </c>
      <c r="E73" s="270">
        <f>+E40</f>
        <v>52006000</v>
      </c>
    </row>
    <row r="74" spans="1:5" ht="24" customHeight="1" x14ac:dyDescent="0.2">
      <c r="A74" s="17">
        <v>9</v>
      </c>
      <c r="B74" s="45" t="s">
        <v>58</v>
      </c>
      <c r="C74" s="281">
        <v>52875000</v>
      </c>
      <c r="D74" s="281">
        <v>50090000</v>
      </c>
      <c r="E74" s="281">
        <v>47145000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104521000</v>
      </c>
      <c r="D75" s="270">
        <f>+D73+D74</f>
        <v>99193000</v>
      </c>
      <c r="E75" s="270">
        <f>+E73+E74</f>
        <v>99151000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26.074285207065579</v>
      </c>
      <c r="D77" s="286">
        <f>IF(D80=0,0,(D78/D80)*100)</f>
        <v>36.620583268143967</v>
      </c>
      <c r="E77" s="286">
        <f>IF(E80=0,0,(E78/E80)*100)</f>
        <v>31.911437216134075</v>
      </c>
    </row>
    <row r="78" spans="1:5" ht="24" customHeight="1" x14ac:dyDescent="0.2">
      <c r="A78" s="17">
        <v>12</v>
      </c>
      <c r="B78" s="45" t="s">
        <v>58</v>
      </c>
      <c r="C78" s="270">
        <f>+C74</f>
        <v>52875000</v>
      </c>
      <c r="D78" s="270">
        <f>+D74</f>
        <v>50090000</v>
      </c>
      <c r="E78" s="270">
        <f>+E74</f>
        <v>47145000</v>
      </c>
    </row>
    <row r="79" spans="1:5" ht="24" customHeight="1" x14ac:dyDescent="0.2">
      <c r="A79" s="17">
        <v>13</v>
      </c>
      <c r="B79" s="45" t="s">
        <v>67</v>
      </c>
      <c r="C79" s="270">
        <f>+C32</f>
        <v>149911000</v>
      </c>
      <c r="D79" s="270">
        <f>+D32</f>
        <v>86691000</v>
      </c>
      <c r="E79" s="270">
        <f>+E32</f>
        <v>100592000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202786000</v>
      </c>
      <c r="D80" s="270">
        <f>+D78+D79</f>
        <v>136781000</v>
      </c>
      <c r="E80" s="270">
        <f>+E78+E79</f>
        <v>147737000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FILING&amp;R&amp;8BRIDGEPORT HOSPITAL &amp;AMP; HEALTHCARE SERVICES,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67481</v>
      </c>
      <c r="D11" s="297">
        <v>185</v>
      </c>
      <c r="E11" s="297">
        <v>220</v>
      </c>
      <c r="F11" s="298">
        <f>IF(D11=0,0,$C11/(D11*365))</f>
        <v>0.99934838948537574</v>
      </c>
      <c r="G11" s="298">
        <f>IF(E11=0,0,$C11/(E11*365))</f>
        <v>0.84036114570361142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7955</v>
      </c>
      <c r="D13" s="297">
        <v>22</v>
      </c>
      <c r="E13" s="297">
        <v>36</v>
      </c>
      <c r="F13" s="298">
        <f>IF(D13=0,0,$C13/(D13*365))</f>
        <v>0.99066002490660021</v>
      </c>
      <c r="G13" s="298">
        <f>IF(E13=0,0,$C13/(E13*365))</f>
        <v>0.60540334855403344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6158</v>
      </c>
      <c r="D16" s="297">
        <v>17</v>
      </c>
      <c r="E16" s="297">
        <v>19</v>
      </c>
      <c r="F16" s="298">
        <f t="shared" si="0"/>
        <v>0.99242546333601933</v>
      </c>
      <c r="G16" s="298">
        <f t="shared" si="0"/>
        <v>0.88795962509012261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6158</v>
      </c>
      <c r="D17" s="300">
        <f>SUM(D15:D16)</f>
        <v>17</v>
      </c>
      <c r="E17" s="300">
        <f>SUM(E15:E16)</f>
        <v>19</v>
      </c>
      <c r="F17" s="301">
        <f t="shared" si="0"/>
        <v>0.99242546333601933</v>
      </c>
      <c r="G17" s="301">
        <f t="shared" si="0"/>
        <v>0.88795962509012261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5077</v>
      </c>
      <c r="D19" s="297">
        <v>14</v>
      </c>
      <c r="E19" s="297">
        <v>18</v>
      </c>
      <c r="F19" s="298">
        <f>IF(D19=0,0,$C19/(D19*365))</f>
        <v>0.99354207436399222</v>
      </c>
      <c r="G19" s="298">
        <f>IF(E19=0,0,$C19/(E19*365))</f>
        <v>0.77275494672754952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7002</v>
      </c>
      <c r="D21" s="297">
        <v>20</v>
      </c>
      <c r="E21" s="297">
        <v>42</v>
      </c>
      <c r="F21" s="298">
        <f>IF(D21=0,0,$C21/(D21*365))</f>
        <v>0.9591780821917808</v>
      </c>
      <c r="G21" s="298">
        <f>IF(E21=0,0,$C21/(E21*365))</f>
        <v>0.45675146771037184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4827</v>
      </c>
      <c r="D23" s="297">
        <v>14</v>
      </c>
      <c r="E23" s="297">
        <v>24</v>
      </c>
      <c r="F23" s="298">
        <f>IF(D23=0,0,$C23/(D23*365))</f>
        <v>0.94461839530332681</v>
      </c>
      <c r="G23" s="298">
        <f>IF(E23=0,0,$C23/(E23*365))</f>
        <v>0.55102739726027394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4058</v>
      </c>
      <c r="D25" s="297">
        <v>12</v>
      </c>
      <c r="E25" s="297">
        <v>20</v>
      </c>
      <c r="F25" s="298">
        <f>IF(D25=0,0,$C25/(D25*365))</f>
        <v>0.92648401826484017</v>
      </c>
      <c r="G25" s="298">
        <f>IF(E25=0,0,$C25/(E25*365))</f>
        <v>0.55589041095890412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2171</v>
      </c>
      <c r="D27" s="297">
        <v>6</v>
      </c>
      <c r="E27" s="297">
        <v>18</v>
      </c>
      <c r="F27" s="298">
        <f>IF(D27=0,0,$C27/(D27*365))</f>
        <v>0.99132420091324203</v>
      </c>
      <c r="G27" s="298">
        <f>IF(E27=0,0,$C27/(E27*365))</f>
        <v>0.33044140030441399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99902</v>
      </c>
      <c r="D31" s="300">
        <f>SUM(D10:D29)-D17-D23</f>
        <v>276</v>
      </c>
      <c r="E31" s="300">
        <f>SUM(E10:E29)-E17-E23</f>
        <v>373</v>
      </c>
      <c r="F31" s="301">
        <f>IF(D31=0,0,$C31/(D31*365))</f>
        <v>0.99168155648203293</v>
      </c>
      <c r="G31" s="301">
        <f>IF(E31=0,0,$C31/(E31*365))</f>
        <v>0.73379117852289844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104729</v>
      </c>
      <c r="D33" s="300">
        <f>SUM(D10:D29)-D17</f>
        <v>290</v>
      </c>
      <c r="E33" s="300">
        <f>SUM(E10:E29)-E17</f>
        <v>397</v>
      </c>
      <c r="F33" s="301">
        <f>IF(D33=0,0,$C33/(D33*365))</f>
        <v>0.9894095418044403</v>
      </c>
      <c r="G33" s="301">
        <f>IF(E33=0,0,$C33/(E33*365))</f>
        <v>0.72274248645664396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104729</v>
      </c>
      <c r="D36" s="300">
        <f>+D33</f>
        <v>290</v>
      </c>
      <c r="E36" s="300">
        <f>+E33</f>
        <v>397</v>
      </c>
      <c r="F36" s="301">
        <f>+F33</f>
        <v>0.9894095418044403</v>
      </c>
      <c r="G36" s="301">
        <f>+G33</f>
        <v>0.72274248645664396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103601</v>
      </c>
      <c r="D37" s="302">
        <v>288</v>
      </c>
      <c r="E37" s="302">
        <v>377</v>
      </c>
      <c r="F37" s="301">
        <f>IF(D37=0,0,$C37/(D37*365))</f>
        <v>0.98554984779299848</v>
      </c>
      <c r="G37" s="301">
        <f>IF(E37=0,0,$C37/(E37*365))</f>
        <v>0.7528868863776752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1128</v>
      </c>
      <c r="D38" s="300">
        <f>+D36-D37</f>
        <v>2</v>
      </c>
      <c r="E38" s="300">
        <f>+E36-E37</f>
        <v>20</v>
      </c>
      <c r="F38" s="301">
        <f>+F36-F37</f>
        <v>3.8596940114418166E-3</v>
      </c>
      <c r="G38" s="301">
        <f>+G36-G37</f>
        <v>-3.014439992103124E-2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1.0887925792222083E-2</v>
      </c>
      <c r="D40" s="148">
        <f>IF(D37=0,0,D38/D37)</f>
        <v>6.9444444444444441E-3</v>
      </c>
      <c r="E40" s="148">
        <f>IF(E37=0,0,E38/E37)</f>
        <v>5.3050397877984087E-2</v>
      </c>
      <c r="F40" s="148">
        <f>IF(F37=0,0,F38/F37)</f>
        <v>3.9162849246895661E-3</v>
      </c>
      <c r="G40" s="148">
        <f>IF(G37=0,0,G38/G37)</f>
        <v>-4.0038418076403737E-2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425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FILING&amp;RBRIDGEPORT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11136</v>
      </c>
      <c r="D12" s="296">
        <v>11699</v>
      </c>
      <c r="E12" s="296">
        <f>+D12-C12</f>
        <v>563</v>
      </c>
      <c r="F12" s="316">
        <f>IF(C12=0,0,+E12/C12)</f>
        <v>5.0556752873563218E-2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2292</v>
      </c>
      <c r="D13" s="296">
        <v>2326</v>
      </c>
      <c r="E13" s="296">
        <f>+D13-C13</f>
        <v>34</v>
      </c>
      <c r="F13" s="316">
        <f>IF(C13=0,0,+E13/C13)</f>
        <v>1.4834205933682374E-2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9454</v>
      </c>
      <c r="D14" s="296">
        <v>9373</v>
      </c>
      <c r="E14" s="296">
        <f>+D14-C14</f>
        <v>-81</v>
      </c>
      <c r="F14" s="316">
        <f>IF(C14=0,0,+E14/C14)</f>
        <v>-8.5678019885762641E-3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22882</v>
      </c>
      <c r="D16" s="300">
        <f>SUM(D12:D15)</f>
        <v>23398</v>
      </c>
      <c r="E16" s="300">
        <f>+D16-C16</f>
        <v>516</v>
      </c>
      <c r="F16" s="309">
        <f>IF(C16=0,0,+E16/C16)</f>
        <v>2.2550476356961804E-2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1089</v>
      </c>
      <c r="D19" s="296">
        <v>973</v>
      </c>
      <c r="E19" s="296">
        <f>+D19-C19</f>
        <v>-116</v>
      </c>
      <c r="F19" s="316">
        <f>IF(C19=0,0,+E19/C19)</f>
        <v>-0.10651974288337925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0</v>
      </c>
      <c r="D20" s="296">
        <v>0</v>
      </c>
      <c r="E20" s="296">
        <f>+D20-C20</f>
        <v>0</v>
      </c>
      <c r="F20" s="316">
        <f>IF(C20=0,0,+E20/C20)</f>
        <v>0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212</v>
      </c>
      <c r="D21" s="296">
        <v>258</v>
      </c>
      <c r="E21" s="296">
        <f>+D21-C21</f>
        <v>46</v>
      </c>
      <c r="F21" s="316">
        <f>IF(C21=0,0,+E21/C21)</f>
        <v>0.21698113207547171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1301</v>
      </c>
      <c r="D23" s="300">
        <f>SUM(D19:D22)</f>
        <v>1231</v>
      </c>
      <c r="E23" s="300">
        <f>+D23-C23</f>
        <v>-70</v>
      </c>
      <c r="F23" s="309">
        <f>IF(C23=0,0,+E23/C23)</f>
        <v>-5.3804765564950036E-2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138</v>
      </c>
      <c r="D34" s="296">
        <v>170</v>
      </c>
      <c r="E34" s="296">
        <f>+D34-C34</f>
        <v>32</v>
      </c>
      <c r="F34" s="316">
        <f>IF(C34=0,0,+E34/C34)</f>
        <v>0.2318840579710145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138</v>
      </c>
      <c r="D37" s="300">
        <f>SUM(D33:D36)</f>
        <v>170</v>
      </c>
      <c r="E37" s="300">
        <f>+D37-C37</f>
        <v>32</v>
      </c>
      <c r="F37" s="309">
        <f>IF(C37=0,0,+E37/C37)</f>
        <v>0.2318840579710145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421</v>
      </c>
      <c r="D43" s="296">
        <v>381</v>
      </c>
      <c r="E43" s="296">
        <f>+D43-C43</f>
        <v>-40</v>
      </c>
      <c r="F43" s="316">
        <f>IF(C43=0,0,+E43/C43)</f>
        <v>-9.5011876484560567E-2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7448</v>
      </c>
      <c r="D44" s="296">
        <v>10677</v>
      </c>
      <c r="E44" s="296">
        <f>+D44-C44</f>
        <v>3229</v>
      </c>
      <c r="F44" s="316">
        <f>IF(C44=0,0,+E44/C44)</f>
        <v>0.43353920515574651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7869</v>
      </c>
      <c r="D45" s="300">
        <f>SUM(D43:D44)</f>
        <v>11058</v>
      </c>
      <c r="E45" s="300">
        <f>+D45-C45</f>
        <v>3189</v>
      </c>
      <c r="F45" s="309">
        <f>IF(C45=0,0,+E45/C45)</f>
        <v>0.40526115135341212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629</v>
      </c>
      <c r="D48" s="296">
        <v>623</v>
      </c>
      <c r="E48" s="296">
        <f>+D48-C48</f>
        <v>-6</v>
      </c>
      <c r="F48" s="316">
        <f>IF(C48=0,0,+E48/C48)</f>
        <v>-9.538950715421303E-3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373</v>
      </c>
      <c r="D49" s="296">
        <v>345</v>
      </c>
      <c r="E49" s="296">
        <f>+D49-C49</f>
        <v>-28</v>
      </c>
      <c r="F49" s="316">
        <f>IF(C49=0,0,+E49/C49)</f>
        <v>-7.5067024128686322E-2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1002</v>
      </c>
      <c r="D50" s="300">
        <f>SUM(D48:D49)</f>
        <v>968</v>
      </c>
      <c r="E50" s="300">
        <f>+D50-C50</f>
        <v>-34</v>
      </c>
      <c r="F50" s="309">
        <f>IF(C50=0,0,+E50/C50)</f>
        <v>-3.3932135728542916E-2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200</v>
      </c>
      <c r="D53" s="296">
        <v>182</v>
      </c>
      <c r="E53" s="296">
        <f>+D53-C53</f>
        <v>-18</v>
      </c>
      <c r="F53" s="316">
        <f>IF(C53=0,0,+E53/C53)</f>
        <v>-0.09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333</v>
      </c>
      <c r="D54" s="296">
        <v>300</v>
      </c>
      <c r="E54" s="296">
        <f>+D54-C54</f>
        <v>-33</v>
      </c>
      <c r="F54" s="316">
        <f>IF(C54=0,0,+E54/C54)</f>
        <v>-9.90990990990991E-2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533</v>
      </c>
      <c r="D55" s="300">
        <f>SUM(D53:D54)</f>
        <v>482</v>
      </c>
      <c r="E55" s="300">
        <f>+D55-C55</f>
        <v>-51</v>
      </c>
      <c r="F55" s="309">
        <f>IF(C55=0,0,+E55/C55)</f>
        <v>-9.5684803001876179E-2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11</v>
      </c>
      <c r="D58" s="296">
        <v>13</v>
      </c>
      <c r="E58" s="296">
        <f>+D58-C58</f>
        <v>2</v>
      </c>
      <c r="F58" s="316">
        <f>IF(C58=0,0,+E58/C58)</f>
        <v>0.18181818181818182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60</v>
      </c>
      <c r="D59" s="296">
        <v>75</v>
      </c>
      <c r="E59" s="296">
        <f>+D59-C59</f>
        <v>15</v>
      </c>
      <c r="F59" s="316">
        <f>IF(C59=0,0,+E59/C59)</f>
        <v>0.25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71</v>
      </c>
      <c r="D60" s="300">
        <f>SUM(D58:D59)</f>
        <v>88</v>
      </c>
      <c r="E60" s="300">
        <f>SUM(E58:E59)</f>
        <v>17</v>
      </c>
      <c r="F60" s="309">
        <f>IF(C60=0,0,+E60/C60)</f>
        <v>0.23943661971830985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4520</v>
      </c>
      <c r="D63" s="296">
        <v>4217</v>
      </c>
      <c r="E63" s="296">
        <f>+D63-C63</f>
        <v>-303</v>
      </c>
      <c r="F63" s="316">
        <f>IF(C63=0,0,+E63/C63)</f>
        <v>-6.70353982300885E-2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7430</v>
      </c>
      <c r="D64" s="296">
        <v>7245</v>
      </c>
      <c r="E64" s="296">
        <f>+D64-C64</f>
        <v>-185</v>
      </c>
      <c r="F64" s="316">
        <f>IF(C64=0,0,+E64/C64)</f>
        <v>-2.4899057873485869E-2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11950</v>
      </c>
      <c r="D65" s="300">
        <f>SUM(D63:D64)</f>
        <v>11462</v>
      </c>
      <c r="E65" s="300">
        <f>+D65-C65</f>
        <v>-488</v>
      </c>
      <c r="F65" s="309">
        <f>IF(C65=0,0,+E65/C65)</f>
        <v>-4.0836820083682009E-2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1208</v>
      </c>
      <c r="D68" s="296">
        <v>1085</v>
      </c>
      <c r="E68" s="296">
        <f>+D68-C68</f>
        <v>-123</v>
      </c>
      <c r="F68" s="316">
        <f>IF(C68=0,0,+E68/C68)</f>
        <v>-0.10182119205298014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5871</v>
      </c>
      <c r="D69" s="296">
        <v>5773</v>
      </c>
      <c r="E69" s="296">
        <f>+D69-C69</f>
        <v>-98</v>
      </c>
      <c r="F69" s="318">
        <f>IF(C69=0,0,+E69/C69)</f>
        <v>-1.6692215976835293E-2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7079</v>
      </c>
      <c r="D70" s="300">
        <f>SUM(D68:D69)</f>
        <v>6858</v>
      </c>
      <c r="E70" s="300">
        <f>+D70-C70</f>
        <v>-221</v>
      </c>
      <c r="F70" s="309">
        <f>IF(C70=0,0,+E70/C70)</f>
        <v>-3.1219098742760278E-2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10610</v>
      </c>
      <c r="D73" s="319">
        <v>10660</v>
      </c>
      <c r="E73" s="296">
        <f>+D73-C73</f>
        <v>50</v>
      </c>
      <c r="F73" s="316">
        <f>IF(C73=0,0,+E73/C73)</f>
        <v>4.7125353440150798E-3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66812</v>
      </c>
      <c r="D74" s="319">
        <v>65012</v>
      </c>
      <c r="E74" s="296">
        <f>+D74-C74</f>
        <v>-1800</v>
      </c>
      <c r="F74" s="316">
        <f>IF(C74=0,0,+E74/C74)</f>
        <v>-2.6941268035682212E-2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77422</v>
      </c>
      <c r="D75" s="300">
        <f>SUM(D73:D74)</f>
        <v>75672</v>
      </c>
      <c r="E75" s="300">
        <f>SUM(E73:E74)</f>
        <v>-1750</v>
      </c>
      <c r="F75" s="309">
        <f>IF(C75=0,0,+E75/C75)</f>
        <v>-2.2603394384025213E-2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27088</v>
      </c>
      <c r="D82" s="319">
        <v>28057</v>
      </c>
      <c r="E82" s="296">
        <f t="shared" si="0"/>
        <v>969</v>
      </c>
      <c r="F82" s="316">
        <f t="shared" si="1"/>
        <v>3.5772297696396928E-2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7932</v>
      </c>
      <c r="D83" s="319">
        <v>7545</v>
      </c>
      <c r="E83" s="296">
        <f t="shared" si="0"/>
        <v>-387</v>
      </c>
      <c r="F83" s="316">
        <f t="shared" si="1"/>
        <v>-4.8789712556732222E-2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35020</v>
      </c>
      <c r="D84" s="320">
        <f>SUM(D79:D83)</f>
        <v>35602</v>
      </c>
      <c r="E84" s="300">
        <f t="shared" si="0"/>
        <v>582</v>
      </c>
      <c r="F84" s="309">
        <f t="shared" si="1"/>
        <v>1.6619074814391777E-2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39375</v>
      </c>
      <c r="D87" s="322">
        <v>40280</v>
      </c>
      <c r="E87" s="323">
        <f t="shared" ref="E87:E92" si="2">+D87-C87</f>
        <v>905</v>
      </c>
      <c r="F87" s="318">
        <f t="shared" ref="F87:F92" si="3">IF(C87=0,0,+E87/C87)</f>
        <v>2.2984126984126985E-2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4069</v>
      </c>
      <c r="D88" s="322">
        <v>3812</v>
      </c>
      <c r="E88" s="296">
        <f t="shared" si="2"/>
        <v>-257</v>
      </c>
      <c r="F88" s="316">
        <f t="shared" si="3"/>
        <v>-6.3160481690833131E-2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734</v>
      </c>
      <c r="D89" s="322">
        <v>709</v>
      </c>
      <c r="E89" s="296">
        <f t="shared" si="2"/>
        <v>-25</v>
      </c>
      <c r="F89" s="316">
        <f t="shared" si="3"/>
        <v>-3.4059945504087197E-2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5871</v>
      </c>
      <c r="D90" s="322">
        <v>5773</v>
      </c>
      <c r="E90" s="296">
        <f t="shared" si="2"/>
        <v>-98</v>
      </c>
      <c r="F90" s="316">
        <f t="shared" si="3"/>
        <v>-1.6692215976835293E-2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79356</v>
      </c>
      <c r="D91" s="322">
        <v>85468</v>
      </c>
      <c r="E91" s="296">
        <f t="shared" si="2"/>
        <v>6112</v>
      </c>
      <c r="F91" s="316">
        <f t="shared" si="3"/>
        <v>7.7020011089268606E-2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129405</v>
      </c>
      <c r="D92" s="320">
        <f>SUM(D87:D91)</f>
        <v>136042</v>
      </c>
      <c r="E92" s="300">
        <f t="shared" si="2"/>
        <v>6637</v>
      </c>
      <c r="F92" s="309">
        <f t="shared" si="3"/>
        <v>5.1288590085390828E-2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566.6</v>
      </c>
      <c r="D96" s="325">
        <v>571.6</v>
      </c>
      <c r="E96" s="326">
        <f>+D96-C96</f>
        <v>5</v>
      </c>
      <c r="F96" s="316">
        <f>IF(C96=0,0,+E96/C96)</f>
        <v>8.8245675961877868E-3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129.69999999999999</v>
      </c>
      <c r="D97" s="325">
        <v>139.80000000000001</v>
      </c>
      <c r="E97" s="326">
        <f>+D97-C97</f>
        <v>10.100000000000023</v>
      </c>
      <c r="F97" s="316">
        <f>IF(C97=0,0,+E97/C97)</f>
        <v>7.7872012336160548E-2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1343.2</v>
      </c>
      <c r="D98" s="325">
        <v>1304</v>
      </c>
      <c r="E98" s="326">
        <f>+D98-C98</f>
        <v>-39.200000000000045</v>
      </c>
      <c r="F98" s="316">
        <f>IF(C98=0,0,+E98/C98)</f>
        <v>-2.9184038117927372E-2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2039.5</v>
      </c>
      <c r="D99" s="327">
        <f>SUM(D96:D98)</f>
        <v>2015.4</v>
      </c>
      <c r="E99" s="327">
        <f>+D99-C99</f>
        <v>-24.099999999999909</v>
      </c>
      <c r="F99" s="309">
        <f>IF(C99=0,0,+E99/C99)</f>
        <v>-1.1816621721010006E-2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FILING&amp;RBRIDGEPORT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activeCell="B29" sqref="B29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7430</v>
      </c>
      <c r="D12" s="296">
        <v>7245</v>
      </c>
      <c r="E12" s="296">
        <f>+D12-C12</f>
        <v>-185</v>
      </c>
      <c r="F12" s="316">
        <f>IF(C12=0,0,+E12/C12)</f>
        <v>-2.4899057873485869E-2</v>
      </c>
    </row>
    <row r="13" spans="1:16" ht="15.75" customHeight="1" x14ac:dyDescent="0.25">
      <c r="A13" s="294"/>
      <c r="B13" s="135" t="s">
        <v>584</v>
      </c>
      <c r="C13" s="300">
        <f>SUM(C11:C12)</f>
        <v>7430</v>
      </c>
      <c r="D13" s="300">
        <f>SUM(D11:D12)</f>
        <v>7245</v>
      </c>
      <c r="E13" s="300">
        <f>+D13-C13</f>
        <v>-185</v>
      </c>
      <c r="F13" s="309">
        <f>IF(C13=0,0,+E13/C13)</f>
        <v>-2.4899057873485869E-2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5871</v>
      </c>
      <c r="D16" s="296">
        <v>5773</v>
      </c>
      <c r="E16" s="296">
        <f>+D16-C16</f>
        <v>-98</v>
      </c>
      <c r="F16" s="316">
        <f>IF(C16=0,0,+E16/C16)</f>
        <v>-1.6692215976835293E-2</v>
      </c>
    </row>
    <row r="17" spans="1:6" ht="15.75" customHeight="1" x14ac:dyDescent="0.25">
      <c r="A17" s="294"/>
      <c r="B17" s="135" t="s">
        <v>585</v>
      </c>
      <c r="C17" s="300">
        <f>SUM(C15:C16)</f>
        <v>5871</v>
      </c>
      <c r="D17" s="300">
        <f>SUM(D15:D16)</f>
        <v>5773</v>
      </c>
      <c r="E17" s="300">
        <f>+D17-C17</f>
        <v>-98</v>
      </c>
      <c r="F17" s="309">
        <f>IF(C17=0,0,+E17/C17)</f>
        <v>-1.6692215976835293E-2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583</v>
      </c>
      <c r="C20" s="296">
        <v>66812</v>
      </c>
      <c r="D20" s="296">
        <v>65012</v>
      </c>
      <c r="E20" s="296">
        <f>+D20-C20</f>
        <v>-1800</v>
      </c>
      <c r="F20" s="316">
        <f>IF(C20=0,0,+E20/C20)</f>
        <v>-2.6941268035682212E-2</v>
      </c>
    </row>
    <row r="21" spans="1:6" ht="15.75" customHeight="1" x14ac:dyDescent="0.25">
      <c r="A21" s="294"/>
      <c r="B21" s="135" t="s">
        <v>587</v>
      </c>
      <c r="C21" s="300">
        <f>SUM(C19:C20)</f>
        <v>66812</v>
      </c>
      <c r="D21" s="300">
        <f>SUM(D19:D20)</f>
        <v>65012</v>
      </c>
      <c r="E21" s="300">
        <f>+D21-C21</f>
        <v>-1800</v>
      </c>
      <c r="F21" s="309">
        <f>IF(C21=0,0,+E21/C21)</f>
        <v>-2.6941268035682212E-2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588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FILING&amp;RBRIDGEPORT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activeCell="B47" sqref="B47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595</v>
      </c>
      <c r="D7" s="341" t="s">
        <v>595</v>
      </c>
      <c r="E7" s="341" t="s">
        <v>596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597</v>
      </c>
      <c r="D8" s="344" t="s">
        <v>598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601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602</v>
      </c>
      <c r="C15" s="361">
        <v>324822789</v>
      </c>
      <c r="D15" s="361">
        <v>347619438</v>
      </c>
      <c r="E15" s="361">
        <f t="shared" ref="E15:E24" si="0">D15-C15</f>
        <v>22796649</v>
      </c>
      <c r="F15" s="362">
        <f t="shared" ref="F15:F24" si="1">IF(C15=0,0,E15/C15)</f>
        <v>7.0181803038456142E-2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603</v>
      </c>
      <c r="C16" s="361">
        <v>115290249</v>
      </c>
      <c r="D16" s="361">
        <v>109039611</v>
      </c>
      <c r="E16" s="361">
        <f t="shared" si="0"/>
        <v>-6250638</v>
      </c>
      <c r="F16" s="362">
        <f t="shared" si="1"/>
        <v>-5.4216536560693869E-2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604</v>
      </c>
      <c r="C17" s="366">
        <f>IF(C15=0,0,C16/C15)</f>
        <v>0.35493275996715856</v>
      </c>
      <c r="D17" s="366">
        <f>IF(LN_IA1=0,0,LN_IA2/LN_IA1)</f>
        <v>0.31367524102607863</v>
      </c>
      <c r="E17" s="367">
        <f t="shared" si="0"/>
        <v>-4.1257518941079929E-2</v>
      </c>
      <c r="F17" s="362">
        <f t="shared" si="1"/>
        <v>-0.1162403801353739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7107</v>
      </c>
      <c r="D18" s="369">
        <v>6937</v>
      </c>
      <c r="E18" s="369">
        <f t="shared" si="0"/>
        <v>-170</v>
      </c>
      <c r="F18" s="362">
        <f t="shared" si="1"/>
        <v>-2.3920078795553679E-2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605</v>
      </c>
      <c r="C19" s="372">
        <v>1.64252</v>
      </c>
      <c r="D19" s="372">
        <v>1.66225</v>
      </c>
      <c r="E19" s="373">
        <f t="shared" si="0"/>
        <v>1.9730000000000025E-2</v>
      </c>
      <c r="F19" s="362">
        <f t="shared" si="1"/>
        <v>1.2012030294912711E-2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606</v>
      </c>
      <c r="C20" s="376">
        <f>C18*C19</f>
        <v>11673.389639999999</v>
      </c>
      <c r="D20" s="376">
        <f>LN_IA4*LN_IA5</f>
        <v>11531.028249999999</v>
      </c>
      <c r="E20" s="376">
        <f t="shared" si="0"/>
        <v>-142.36139000000003</v>
      </c>
      <c r="F20" s="362">
        <f t="shared" si="1"/>
        <v>-1.2195377211789878E-2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607</v>
      </c>
      <c r="C21" s="378">
        <f>IF(C20=0,0,C16/C20)</f>
        <v>9876.3300596895006</v>
      </c>
      <c r="D21" s="378">
        <f>IF(LN_IA6=0,0,LN_IA2/LN_IA6)</f>
        <v>9456.1914719097149</v>
      </c>
      <c r="E21" s="378">
        <f t="shared" si="0"/>
        <v>-420.13858777978567</v>
      </c>
      <c r="F21" s="362">
        <f t="shared" si="1"/>
        <v>-4.2539950086782977E-2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49724</v>
      </c>
      <c r="D22" s="369">
        <v>52379</v>
      </c>
      <c r="E22" s="369">
        <f t="shared" si="0"/>
        <v>2655</v>
      </c>
      <c r="F22" s="362">
        <f t="shared" si="1"/>
        <v>5.3394738959053979E-2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608</v>
      </c>
      <c r="C23" s="378">
        <f>IF(C22=0,0,C16/C22)</f>
        <v>2318.6036722709355</v>
      </c>
      <c r="D23" s="378">
        <f>IF(LN_IA8=0,0,LN_IA2/LN_IA8)</f>
        <v>2081.7428931441991</v>
      </c>
      <c r="E23" s="378">
        <f t="shared" si="0"/>
        <v>-236.86077912673636</v>
      </c>
      <c r="F23" s="362">
        <f t="shared" si="1"/>
        <v>-0.10215664796853582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609</v>
      </c>
      <c r="C24" s="379">
        <f>IF(C18=0,0,C22/C18)</f>
        <v>6.9964823413535955</v>
      </c>
      <c r="D24" s="379">
        <f>IF(LN_IA4=0,0,LN_IA8/LN_IA4)</f>
        <v>7.5506703185815196</v>
      </c>
      <c r="E24" s="379">
        <f t="shared" si="0"/>
        <v>0.55418797722792412</v>
      </c>
      <c r="F24" s="362">
        <f t="shared" si="1"/>
        <v>7.9209515609340697E-2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611</v>
      </c>
      <c r="C27" s="361">
        <v>98628801</v>
      </c>
      <c r="D27" s="361">
        <v>119913466</v>
      </c>
      <c r="E27" s="361">
        <f t="shared" ref="E27:E32" si="2">D27-C27</f>
        <v>21284665</v>
      </c>
      <c r="F27" s="362">
        <f t="shared" ref="F27:F32" si="3">IF(C27=0,0,E27/C27)</f>
        <v>0.21580577665138603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612</v>
      </c>
      <c r="C28" s="361">
        <v>21525380</v>
      </c>
      <c r="D28" s="361">
        <v>22007322</v>
      </c>
      <c r="E28" s="361">
        <f t="shared" si="2"/>
        <v>481942</v>
      </c>
      <c r="F28" s="362">
        <f t="shared" si="3"/>
        <v>2.2389476980197331E-2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613</v>
      </c>
      <c r="C29" s="366">
        <f>IF(C27=0,0,C28/C27)</f>
        <v>0.21824639234943147</v>
      </c>
      <c r="D29" s="366">
        <f>IF(LN_IA11=0,0,LN_IA12/LN_IA11)</f>
        <v>0.18352669415793552</v>
      </c>
      <c r="E29" s="367">
        <f t="shared" si="2"/>
        <v>-3.4719698191495951E-2</v>
      </c>
      <c r="F29" s="362">
        <f t="shared" si="3"/>
        <v>-0.15908486650219947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614</v>
      </c>
      <c r="C30" s="366">
        <f>IF(C15=0,0,C27/C15)</f>
        <v>0.30363879733820032</v>
      </c>
      <c r="D30" s="366">
        <f>IF(LN_IA1=0,0,LN_IA11/LN_IA1)</f>
        <v>0.34495615863690571</v>
      </c>
      <c r="E30" s="367">
        <f t="shared" si="2"/>
        <v>4.1317361298705391E-2</v>
      </c>
      <c r="F30" s="362">
        <f t="shared" si="3"/>
        <v>0.13607405134293529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615</v>
      </c>
      <c r="C31" s="376">
        <f>C30*C18</f>
        <v>2157.9609326825898</v>
      </c>
      <c r="D31" s="376">
        <f>LN_IA14*LN_IA4</f>
        <v>2392.9608724642148</v>
      </c>
      <c r="E31" s="376">
        <f t="shared" si="2"/>
        <v>234.99993978162502</v>
      </c>
      <c r="F31" s="362">
        <f t="shared" si="3"/>
        <v>0.10889907051722826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616</v>
      </c>
      <c r="C32" s="378">
        <f>IF(C31=0,0,C28/C31)</f>
        <v>9974.8701072366093</v>
      </c>
      <c r="D32" s="378">
        <f>IF(LN_IA15=0,0,LN_IA12/LN_IA15)</f>
        <v>9196.6911173676563</v>
      </c>
      <c r="E32" s="378">
        <f t="shared" si="2"/>
        <v>-778.17898986895307</v>
      </c>
      <c r="F32" s="362">
        <f t="shared" si="3"/>
        <v>-7.8013947199612813E-2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618</v>
      </c>
      <c r="C35" s="361">
        <f>C15+C27</f>
        <v>423451590</v>
      </c>
      <c r="D35" s="361">
        <f>LN_IA1+LN_IA11</f>
        <v>467532904</v>
      </c>
      <c r="E35" s="361">
        <f>D35-C35</f>
        <v>44081314</v>
      </c>
      <c r="F35" s="362">
        <f>IF(C35=0,0,E35/C35)</f>
        <v>0.10410000822053826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619</v>
      </c>
      <c r="C36" s="361">
        <f>C16+C28</f>
        <v>136815629</v>
      </c>
      <c r="D36" s="361">
        <f>LN_IA2+LN_IA12</f>
        <v>131046933</v>
      </c>
      <c r="E36" s="361">
        <f>D36-C36</f>
        <v>-5768696</v>
      </c>
      <c r="F36" s="362">
        <f>IF(C36=0,0,E36/C36)</f>
        <v>-4.2164013294124461E-2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620</v>
      </c>
      <c r="C37" s="361">
        <f>C35-C36</f>
        <v>286635961</v>
      </c>
      <c r="D37" s="361">
        <f>LN_IA17-LN_IA18</f>
        <v>336485971</v>
      </c>
      <c r="E37" s="361">
        <f>D37-C37</f>
        <v>49850010</v>
      </c>
      <c r="F37" s="362">
        <f>IF(C37=0,0,E37/C37)</f>
        <v>0.17391401213611157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602</v>
      </c>
      <c r="C42" s="361">
        <v>205433168</v>
      </c>
      <c r="D42" s="361">
        <v>196128578</v>
      </c>
      <c r="E42" s="361">
        <f t="shared" ref="E42:E53" si="4">D42-C42</f>
        <v>-9304590</v>
      </c>
      <c r="F42" s="362">
        <f t="shared" ref="F42:F53" si="5">IF(C42=0,0,E42/C42)</f>
        <v>-4.5292540102385023E-2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603</v>
      </c>
      <c r="C43" s="361">
        <v>81155490</v>
      </c>
      <c r="D43" s="361">
        <v>86137720</v>
      </c>
      <c r="E43" s="361">
        <f t="shared" si="4"/>
        <v>4982230</v>
      </c>
      <c r="F43" s="362">
        <f t="shared" si="5"/>
        <v>6.1391164048174685E-2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604</v>
      </c>
      <c r="C44" s="366">
        <f>IF(C42=0,0,C43/C42)</f>
        <v>0.39504570167559311</v>
      </c>
      <c r="D44" s="366">
        <f>IF(LN_IB1=0,0,LN_IB2/LN_IB1)</f>
        <v>0.43919005011090223</v>
      </c>
      <c r="E44" s="367">
        <f t="shared" si="4"/>
        <v>4.4144348435309122E-2</v>
      </c>
      <c r="F44" s="362">
        <f t="shared" si="5"/>
        <v>0.11174491520365901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7016</v>
      </c>
      <c r="D45" s="369">
        <v>6407</v>
      </c>
      <c r="E45" s="369">
        <f t="shared" si="4"/>
        <v>-609</v>
      </c>
      <c r="F45" s="362">
        <f t="shared" si="5"/>
        <v>-8.680159635119726E-2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605</v>
      </c>
      <c r="C46" s="372">
        <v>1.13717</v>
      </c>
      <c r="D46" s="372">
        <v>1.1827700000000001</v>
      </c>
      <c r="E46" s="373">
        <f t="shared" si="4"/>
        <v>4.5600000000000085E-2</v>
      </c>
      <c r="F46" s="362">
        <f t="shared" si="5"/>
        <v>4.0099545362610768E-2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606</v>
      </c>
      <c r="C47" s="376">
        <f>C45*C46</f>
        <v>7978.38472</v>
      </c>
      <c r="D47" s="376">
        <f>LN_IB4*LN_IB5</f>
        <v>7578.0073900000007</v>
      </c>
      <c r="E47" s="376">
        <f t="shared" si="4"/>
        <v>-400.37732999999935</v>
      </c>
      <c r="F47" s="362">
        <f t="shared" si="5"/>
        <v>-5.0182755539018346E-2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607</v>
      </c>
      <c r="C48" s="378">
        <f>IF(C47=0,0,C43/C47)</f>
        <v>10171.919861994322</v>
      </c>
      <c r="D48" s="378">
        <f>IF(LN_IB6=0,0,LN_IB2/LN_IB6)</f>
        <v>11366.803378110719</v>
      </c>
      <c r="E48" s="378">
        <f t="shared" si="4"/>
        <v>1194.883516116397</v>
      </c>
      <c r="F48" s="362">
        <f t="shared" si="5"/>
        <v>0.11746882912250219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623</v>
      </c>
      <c r="C49" s="378">
        <f>C21-C48</f>
        <v>-295.58980230482121</v>
      </c>
      <c r="D49" s="378">
        <f>LN_IA7-LN_IB7</f>
        <v>-1910.6119062010039</v>
      </c>
      <c r="E49" s="378">
        <f t="shared" si="4"/>
        <v>-1615.0221038961827</v>
      </c>
      <c r="F49" s="362">
        <f t="shared" si="5"/>
        <v>5.4637274063694612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624</v>
      </c>
      <c r="C50" s="391">
        <f>C49*C47</f>
        <v>-2358329.1620966061</v>
      </c>
      <c r="D50" s="391">
        <f>LN_IB8*LN_IB6</f>
        <v>-14478631.144613195</v>
      </c>
      <c r="E50" s="391">
        <f t="shared" si="4"/>
        <v>-12120301.982516589</v>
      </c>
      <c r="F50" s="362">
        <f t="shared" si="5"/>
        <v>5.1393597540647704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27131</v>
      </c>
      <c r="D51" s="369">
        <v>24833</v>
      </c>
      <c r="E51" s="369">
        <f t="shared" si="4"/>
        <v>-2298</v>
      </c>
      <c r="F51" s="362">
        <f t="shared" si="5"/>
        <v>-8.4700158490287863E-2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608</v>
      </c>
      <c r="C52" s="378">
        <f>IF(C51=0,0,C43/C51)</f>
        <v>2991.2458073790131</v>
      </c>
      <c r="D52" s="378">
        <f>IF(LN_IB10=0,0,LN_IB2/LN_IB10)</f>
        <v>3468.6795795916723</v>
      </c>
      <c r="E52" s="378">
        <f t="shared" si="4"/>
        <v>477.43377221265928</v>
      </c>
      <c r="F52" s="362">
        <f t="shared" si="5"/>
        <v>0.15961034396935633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609</v>
      </c>
      <c r="C53" s="379">
        <f>IF(C45=0,0,C51/C45)</f>
        <v>3.8670182440136829</v>
      </c>
      <c r="D53" s="379">
        <f>IF(LN_IB4=0,0,LN_IB10/LN_IB4)</f>
        <v>3.8759169658186359</v>
      </c>
      <c r="E53" s="379">
        <f t="shared" si="4"/>
        <v>8.8987218049529915E-3</v>
      </c>
      <c r="F53" s="362">
        <f t="shared" si="5"/>
        <v>2.3011843346559357E-3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611</v>
      </c>
      <c r="C56" s="361">
        <v>196750213</v>
      </c>
      <c r="D56" s="361">
        <v>209077063</v>
      </c>
      <c r="E56" s="361">
        <f t="shared" ref="E56:E63" si="6">D56-C56</f>
        <v>12326850</v>
      </c>
      <c r="F56" s="362">
        <f t="shared" ref="F56:F63" si="7">IF(C56=0,0,E56/C56)</f>
        <v>6.2652282871988554E-2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612</v>
      </c>
      <c r="C57" s="361">
        <v>59371699</v>
      </c>
      <c r="D57" s="361">
        <v>66534182</v>
      </c>
      <c r="E57" s="361">
        <f t="shared" si="6"/>
        <v>7162483</v>
      </c>
      <c r="F57" s="362">
        <f t="shared" si="7"/>
        <v>0.12063799959640703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613</v>
      </c>
      <c r="C58" s="366">
        <f>IF(C56=0,0,C57/C56)</f>
        <v>0.30176180292114857</v>
      </c>
      <c r="D58" s="366">
        <f>IF(LN_IB13=0,0,LN_IB14/LN_IB13)</f>
        <v>0.31822803058985</v>
      </c>
      <c r="E58" s="367">
        <f t="shared" si="6"/>
        <v>1.6466227668701428E-2</v>
      </c>
      <c r="F58" s="362">
        <f t="shared" si="7"/>
        <v>5.4566971396986623E-2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614</v>
      </c>
      <c r="C59" s="366">
        <f>IF(C42=0,0,C56/C42)</f>
        <v>0.95773343182830151</v>
      </c>
      <c r="D59" s="366">
        <f>IF(LN_IB1=0,0,LN_IB13/LN_IB1)</f>
        <v>1.0660203889307758</v>
      </c>
      <c r="E59" s="367">
        <f t="shared" si="6"/>
        <v>0.10828695710247427</v>
      </c>
      <c r="F59" s="362">
        <f t="shared" si="7"/>
        <v>0.1130658631136597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615</v>
      </c>
      <c r="C60" s="376">
        <f>C59*C45</f>
        <v>6719.4577577073633</v>
      </c>
      <c r="D60" s="376">
        <f>LN_IB16*LN_IB4</f>
        <v>6829.9926318794805</v>
      </c>
      <c r="E60" s="376">
        <f t="shared" si="6"/>
        <v>110.53487417211727</v>
      </c>
      <c r="F60" s="362">
        <f t="shared" si="7"/>
        <v>1.6449969351370858E-2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616</v>
      </c>
      <c r="C61" s="378">
        <f>IF(C60=0,0,C57/C60)</f>
        <v>8835.7872228453816</v>
      </c>
      <c r="D61" s="378">
        <f>IF(LN_IB17=0,0,LN_IB14/LN_IB17)</f>
        <v>9741.4720023923492</v>
      </c>
      <c r="E61" s="378">
        <f t="shared" si="6"/>
        <v>905.68477954696755</v>
      </c>
      <c r="F61" s="362">
        <f t="shared" si="7"/>
        <v>0.10250187750167558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626</v>
      </c>
      <c r="C62" s="378">
        <f>C32-C61</f>
        <v>1139.0828843912277</v>
      </c>
      <c r="D62" s="378">
        <f>LN_IA16-LN_IB18</f>
        <v>-544.78088502469291</v>
      </c>
      <c r="E62" s="378">
        <f t="shared" si="6"/>
        <v>-1683.8637694159206</v>
      </c>
      <c r="F62" s="362">
        <f t="shared" si="7"/>
        <v>-1.4782627256451544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627</v>
      </c>
      <c r="C63" s="361">
        <f>C62*C60</f>
        <v>7654019.3241943149</v>
      </c>
      <c r="D63" s="361">
        <f>LN_IB19*LN_IB17</f>
        <v>-3720849.4307074351</v>
      </c>
      <c r="E63" s="361">
        <f t="shared" si="6"/>
        <v>-11374868.75490175</v>
      </c>
      <c r="F63" s="362">
        <f t="shared" si="7"/>
        <v>-1.4861301328239203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618</v>
      </c>
      <c r="C66" s="361">
        <f>C42+C56</f>
        <v>402183381</v>
      </c>
      <c r="D66" s="361">
        <f>LN_IB1+LN_IB13</f>
        <v>405205641</v>
      </c>
      <c r="E66" s="361">
        <f>D66-C66</f>
        <v>3022260</v>
      </c>
      <c r="F66" s="362">
        <f>IF(C66=0,0,E66/C66)</f>
        <v>7.5146317395944316E-3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619</v>
      </c>
      <c r="C67" s="361">
        <f>C43+C57</f>
        <v>140527189</v>
      </c>
      <c r="D67" s="361">
        <f>LN_IB2+LN_IB14</f>
        <v>152671902</v>
      </c>
      <c r="E67" s="361">
        <f>D67-C67</f>
        <v>12144713</v>
      </c>
      <c r="F67" s="362">
        <f>IF(C67=0,0,E67/C67)</f>
        <v>8.6422514293657438E-2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620</v>
      </c>
      <c r="C68" s="361">
        <f>C66-C67</f>
        <v>261656192</v>
      </c>
      <c r="D68" s="361">
        <f>LN_IB21-LN_IB22</f>
        <v>252533739</v>
      </c>
      <c r="E68" s="361">
        <f>D68-C68</f>
        <v>-9122453</v>
      </c>
      <c r="F68" s="362">
        <f>IF(C68=0,0,E68/C68)</f>
        <v>-3.486427334385421E-2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629</v>
      </c>
      <c r="C70" s="353">
        <f>C50+C63</f>
        <v>5295690.1620977093</v>
      </c>
      <c r="D70" s="353">
        <f>LN_IB9+LN_IB20</f>
        <v>-18199480.575320631</v>
      </c>
      <c r="E70" s="361">
        <f>D70-C70</f>
        <v>-23495170.737418339</v>
      </c>
      <c r="F70" s="362">
        <f>IF(C70=0,0,E70/C70)</f>
        <v>-4.4366588713172597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631</v>
      </c>
      <c r="C73" s="400">
        <v>340205958</v>
      </c>
      <c r="D73" s="400">
        <v>349741731</v>
      </c>
      <c r="E73" s="400">
        <f>D73-C73</f>
        <v>9535773</v>
      </c>
      <c r="F73" s="401">
        <f>IF(C73=0,0,E73/C73)</f>
        <v>2.802941211276494E-2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632</v>
      </c>
      <c r="C74" s="400">
        <v>137366697</v>
      </c>
      <c r="D74" s="400">
        <v>135799425</v>
      </c>
      <c r="E74" s="400">
        <f>D74-C74</f>
        <v>-1567272</v>
      </c>
      <c r="F74" s="401">
        <f>IF(C74=0,0,E74/C74)</f>
        <v>-1.1409402964679278E-2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634</v>
      </c>
      <c r="C76" s="353">
        <f>C73-C74</f>
        <v>202839261</v>
      </c>
      <c r="D76" s="353">
        <f>LN_IB32-LN_IB33</f>
        <v>213942306</v>
      </c>
      <c r="E76" s="400">
        <f>D76-C76</f>
        <v>11103045</v>
      </c>
      <c r="F76" s="401">
        <f>IF(C76=0,0,E76/C76)</f>
        <v>5.4738145590068975E-2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635</v>
      </c>
      <c r="C77" s="366">
        <f>IF(C73=0,0,C76/C73)</f>
        <v>0.59622489327479677</v>
      </c>
      <c r="D77" s="366">
        <f>IF(LN_IB1=0,0,LN_IB34/LN_IB32)</f>
        <v>0.61171512300886965</v>
      </c>
      <c r="E77" s="405">
        <f>D77-C77</f>
        <v>1.549022973407288E-2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602</v>
      </c>
      <c r="C83" s="361">
        <v>13809812</v>
      </c>
      <c r="D83" s="361">
        <v>9670822</v>
      </c>
      <c r="E83" s="361">
        <f t="shared" ref="E83:E95" si="8">D83-C83</f>
        <v>-4138990</v>
      </c>
      <c r="F83" s="362">
        <f t="shared" ref="F83:F95" si="9">IF(C83=0,0,E83/C83)</f>
        <v>-0.29971371080214559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603</v>
      </c>
      <c r="C84" s="361">
        <v>1020113</v>
      </c>
      <c r="D84" s="361">
        <v>952380</v>
      </c>
      <c r="E84" s="361">
        <f t="shared" si="8"/>
        <v>-67733</v>
      </c>
      <c r="F84" s="362">
        <f t="shared" si="9"/>
        <v>-6.6397546154200571E-2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604</v>
      </c>
      <c r="C85" s="366">
        <f>IF(C83=0,0,C84/C83)</f>
        <v>7.3868710160572781E-2</v>
      </c>
      <c r="D85" s="366">
        <f>IF(LN_IC1=0,0,LN_IC2/LN_IC1)</f>
        <v>9.8479736262336331E-2</v>
      </c>
      <c r="E85" s="367">
        <f t="shared" si="8"/>
        <v>2.461102610176355E-2</v>
      </c>
      <c r="F85" s="362">
        <f t="shared" si="9"/>
        <v>0.33317254421073694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398</v>
      </c>
      <c r="D86" s="369">
        <v>311</v>
      </c>
      <c r="E86" s="369">
        <f t="shared" si="8"/>
        <v>-87</v>
      </c>
      <c r="F86" s="362">
        <f t="shared" si="9"/>
        <v>-0.21859296482412061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605</v>
      </c>
      <c r="C87" s="372">
        <v>1.21574</v>
      </c>
      <c r="D87" s="372">
        <v>1.18285</v>
      </c>
      <c r="E87" s="373">
        <f t="shared" si="8"/>
        <v>-3.2890000000000086E-2</v>
      </c>
      <c r="F87" s="362">
        <f t="shared" si="9"/>
        <v>-2.7053481829996614E-2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606</v>
      </c>
      <c r="C88" s="376">
        <f>C86*C87</f>
        <v>483.86452000000003</v>
      </c>
      <c r="D88" s="376">
        <f>LN_IC4*LN_IC5</f>
        <v>367.86635000000001</v>
      </c>
      <c r="E88" s="376">
        <f t="shared" si="8"/>
        <v>-115.99817000000002</v>
      </c>
      <c r="F88" s="362">
        <f t="shared" si="9"/>
        <v>-0.23973274585208273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607</v>
      </c>
      <c r="C89" s="378">
        <f>IF(C88=0,0,C84/C88)</f>
        <v>2108.2616266222617</v>
      </c>
      <c r="D89" s="378">
        <f>IF(LN_IC6=0,0,LN_IC2/LN_IC6)</f>
        <v>2588.9293761171684</v>
      </c>
      <c r="E89" s="378">
        <f t="shared" si="8"/>
        <v>480.66774949490673</v>
      </c>
      <c r="F89" s="362">
        <f t="shared" si="9"/>
        <v>0.22799245758933895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638</v>
      </c>
      <c r="C90" s="378">
        <f>C48-C89</f>
        <v>8063.6582353720605</v>
      </c>
      <c r="D90" s="378">
        <f>LN_IB7-LN_IC7</f>
        <v>8777.8740019935503</v>
      </c>
      <c r="E90" s="378">
        <f t="shared" si="8"/>
        <v>714.21576662148982</v>
      </c>
      <c r="F90" s="362">
        <f t="shared" si="9"/>
        <v>8.8572177264223506E-2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639</v>
      </c>
      <c r="C91" s="378">
        <f>C21-C89</f>
        <v>7768.0684330672393</v>
      </c>
      <c r="D91" s="378">
        <f>LN_IA7-LN_IC7</f>
        <v>6867.2620957925465</v>
      </c>
      <c r="E91" s="378">
        <f t="shared" si="8"/>
        <v>-900.80633727469285</v>
      </c>
      <c r="F91" s="362">
        <f t="shared" si="9"/>
        <v>-0.11596271905125421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624</v>
      </c>
      <c r="C92" s="353">
        <f>C91*C88</f>
        <v>3758692.703693232</v>
      </c>
      <c r="D92" s="353">
        <f>LN_IC9*LN_IC6</f>
        <v>2526234.6416725544</v>
      </c>
      <c r="E92" s="353">
        <f t="shared" si="8"/>
        <v>-1232458.0620206776</v>
      </c>
      <c r="F92" s="362">
        <f t="shared" si="9"/>
        <v>-0.32789540384870619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1724</v>
      </c>
      <c r="D93" s="369">
        <v>1212</v>
      </c>
      <c r="E93" s="369">
        <f t="shared" si="8"/>
        <v>-512</v>
      </c>
      <c r="F93" s="362">
        <f t="shared" si="9"/>
        <v>-0.29698375870069604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608</v>
      </c>
      <c r="C94" s="411">
        <f>IF(C93=0,0,C84/C93)</f>
        <v>591.71287703016242</v>
      </c>
      <c r="D94" s="411">
        <f>IF(LN_IC11=0,0,LN_IC2/LN_IC11)</f>
        <v>785.79207920792078</v>
      </c>
      <c r="E94" s="411">
        <f t="shared" si="8"/>
        <v>194.07920217775836</v>
      </c>
      <c r="F94" s="362">
        <f t="shared" si="9"/>
        <v>0.32799556966184668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609</v>
      </c>
      <c r="C95" s="379">
        <f>IF(C86=0,0,C93/C86)</f>
        <v>4.3316582914572868</v>
      </c>
      <c r="D95" s="379">
        <f>IF(LN_IC4=0,0,LN_IC11/LN_IC4)</f>
        <v>3.897106109324759</v>
      </c>
      <c r="E95" s="379">
        <f t="shared" si="8"/>
        <v>-0.43455218213252778</v>
      </c>
      <c r="F95" s="362">
        <f t="shared" si="9"/>
        <v>-0.10032005132757892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611</v>
      </c>
      <c r="C98" s="361">
        <v>30854209</v>
      </c>
      <c r="D98" s="361">
        <v>30889642</v>
      </c>
      <c r="E98" s="361">
        <f t="shared" ref="E98:E106" si="10">D98-C98</f>
        <v>35433</v>
      </c>
      <c r="F98" s="362">
        <f t="shared" ref="F98:F106" si="11">IF(C98=0,0,E98/C98)</f>
        <v>1.1484008551313047E-3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612</v>
      </c>
      <c r="C99" s="361">
        <v>1755156</v>
      </c>
      <c r="D99" s="361">
        <v>2336439</v>
      </c>
      <c r="E99" s="361">
        <f t="shared" si="10"/>
        <v>581283</v>
      </c>
      <c r="F99" s="362">
        <f t="shared" si="11"/>
        <v>0.33118594586464112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613</v>
      </c>
      <c r="C100" s="366">
        <f>IF(C98=0,0,C99/C98)</f>
        <v>5.6885464151746688E-2</v>
      </c>
      <c r="D100" s="366">
        <f>IF(LN_IC14=0,0,LN_IC15/LN_IC14)</f>
        <v>7.5638267351884489E-2</v>
      </c>
      <c r="E100" s="367">
        <f t="shared" si="10"/>
        <v>1.8752803200137801E-2</v>
      </c>
      <c r="F100" s="362">
        <f t="shared" si="11"/>
        <v>0.32965896437292214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614</v>
      </c>
      <c r="C101" s="366">
        <f>IF(C83=0,0,C98/C83)</f>
        <v>2.2342236809595959</v>
      </c>
      <c r="D101" s="366">
        <f>IF(LN_IC1=0,0,LN_IC14/LN_IC1)</f>
        <v>3.1941071813750681</v>
      </c>
      <c r="E101" s="367">
        <f t="shared" si="10"/>
        <v>0.95988350041547221</v>
      </c>
      <c r="F101" s="362">
        <f t="shared" si="11"/>
        <v>0.42962730571506769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615</v>
      </c>
      <c r="C102" s="376">
        <f>C101*C86</f>
        <v>889.22102502191922</v>
      </c>
      <c r="D102" s="376">
        <f>LN_IC17*LN_IC4</f>
        <v>993.36733340764613</v>
      </c>
      <c r="E102" s="376">
        <f t="shared" si="10"/>
        <v>104.14630838572691</v>
      </c>
      <c r="F102" s="362">
        <f t="shared" si="11"/>
        <v>0.11712083436529148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616</v>
      </c>
      <c r="C103" s="378">
        <f>IF(C102=0,0,C99/C102)</f>
        <v>1973.8129785637216</v>
      </c>
      <c r="D103" s="378">
        <f>IF(LN_IC18=0,0,LN_IC15/LN_IC18)</f>
        <v>2352.039292438863</v>
      </c>
      <c r="E103" s="378">
        <f t="shared" si="10"/>
        <v>378.22631387514139</v>
      </c>
      <c r="F103" s="362">
        <f t="shared" si="11"/>
        <v>0.19162216379302774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641</v>
      </c>
      <c r="C104" s="378">
        <f>C61-C103</f>
        <v>6861.9742442816605</v>
      </c>
      <c r="D104" s="378">
        <f>LN_IB18-LN_IC19</f>
        <v>7389.4327099534858</v>
      </c>
      <c r="E104" s="378">
        <f t="shared" si="10"/>
        <v>527.45846567182525</v>
      </c>
      <c r="F104" s="362">
        <f t="shared" si="11"/>
        <v>7.6866867594464677E-2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642</v>
      </c>
      <c r="C105" s="378">
        <f>C32-C103</f>
        <v>8001.0571286728882</v>
      </c>
      <c r="D105" s="378">
        <f>LN_IA16-LN_IC19</f>
        <v>6844.6518249287928</v>
      </c>
      <c r="E105" s="378">
        <f t="shared" si="10"/>
        <v>-1156.4053037440954</v>
      </c>
      <c r="F105" s="362">
        <f t="shared" si="11"/>
        <v>-0.14453156441040246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627</v>
      </c>
      <c r="C106" s="361">
        <f>C105*C102</f>
        <v>7114708.2212174395</v>
      </c>
      <c r="D106" s="361">
        <f>LN_IC21*LN_IC18</f>
        <v>6799253.5314332936</v>
      </c>
      <c r="E106" s="361">
        <f t="shared" si="10"/>
        <v>-315454.68978414591</v>
      </c>
      <c r="F106" s="362">
        <f t="shared" si="11"/>
        <v>-4.4338387460978214E-2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618</v>
      </c>
      <c r="C109" s="361">
        <f>C83+C98</f>
        <v>44664021</v>
      </c>
      <c r="D109" s="361">
        <f>LN_IC1+LN_IC14</f>
        <v>40560464</v>
      </c>
      <c r="E109" s="361">
        <f>D109-C109</f>
        <v>-4103557</v>
      </c>
      <c r="F109" s="362">
        <f>IF(C109=0,0,E109/C109)</f>
        <v>-9.1876121050543116E-2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619</v>
      </c>
      <c r="C110" s="361">
        <f>C84+C99</f>
        <v>2775269</v>
      </c>
      <c r="D110" s="361">
        <f>LN_IC2+LN_IC15</f>
        <v>3288819</v>
      </c>
      <c r="E110" s="361">
        <f>D110-C110</f>
        <v>513550</v>
      </c>
      <c r="F110" s="362">
        <f>IF(C110=0,0,E110/C110)</f>
        <v>0.18504512535541601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620</v>
      </c>
      <c r="C111" s="361">
        <f>C109-C110</f>
        <v>41888752</v>
      </c>
      <c r="D111" s="361">
        <f>LN_IC23-LN_IC24</f>
        <v>37271645</v>
      </c>
      <c r="E111" s="361">
        <f>D111-C111</f>
        <v>-4617107</v>
      </c>
      <c r="F111" s="362">
        <f>IF(C111=0,0,E111/C111)</f>
        <v>-0.11022307372633111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629</v>
      </c>
      <c r="C113" s="361">
        <f>C92+C106</f>
        <v>10873400.924910672</v>
      </c>
      <c r="D113" s="361">
        <f>LN_IC10+LN_IC22</f>
        <v>9325488.1731058471</v>
      </c>
      <c r="E113" s="361">
        <f>D113-C113</f>
        <v>-1547912.7518048249</v>
      </c>
      <c r="F113" s="362">
        <f>IF(C113=0,0,E113/C113)</f>
        <v>-0.1423577372428711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602</v>
      </c>
      <c r="C118" s="361">
        <v>129054841</v>
      </c>
      <c r="D118" s="361">
        <v>151940447</v>
      </c>
      <c r="E118" s="361">
        <f t="shared" ref="E118:E130" si="12">D118-C118</f>
        <v>22885606</v>
      </c>
      <c r="F118" s="362">
        <f t="shared" ref="F118:F130" si="13">IF(C118=0,0,E118/C118)</f>
        <v>0.17733241018056811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603</v>
      </c>
      <c r="C119" s="361">
        <v>33865096</v>
      </c>
      <c r="D119" s="361">
        <v>36750880</v>
      </c>
      <c r="E119" s="361">
        <f t="shared" si="12"/>
        <v>2885784</v>
      </c>
      <c r="F119" s="362">
        <f t="shared" si="13"/>
        <v>8.5214109536261171E-2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604</v>
      </c>
      <c r="C120" s="366">
        <f>IF(C118=0,0,C119/C118)</f>
        <v>0.26240856784287542</v>
      </c>
      <c r="D120" s="366">
        <f>IF(LN_ID1=0,0,LN_1D2/LN_ID1)</f>
        <v>0.24187687166669977</v>
      </c>
      <c r="E120" s="367">
        <f t="shared" si="12"/>
        <v>-2.0531696176175646E-2</v>
      </c>
      <c r="F120" s="362">
        <f t="shared" si="13"/>
        <v>-7.8243238568603379E-2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4962</v>
      </c>
      <c r="D121" s="369">
        <v>5266</v>
      </c>
      <c r="E121" s="369">
        <f t="shared" si="12"/>
        <v>304</v>
      </c>
      <c r="F121" s="362">
        <f t="shared" si="13"/>
        <v>6.1265618702136232E-2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605</v>
      </c>
      <c r="C122" s="372">
        <v>0.96157000000000004</v>
      </c>
      <c r="D122" s="372">
        <v>1.0019100000000001</v>
      </c>
      <c r="E122" s="373">
        <f t="shared" si="12"/>
        <v>4.0340000000000042E-2</v>
      </c>
      <c r="F122" s="362">
        <f t="shared" si="13"/>
        <v>4.195222396705392E-2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606</v>
      </c>
      <c r="C123" s="376">
        <f>C121*C122</f>
        <v>4771.31034</v>
      </c>
      <c r="D123" s="376">
        <f>LN_ID4*LN_ID5</f>
        <v>5276.0580600000003</v>
      </c>
      <c r="E123" s="376">
        <f t="shared" si="12"/>
        <v>504.7477200000003</v>
      </c>
      <c r="F123" s="362">
        <f t="shared" si="13"/>
        <v>0.10578807162646232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607</v>
      </c>
      <c r="C124" s="378">
        <f>IF(C123=0,0,C119/C123)</f>
        <v>7097.6510825745199</v>
      </c>
      <c r="D124" s="378">
        <f>IF(LN_ID6=0,0,LN_1D2/LN_ID6)</f>
        <v>6965.5943096274414</v>
      </c>
      <c r="E124" s="378">
        <f t="shared" si="12"/>
        <v>-132.05677294707857</v>
      </c>
      <c r="F124" s="362">
        <f t="shared" si="13"/>
        <v>-1.8605700873531503E-2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646</v>
      </c>
      <c r="C125" s="378">
        <f>C48-C124</f>
        <v>3074.2687794198018</v>
      </c>
      <c r="D125" s="378">
        <f>LN_IB7-LN_ID7</f>
        <v>4401.2090684832774</v>
      </c>
      <c r="E125" s="378">
        <f t="shared" si="12"/>
        <v>1326.9402890634756</v>
      </c>
      <c r="F125" s="362">
        <f t="shared" si="13"/>
        <v>0.43162793635561864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647</v>
      </c>
      <c r="C126" s="378">
        <f>C21-C124</f>
        <v>2778.6789771149806</v>
      </c>
      <c r="D126" s="378">
        <f>LN_IA7-LN_ID7</f>
        <v>2490.5971622822735</v>
      </c>
      <c r="E126" s="378">
        <f t="shared" si="12"/>
        <v>-288.0818148327071</v>
      </c>
      <c r="F126" s="362">
        <f t="shared" si="13"/>
        <v>-0.10367581761165294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624</v>
      </c>
      <c r="C127" s="391">
        <f>C126*C123</f>
        <v>13257939.73504933</v>
      </c>
      <c r="D127" s="391">
        <f>LN_ID9*LN_ID6</f>
        <v>13140535.232272519</v>
      </c>
      <c r="E127" s="391">
        <f t="shared" si="12"/>
        <v>-117404.5027768109</v>
      </c>
      <c r="F127" s="362">
        <f t="shared" si="13"/>
        <v>-8.8554108046240924E-3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22491</v>
      </c>
      <c r="D128" s="369">
        <v>25153</v>
      </c>
      <c r="E128" s="369">
        <f t="shared" si="12"/>
        <v>2662</v>
      </c>
      <c r="F128" s="362">
        <f t="shared" si="13"/>
        <v>0.11835845449290827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608</v>
      </c>
      <c r="C129" s="378">
        <f>IF(C128=0,0,C119/C128)</f>
        <v>1505.7176648437153</v>
      </c>
      <c r="D129" s="378">
        <f>IF(LN_ID11=0,0,LN_1D2/LN_ID11)</f>
        <v>1461.0933089492307</v>
      </c>
      <c r="E129" s="378">
        <f t="shared" si="12"/>
        <v>-44.624355894484552</v>
      </c>
      <c r="F129" s="362">
        <f t="shared" si="13"/>
        <v>-2.9636602489561879E-2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609</v>
      </c>
      <c r="C130" s="379">
        <f>IF(C121=0,0,C128/C121)</f>
        <v>4.5326481257557436</v>
      </c>
      <c r="D130" s="379">
        <f>IF(LN_ID4=0,0,LN_ID11/LN_ID4)</f>
        <v>4.7764906950246866</v>
      </c>
      <c r="E130" s="379">
        <f t="shared" si="12"/>
        <v>0.24384256926894299</v>
      </c>
      <c r="F130" s="362">
        <f t="shared" si="13"/>
        <v>5.3796933382797348E-2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611</v>
      </c>
      <c r="C133" s="361">
        <v>99793585</v>
      </c>
      <c r="D133" s="361">
        <v>129447743</v>
      </c>
      <c r="E133" s="361">
        <f t="shared" ref="E133:E141" si="14">D133-C133</f>
        <v>29654158</v>
      </c>
      <c r="F133" s="362">
        <f t="shared" ref="F133:F141" si="15">IF(C133=0,0,E133/C133)</f>
        <v>0.29715495239498613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612</v>
      </c>
      <c r="C134" s="361">
        <v>21995843</v>
      </c>
      <c r="D134" s="361">
        <v>22613318</v>
      </c>
      <c r="E134" s="361">
        <f t="shared" si="14"/>
        <v>617475</v>
      </c>
      <c r="F134" s="362">
        <f t="shared" si="15"/>
        <v>2.8072349852651703E-2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613</v>
      </c>
      <c r="C135" s="366">
        <f>IF(C133=0,0,C134/C133)</f>
        <v>0.22041339631199741</v>
      </c>
      <c r="D135" s="366">
        <f>IF(LN_ID14=0,0,LN_ID15/LN_ID14)</f>
        <v>0.17469070897589925</v>
      </c>
      <c r="E135" s="367">
        <f t="shared" si="14"/>
        <v>-4.5722687336098161E-2</v>
      </c>
      <c r="F135" s="362">
        <f t="shared" si="15"/>
        <v>-0.20744060071274992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614</v>
      </c>
      <c r="C136" s="366">
        <f>IF(C118=0,0,C133/C118)</f>
        <v>0.7732649486585319</v>
      </c>
      <c r="D136" s="366">
        <f>IF(LN_ID1=0,0,LN_ID14/LN_ID1)</f>
        <v>0.85196368416633661</v>
      </c>
      <c r="E136" s="367">
        <f t="shared" si="14"/>
        <v>7.8698735507804707E-2</v>
      </c>
      <c r="F136" s="362">
        <f t="shared" si="15"/>
        <v>0.10177460603164813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615</v>
      </c>
      <c r="C137" s="376">
        <f>C136*C121</f>
        <v>3836.9406752436353</v>
      </c>
      <c r="D137" s="376">
        <f>LN_ID17*LN_ID4</f>
        <v>4486.440760819929</v>
      </c>
      <c r="E137" s="376">
        <f t="shared" si="14"/>
        <v>649.50008557629371</v>
      </c>
      <c r="F137" s="362">
        <f t="shared" si="15"/>
        <v>0.16927550894047957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616</v>
      </c>
      <c r="C138" s="378">
        <f>IF(C137=0,0,C134/C137)</f>
        <v>5732.6513130420826</v>
      </c>
      <c r="D138" s="378">
        <f>IF(LN_ID18=0,0,LN_ID15/LN_ID18)</f>
        <v>5040.3692382349109</v>
      </c>
      <c r="E138" s="378">
        <f t="shared" si="14"/>
        <v>-692.28207480717174</v>
      </c>
      <c r="F138" s="362">
        <f t="shared" si="15"/>
        <v>-0.12076123891090212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649</v>
      </c>
      <c r="C139" s="378">
        <f>C61-C138</f>
        <v>3103.135909803299</v>
      </c>
      <c r="D139" s="378">
        <f>LN_IB18-LN_ID19</f>
        <v>4701.1027641574383</v>
      </c>
      <c r="E139" s="378">
        <f t="shared" si="14"/>
        <v>1597.9668543541393</v>
      </c>
      <c r="F139" s="362">
        <f t="shared" si="15"/>
        <v>0.51495226145458484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650</v>
      </c>
      <c r="C140" s="378">
        <f>C32-C138</f>
        <v>4242.2187941945267</v>
      </c>
      <c r="D140" s="378">
        <f>LN_IA16-LN_ID19</f>
        <v>4156.3218791327454</v>
      </c>
      <c r="E140" s="378">
        <f t="shared" si="14"/>
        <v>-85.896915061781328</v>
      </c>
      <c r="F140" s="362">
        <f t="shared" si="15"/>
        <v>-2.024811053577227E-2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627</v>
      </c>
      <c r="C141" s="353">
        <f>C140*C137</f>
        <v>16277141.844727987</v>
      </c>
      <c r="D141" s="353">
        <f>LN_ID21*LN_ID18</f>
        <v>18647091.893628832</v>
      </c>
      <c r="E141" s="353">
        <f t="shared" si="14"/>
        <v>2369950.0489008445</v>
      </c>
      <c r="F141" s="362">
        <f t="shared" si="15"/>
        <v>0.14559988918868141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618</v>
      </c>
      <c r="C144" s="361">
        <f>C118+C133</f>
        <v>228848426</v>
      </c>
      <c r="D144" s="361">
        <f>LN_ID1+LN_ID14</f>
        <v>281388190</v>
      </c>
      <c r="E144" s="361">
        <f>D144-C144</f>
        <v>52539764</v>
      </c>
      <c r="F144" s="362">
        <f>IF(C144=0,0,E144/C144)</f>
        <v>0.22958324388912335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619</v>
      </c>
      <c r="C145" s="361">
        <f>C119+C134</f>
        <v>55860939</v>
      </c>
      <c r="D145" s="361">
        <f>LN_1D2+LN_ID15</f>
        <v>59364198</v>
      </c>
      <c r="E145" s="361">
        <f>D145-C145</f>
        <v>3503259</v>
      </c>
      <c r="F145" s="362">
        <f>IF(C145=0,0,E145/C145)</f>
        <v>6.2713929674544144E-2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620</v>
      </c>
      <c r="C146" s="361">
        <f>C144-C145</f>
        <v>172987487</v>
      </c>
      <c r="D146" s="361">
        <f>LN_ID23-LN_ID24</f>
        <v>222023992</v>
      </c>
      <c r="E146" s="361">
        <f>D146-C146</f>
        <v>49036505</v>
      </c>
      <c r="F146" s="362">
        <f>IF(C146=0,0,E146/C146)</f>
        <v>0.28346850891012715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629</v>
      </c>
      <c r="C148" s="361">
        <f>C127+C141</f>
        <v>29535081.579777315</v>
      </c>
      <c r="D148" s="361">
        <f>LN_ID10+LN_ID22</f>
        <v>31787627.125901349</v>
      </c>
      <c r="E148" s="361">
        <f>D148-C148</f>
        <v>2252545.5461240336</v>
      </c>
      <c r="F148" s="415">
        <f>IF(C148=0,0,E148/C148)</f>
        <v>7.6266779221167036E-2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602</v>
      </c>
      <c r="C153" s="361">
        <v>25590134</v>
      </c>
      <c r="D153" s="361">
        <v>15148822</v>
      </c>
      <c r="E153" s="361">
        <f t="shared" ref="E153:E165" si="16">D153-C153</f>
        <v>-10441312</v>
      </c>
      <c r="F153" s="362">
        <f t="shared" ref="F153:F165" si="17">IF(C153=0,0,E153/C153)</f>
        <v>-0.40802099746722703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603</v>
      </c>
      <c r="C154" s="361">
        <v>3255582</v>
      </c>
      <c r="D154" s="361">
        <v>1559167</v>
      </c>
      <c r="E154" s="361">
        <f t="shared" si="16"/>
        <v>-1696415</v>
      </c>
      <c r="F154" s="362">
        <f t="shared" si="17"/>
        <v>-0.52107887314771983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604</v>
      </c>
      <c r="C155" s="366">
        <f>IF(C153=0,0,C154/C153)</f>
        <v>0.12722020134791009</v>
      </c>
      <c r="D155" s="366">
        <f>IF(LN_IE1=0,0,LN_IE2/LN_IE1)</f>
        <v>0.1029233164136459</v>
      </c>
      <c r="E155" s="367">
        <f t="shared" si="16"/>
        <v>-2.4296884934264198E-2</v>
      </c>
      <c r="F155" s="362">
        <f t="shared" si="17"/>
        <v>-0.19098291526688685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700</v>
      </c>
      <c r="D156" s="419">
        <v>406</v>
      </c>
      <c r="E156" s="419">
        <f t="shared" si="16"/>
        <v>-294</v>
      </c>
      <c r="F156" s="362">
        <f t="shared" si="17"/>
        <v>-0.42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605</v>
      </c>
      <c r="C157" s="372">
        <v>0.91473000000000004</v>
      </c>
      <c r="D157" s="372">
        <v>1.2374700000000001</v>
      </c>
      <c r="E157" s="373">
        <f t="shared" si="16"/>
        <v>0.32274000000000003</v>
      </c>
      <c r="F157" s="362">
        <f t="shared" si="17"/>
        <v>0.35282542389557575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606</v>
      </c>
      <c r="C158" s="376">
        <f>C156*C157</f>
        <v>640.31100000000004</v>
      </c>
      <c r="D158" s="376">
        <f>LN_IE4*LN_IE5</f>
        <v>502.41282000000001</v>
      </c>
      <c r="E158" s="376">
        <f t="shared" si="16"/>
        <v>-137.89818000000002</v>
      </c>
      <c r="F158" s="362">
        <f t="shared" si="17"/>
        <v>-0.21536125414056609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607</v>
      </c>
      <c r="C159" s="378">
        <f>IF(C158=0,0,C154/C158)</f>
        <v>5084.3761859471406</v>
      </c>
      <c r="D159" s="378">
        <f>IF(LN_IE6=0,0,LN_IE2/LN_IE6)</f>
        <v>3103.3583100049077</v>
      </c>
      <c r="E159" s="378">
        <f t="shared" si="16"/>
        <v>-1981.0178759422329</v>
      </c>
      <c r="F159" s="362">
        <f t="shared" si="17"/>
        <v>-0.38962850180473024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654</v>
      </c>
      <c r="C160" s="378">
        <f>C48-C159</f>
        <v>5087.5436760471812</v>
      </c>
      <c r="D160" s="378">
        <f>LN_IB7-LN_IE7</f>
        <v>8263.4450681058115</v>
      </c>
      <c r="E160" s="378">
        <f t="shared" si="16"/>
        <v>3175.9013920586303</v>
      </c>
      <c r="F160" s="362">
        <f t="shared" si="17"/>
        <v>0.62425044270601315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655</v>
      </c>
      <c r="C161" s="378">
        <f>C21-C159</f>
        <v>4791.95387374236</v>
      </c>
      <c r="D161" s="378">
        <f>LN_IA7-LN_IE7</f>
        <v>6352.8331619048076</v>
      </c>
      <c r="E161" s="378">
        <f t="shared" si="16"/>
        <v>1560.8792881624477</v>
      </c>
      <c r="F161" s="362">
        <f t="shared" si="17"/>
        <v>0.32572919716847187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624</v>
      </c>
      <c r="C162" s="391">
        <f>C161*C158</f>
        <v>3068340.7768498445</v>
      </c>
      <c r="D162" s="391">
        <f>LN_IE9*LN_IE6</f>
        <v>3191744.8238621112</v>
      </c>
      <c r="E162" s="391">
        <f t="shared" si="16"/>
        <v>123404.0470122667</v>
      </c>
      <c r="F162" s="362">
        <f t="shared" si="17"/>
        <v>4.0218494615503961E-2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4094</v>
      </c>
      <c r="D163" s="369">
        <v>2248</v>
      </c>
      <c r="E163" s="419">
        <f t="shared" si="16"/>
        <v>-1846</v>
      </c>
      <c r="F163" s="362">
        <f t="shared" si="17"/>
        <v>-0.45090376160234491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608</v>
      </c>
      <c r="C164" s="378">
        <f>IF(C163=0,0,C154/C163)</f>
        <v>795.20810942843184</v>
      </c>
      <c r="D164" s="378">
        <f>IF(LN_IE11=0,0,LN_IE2/LN_IE11)</f>
        <v>693.57962633451962</v>
      </c>
      <c r="E164" s="378">
        <f t="shared" si="16"/>
        <v>-101.62848309391222</v>
      </c>
      <c r="F164" s="362">
        <f t="shared" si="17"/>
        <v>-0.12780111506528682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609</v>
      </c>
      <c r="C165" s="379">
        <f>IF(C156=0,0,C163/C156)</f>
        <v>5.8485714285714288</v>
      </c>
      <c r="D165" s="379">
        <f>IF(LN_IE4=0,0,LN_IE11/LN_IE4)</f>
        <v>5.5369458128078817</v>
      </c>
      <c r="E165" s="379">
        <f t="shared" si="16"/>
        <v>-0.31162561576354708</v>
      </c>
      <c r="F165" s="362">
        <f t="shared" si="17"/>
        <v>-5.3282347590249864E-2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611</v>
      </c>
      <c r="C168" s="424">
        <v>23768204</v>
      </c>
      <c r="D168" s="424">
        <v>14853469</v>
      </c>
      <c r="E168" s="424">
        <f t="shared" ref="E168:E176" si="18">D168-C168</f>
        <v>-8914735</v>
      </c>
      <c r="F168" s="362">
        <f t="shared" ref="F168:F176" si="19">IF(C168=0,0,E168/C168)</f>
        <v>-0.37506977809513919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612</v>
      </c>
      <c r="C169" s="424">
        <v>2985307</v>
      </c>
      <c r="D169" s="424">
        <v>1456241</v>
      </c>
      <c r="E169" s="424">
        <f t="shared" si="18"/>
        <v>-1529066</v>
      </c>
      <c r="F169" s="362">
        <f t="shared" si="19"/>
        <v>-0.51219723800600747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613</v>
      </c>
      <c r="C170" s="366">
        <f>IF(C168=0,0,C169/C168)</f>
        <v>0.12560086576167051</v>
      </c>
      <c r="D170" s="366">
        <f>IF(LN_IE14=0,0,LN_IE15/LN_IE14)</f>
        <v>9.8040464486780832E-2</v>
      </c>
      <c r="E170" s="367">
        <f t="shared" si="18"/>
        <v>-2.7560401274889679E-2</v>
      </c>
      <c r="F170" s="362">
        <f t="shared" si="19"/>
        <v>-0.21942843393441208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614</v>
      </c>
      <c r="C171" s="366">
        <f>IF(C153=0,0,C168/C153)</f>
        <v>0.92880342088087542</v>
      </c>
      <c r="D171" s="366">
        <f>IF(LN_IE1=0,0,LN_IE14/LN_IE1)</f>
        <v>0.98050323648927951</v>
      </c>
      <c r="E171" s="367">
        <f t="shared" si="18"/>
        <v>5.1699815608404087E-2</v>
      </c>
      <c r="F171" s="362">
        <f t="shared" si="19"/>
        <v>5.5662817821420255E-2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615</v>
      </c>
      <c r="C172" s="376">
        <f>C171*C156</f>
        <v>650.1623946166128</v>
      </c>
      <c r="D172" s="376">
        <f>LN_IE17*LN_IE4</f>
        <v>398.08431401464748</v>
      </c>
      <c r="E172" s="376">
        <f t="shared" si="18"/>
        <v>-252.07808060196533</v>
      </c>
      <c r="F172" s="362">
        <f t="shared" si="19"/>
        <v>-0.38771556566357629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616</v>
      </c>
      <c r="C173" s="378">
        <f>IF(C172=0,0,C169/C172)</f>
        <v>4591.6328362245149</v>
      </c>
      <c r="D173" s="378">
        <f>IF(LN_IE18=0,0,LN_IE15/LN_IE18)</f>
        <v>3658.1220327772517</v>
      </c>
      <c r="E173" s="378">
        <f t="shared" si="18"/>
        <v>-933.51080344726324</v>
      </c>
      <c r="F173" s="362">
        <f t="shared" si="19"/>
        <v>-0.20330693606042891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657</v>
      </c>
      <c r="C174" s="378">
        <f>C61-C173</f>
        <v>4244.1543866208667</v>
      </c>
      <c r="D174" s="378">
        <f>LN_IB18-LN_IE19</f>
        <v>6083.3499696150975</v>
      </c>
      <c r="E174" s="378">
        <f t="shared" si="18"/>
        <v>1839.1955829942308</v>
      </c>
      <c r="F174" s="362">
        <f t="shared" si="19"/>
        <v>0.43334794530379261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658</v>
      </c>
      <c r="C175" s="378">
        <f>C32-C173</f>
        <v>5383.2372710120944</v>
      </c>
      <c r="D175" s="378">
        <f>LN_IA16-LN_IE19</f>
        <v>5538.5690845904046</v>
      </c>
      <c r="E175" s="378">
        <f t="shared" si="18"/>
        <v>155.33181357831018</v>
      </c>
      <c r="F175" s="362">
        <f t="shared" si="19"/>
        <v>2.8854721751676846E-2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627</v>
      </c>
      <c r="C176" s="353">
        <f>C175*C172</f>
        <v>3499978.4349106234</v>
      </c>
      <c r="D176" s="353">
        <f>LN_IE21*LN_IE18</f>
        <v>2204817.4746619053</v>
      </c>
      <c r="E176" s="353">
        <f t="shared" si="18"/>
        <v>-1295160.960248718</v>
      </c>
      <c r="F176" s="362">
        <f t="shared" si="19"/>
        <v>-0.3700482686779159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618</v>
      </c>
      <c r="C179" s="361">
        <f>C153+C168</f>
        <v>49358338</v>
      </c>
      <c r="D179" s="361">
        <f>LN_IE1+LN_IE14</f>
        <v>30002291</v>
      </c>
      <c r="E179" s="361">
        <f>D179-C179</f>
        <v>-19356047</v>
      </c>
      <c r="F179" s="362">
        <f>IF(C179=0,0,E179/C179)</f>
        <v>-0.39215354050211332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619</v>
      </c>
      <c r="C180" s="361">
        <f>C154+C169</f>
        <v>6240889</v>
      </c>
      <c r="D180" s="361">
        <f>LN_IE15+LN_IE2</f>
        <v>3015408</v>
      </c>
      <c r="E180" s="361">
        <f>D180-C180</f>
        <v>-3225481</v>
      </c>
      <c r="F180" s="362">
        <f>IF(C180=0,0,E180/C180)</f>
        <v>-0.51683037464694537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620</v>
      </c>
      <c r="C181" s="361">
        <f>C179-C180</f>
        <v>43117449</v>
      </c>
      <c r="D181" s="361">
        <f>LN_IE23-LN_IE24</f>
        <v>26986883</v>
      </c>
      <c r="E181" s="361">
        <f>D181-C181</f>
        <v>-16130566</v>
      </c>
      <c r="F181" s="362">
        <f>IF(C181=0,0,E181/C181)</f>
        <v>-0.37410761476171744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660</v>
      </c>
      <c r="C183" s="361">
        <f>C162+C176</f>
        <v>6568319.2117604678</v>
      </c>
      <c r="D183" s="361">
        <f>LN_IE10+LN_IE22</f>
        <v>5396562.2985240165</v>
      </c>
      <c r="E183" s="353">
        <f>D183-C183</f>
        <v>-1171756.9132364513</v>
      </c>
      <c r="F183" s="362">
        <f>IF(C183=0,0,E183/C183)</f>
        <v>-0.17839524472842913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602</v>
      </c>
      <c r="C188" s="361">
        <f>C118+C153</f>
        <v>154644975</v>
      </c>
      <c r="D188" s="361">
        <f>LN_ID1+LN_IE1</f>
        <v>167089269</v>
      </c>
      <c r="E188" s="361">
        <f t="shared" ref="E188:E200" si="20">D188-C188</f>
        <v>12444294</v>
      </c>
      <c r="F188" s="362">
        <f t="shared" ref="F188:F200" si="21">IF(C188=0,0,E188/C188)</f>
        <v>8.0470083169530721E-2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603</v>
      </c>
      <c r="C189" s="361">
        <f>C119+C154</f>
        <v>37120678</v>
      </c>
      <c r="D189" s="361">
        <f>LN_1D2+LN_IE2</f>
        <v>38310047</v>
      </c>
      <c r="E189" s="361">
        <f t="shared" si="20"/>
        <v>1189369</v>
      </c>
      <c r="F189" s="362">
        <f t="shared" si="21"/>
        <v>3.2040605508336893E-2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604</v>
      </c>
      <c r="C190" s="366">
        <f>IF(C188=0,0,C189/C188)</f>
        <v>0.24003804843965992</v>
      </c>
      <c r="D190" s="366">
        <f>IF(LN_IF1=0,0,LN_IF2/LN_IF1)</f>
        <v>0.22927891916266627</v>
      </c>
      <c r="E190" s="367">
        <f t="shared" si="20"/>
        <v>-1.0759129276993656E-2</v>
      </c>
      <c r="F190" s="362">
        <f t="shared" si="21"/>
        <v>-4.482259936261003E-2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5662</v>
      </c>
      <c r="D191" s="369">
        <f>LN_ID4+LN_IE4</f>
        <v>5672</v>
      </c>
      <c r="E191" s="369">
        <f t="shared" si="20"/>
        <v>10</v>
      </c>
      <c r="F191" s="362">
        <f t="shared" si="21"/>
        <v>1.7661603673613563E-3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605</v>
      </c>
      <c r="C192" s="372">
        <f>IF((C121+C156)=0,0,(C123+C158)/(C121+C156))</f>
        <v>0.95577911338749555</v>
      </c>
      <c r="D192" s="372">
        <f>IF((LN_ID4+LN_IE4)=0,0,(LN_ID6+LN_IE6)/(LN_ID4+LN_IE4))</f>
        <v>1.0187713117066293</v>
      </c>
      <c r="E192" s="373">
        <f t="shared" si="20"/>
        <v>6.2992198319133719E-2</v>
      </c>
      <c r="F192" s="362">
        <f t="shared" si="21"/>
        <v>6.5906648761004244E-2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606</v>
      </c>
      <c r="C193" s="376">
        <f>C123+C158</f>
        <v>5411.6213399999997</v>
      </c>
      <c r="D193" s="376">
        <f>LN_IF4*LN_IF5</f>
        <v>5778.4708800000008</v>
      </c>
      <c r="E193" s="376">
        <f t="shared" si="20"/>
        <v>366.84954000000107</v>
      </c>
      <c r="F193" s="362">
        <f t="shared" si="21"/>
        <v>6.7789210839352826E-2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607</v>
      </c>
      <c r="C194" s="378">
        <f>IF(C193=0,0,C189/C193)</f>
        <v>6859.4374343272148</v>
      </c>
      <c r="D194" s="378">
        <f>IF(LN_IF6=0,0,LN_IF2/LN_IF6)</f>
        <v>6629.7897481141226</v>
      </c>
      <c r="E194" s="378">
        <f t="shared" si="20"/>
        <v>-229.64768621309213</v>
      </c>
      <c r="F194" s="362">
        <f t="shared" si="21"/>
        <v>-3.347908460595448E-2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663</v>
      </c>
      <c r="C195" s="378">
        <f>C48-C194</f>
        <v>3312.482427667107</v>
      </c>
      <c r="D195" s="378">
        <f>LN_IB7-LN_IF7</f>
        <v>4737.0136299965961</v>
      </c>
      <c r="E195" s="378">
        <f t="shared" si="20"/>
        <v>1424.5312023294891</v>
      </c>
      <c r="F195" s="362">
        <f t="shared" si="21"/>
        <v>0.43004943677021962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664</v>
      </c>
      <c r="C196" s="378">
        <f>C21-C194</f>
        <v>3016.8926253622858</v>
      </c>
      <c r="D196" s="378">
        <f>LN_IA7-LN_IF7</f>
        <v>2826.4017237955923</v>
      </c>
      <c r="E196" s="378">
        <f t="shared" si="20"/>
        <v>-190.49090156669354</v>
      </c>
      <c r="F196" s="362">
        <f t="shared" si="21"/>
        <v>-6.3141425705801613E-2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624</v>
      </c>
      <c r="C197" s="391">
        <f>C127+C162</f>
        <v>16326280.511899173</v>
      </c>
      <c r="D197" s="391">
        <f>LN_IF9*LN_IF6</f>
        <v>16332280.056134636</v>
      </c>
      <c r="E197" s="391">
        <f t="shared" si="20"/>
        <v>5999.5442354623228</v>
      </c>
      <c r="F197" s="362">
        <f t="shared" si="21"/>
        <v>3.6747771368314064E-4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26585</v>
      </c>
      <c r="D198" s="369">
        <f>LN_ID11+LN_IE11</f>
        <v>27401</v>
      </c>
      <c r="E198" s="369">
        <f t="shared" si="20"/>
        <v>816</v>
      </c>
      <c r="F198" s="362">
        <f t="shared" si="21"/>
        <v>3.0694000376151966E-2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608</v>
      </c>
      <c r="C199" s="432">
        <f>IF(C198=0,0,C189/C198)</f>
        <v>1396.3015986458529</v>
      </c>
      <c r="D199" s="432">
        <f>IF(LN_IF11=0,0,LN_IF2/LN_IF11)</f>
        <v>1398.125871318565</v>
      </c>
      <c r="E199" s="432">
        <f t="shared" si="20"/>
        <v>1.8242726727121408</v>
      </c>
      <c r="F199" s="362">
        <f t="shared" si="21"/>
        <v>1.3065033188254876E-3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609</v>
      </c>
      <c r="C200" s="379">
        <f>IF(C191=0,0,C198/C191)</f>
        <v>4.6953373366301658</v>
      </c>
      <c r="D200" s="379">
        <f>IF(LN_IF4=0,0,LN_IF11/LN_IF4)</f>
        <v>4.8309238363892808</v>
      </c>
      <c r="E200" s="379">
        <f t="shared" si="20"/>
        <v>0.13558649975911496</v>
      </c>
      <c r="F200" s="362">
        <f t="shared" si="21"/>
        <v>2.8876838880425387E-2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611</v>
      </c>
      <c r="C203" s="361">
        <f>C133+C168</f>
        <v>123561789</v>
      </c>
      <c r="D203" s="361">
        <f>LN_ID14+LN_IE14</f>
        <v>144301212</v>
      </c>
      <c r="E203" s="361">
        <f t="shared" ref="E203:E211" si="22">D203-C203</f>
        <v>20739423</v>
      </c>
      <c r="F203" s="362">
        <f t="shared" ref="F203:F211" si="23">IF(C203=0,0,E203/C203)</f>
        <v>0.1678465743159481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612</v>
      </c>
      <c r="C204" s="361">
        <f>C134+C169</f>
        <v>24981150</v>
      </c>
      <c r="D204" s="361">
        <f>LN_ID15+LN_IE15</f>
        <v>24069559</v>
      </c>
      <c r="E204" s="361">
        <f t="shared" si="22"/>
        <v>-911591</v>
      </c>
      <c r="F204" s="362">
        <f t="shared" si="23"/>
        <v>-3.6491154330365094E-2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613</v>
      </c>
      <c r="C205" s="366">
        <f>IF(C203=0,0,C204/C203)</f>
        <v>0.20217536669042563</v>
      </c>
      <c r="D205" s="366">
        <f>IF(LN_IF14=0,0,LN_IF15/LN_IF14)</f>
        <v>0.166800809684121</v>
      </c>
      <c r="E205" s="367">
        <f t="shared" si="22"/>
        <v>-3.5374557006304624E-2</v>
      </c>
      <c r="F205" s="362">
        <f t="shared" si="23"/>
        <v>-0.17496966908174699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614</v>
      </c>
      <c r="C206" s="366">
        <f>IF(C188=0,0,C203/C188)</f>
        <v>0.79900293559490054</v>
      </c>
      <c r="D206" s="366">
        <f>IF(LN_IF1=0,0,LN_IF14/LN_IF1)</f>
        <v>0.8636174714487499</v>
      </c>
      <c r="E206" s="367">
        <f t="shared" si="22"/>
        <v>6.4614535853849353E-2</v>
      </c>
      <c r="F206" s="362">
        <f t="shared" si="23"/>
        <v>8.0868959268266469E-2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615</v>
      </c>
      <c r="C207" s="376">
        <f>C137+C172</f>
        <v>4487.1030698602481</v>
      </c>
      <c r="D207" s="376">
        <f>LN_ID18+LN_IE18</f>
        <v>4884.5250748345761</v>
      </c>
      <c r="E207" s="376">
        <f t="shared" si="22"/>
        <v>397.42200497432805</v>
      </c>
      <c r="F207" s="362">
        <f t="shared" si="23"/>
        <v>8.8569840894407142E-2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616</v>
      </c>
      <c r="C208" s="378">
        <f>IF(C207=0,0,C204/C207)</f>
        <v>5567.322526598</v>
      </c>
      <c r="D208" s="378">
        <f>IF(LN_IF18=0,0,LN_IF15/LN_IF18)</f>
        <v>4927.7173586451827</v>
      </c>
      <c r="E208" s="378">
        <f t="shared" si="22"/>
        <v>-639.60516795281728</v>
      </c>
      <c r="F208" s="362">
        <f t="shared" si="23"/>
        <v>-0.11488559624435089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666</v>
      </c>
      <c r="C209" s="378">
        <f>C61-C208</f>
        <v>3268.4646962473817</v>
      </c>
      <c r="D209" s="378">
        <f>LN_IB18-LN_IF19</f>
        <v>4813.7546437471665</v>
      </c>
      <c r="E209" s="378">
        <f t="shared" si="22"/>
        <v>1545.2899474997848</v>
      </c>
      <c r="F209" s="362">
        <f t="shared" si="23"/>
        <v>0.47278771261442004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667</v>
      </c>
      <c r="C210" s="378">
        <f>C32-C208</f>
        <v>4407.5475806386094</v>
      </c>
      <c r="D210" s="378">
        <f>LN_IA16-LN_IF19</f>
        <v>4268.9737587224736</v>
      </c>
      <c r="E210" s="378">
        <f t="shared" si="22"/>
        <v>-138.57382191613578</v>
      </c>
      <c r="F210" s="362">
        <f t="shared" si="23"/>
        <v>-3.1440119336399272E-2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627</v>
      </c>
      <c r="C211" s="391">
        <f>C141+C176</f>
        <v>19777120.279638611</v>
      </c>
      <c r="D211" s="353">
        <f>LN_IF21*LN_IF18</f>
        <v>20851909.368290734</v>
      </c>
      <c r="E211" s="353">
        <f t="shared" si="22"/>
        <v>1074789.0886521228</v>
      </c>
      <c r="F211" s="362">
        <f t="shared" si="23"/>
        <v>5.4345075190682032E-2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618</v>
      </c>
      <c r="C214" s="361">
        <f>C188+C203</f>
        <v>278206764</v>
      </c>
      <c r="D214" s="361">
        <f>LN_IF1+LN_IF14</f>
        <v>311390481</v>
      </c>
      <c r="E214" s="361">
        <f>D214-C214</f>
        <v>33183717</v>
      </c>
      <c r="F214" s="362">
        <f>IF(C214=0,0,E214/C214)</f>
        <v>0.11927717544638849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619</v>
      </c>
      <c r="C215" s="361">
        <f>C189+C204</f>
        <v>62101828</v>
      </c>
      <c r="D215" s="361">
        <f>LN_IF2+LN_IF15</f>
        <v>62379606</v>
      </c>
      <c r="E215" s="361">
        <f>D215-C215</f>
        <v>277778</v>
      </c>
      <c r="F215" s="362">
        <f>IF(C215=0,0,E215/C215)</f>
        <v>4.4729440170424616E-3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620</v>
      </c>
      <c r="C216" s="361">
        <f>C214-C215</f>
        <v>216104936</v>
      </c>
      <c r="D216" s="361">
        <f>LN_IF23-LN_IF24</f>
        <v>249010875</v>
      </c>
      <c r="E216" s="361">
        <f>D216-C216</f>
        <v>32905939</v>
      </c>
      <c r="F216" s="362">
        <f>IF(C216=0,0,E216/C216)</f>
        <v>0.15226833597174291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602</v>
      </c>
      <c r="C221" s="361">
        <v>1196962</v>
      </c>
      <c r="D221" s="361">
        <v>780040</v>
      </c>
      <c r="E221" s="361">
        <f t="shared" ref="E221:E230" si="24">D221-C221</f>
        <v>-416922</v>
      </c>
      <c r="F221" s="362">
        <f t="shared" ref="F221:F230" si="25">IF(C221=0,0,E221/C221)</f>
        <v>-0.34831682208791925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603</v>
      </c>
      <c r="C222" s="361">
        <v>347123</v>
      </c>
      <c r="D222" s="361">
        <v>83456</v>
      </c>
      <c r="E222" s="361">
        <f t="shared" si="24"/>
        <v>-263667</v>
      </c>
      <c r="F222" s="362">
        <f t="shared" si="25"/>
        <v>-0.75957801701414196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604</v>
      </c>
      <c r="C223" s="366">
        <f>IF(C221=0,0,C222/C221)</f>
        <v>0.29000335850260911</v>
      </c>
      <c r="D223" s="366">
        <f>IF(LN_IG1=0,0,LN_IG2/LN_IG1)</f>
        <v>0.1069893851597354</v>
      </c>
      <c r="E223" s="367">
        <f t="shared" si="24"/>
        <v>-0.18301397334287373</v>
      </c>
      <c r="F223" s="362">
        <f t="shared" si="25"/>
        <v>-0.63107535818840244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23</v>
      </c>
      <c r="D224" s="369">
        <v>28</v>
      </c>
      <c r="E224" s="369">
        <f t="shared" si="24"/>
        <v>5</v>
      </c>
      <c r="F224" s="362">
        <f t="shared" si="25"/>
        <v>0.21739130434782608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605</v>
      </c>
      <c r="C225" s="372">
        <v>1.4279599999999999</v>
      </c>
      <c r="D225" s="372">
        <v>1.0464</v>
      </c>
      <c r="E225" s="373">
        <f t="shared" si="24"/>
        <v>-0.3815599999999999</v>
      </c>
      <c r="F225" s="362">
        <f t="shared" si="25"/>
        <v>-0.26720636432393058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606</v>
      </c>
      <c r="C226" s="376">
        <f>C224*C225</f>
        <v>32.84308</v>
      </c>
      <c r="D226" s="376">
        <f>LN_IG3*LN_IG4</f>
        <v>29.299199999999999</v>
      </c>
      <c r="E226" s="376">
        <f t="shared" si="24"/>
        <v>-3.5438800000000015</v>
      </c>
      <c r="F226" s="362">
        <f t="shared" si="25"/>
        <v>-0.10790340004652431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607</v>
      </c>
      <c r="C227" s="378">
        <f>IF(C226=0,0,C222/C226)</f>
        <v>10569.136633957594</v>
      </c>
      <c r="D227" s="378">
        <f>IF(LN_IG5=0,0,LN_IG2/LN_IG5)</f>
        <v>2848.4054172127567</v>
      </c>
      <c r="E227" s="378">
        <f t="shared" si="24"/>
        <v>-7720.7312167448381</v>
      </c>
      <c r="F227" s="362">
        <f t="shared" si="25"/>
        <v>-0.73049781492453125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161</v>
      </c>
      <c r="D228" s="369">
        <v>116</v>
      </c>
      <c r="E228" s="369">
        <f t="shared" si="24"/>
        <v>-45</v>
      </c>
      <c r="F228" s="362">
        <f t="shared" si="25"/>
        <v>-0.27950310559006208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608</v>
      </c>
      <c r="C229" s="378">
        <f>IF(C228=0,0,C222/C228)</f>
        <v>2156.0434782608695</v>
      </c>
      <c r="D229" s="378">
        <f>IF(LN_IG6=0,0,LN_IG2/LN_IG6)</f>
        <v>719.44827586206895</v>
      </c>
      <c r="E229" s="378">
        <f t="shared" si="24"/>
        <v>-1436.5952023988007</v>
      </c>
      <c r="F229" s="362">
        <f t="shared" si="25"/>
        <v>-0.6663108684420419</v>
      </c>
      <c r="Q229" s="330"/>
      <c r="U229" s="375"/>
    </row>
    <row r="230" spans="1:21" ht="11.25" customHeight="1" x14ac:dyDescent="0.2">
      <c r="A230" s="364">
        <v>10</v>
      </c>
      <c r="B230" s="360" t="s">
        <v>609</v>
      </c>
      <c r="C230" s="379">
        <f>IF(C224=0,0,C228/C224)</f>
        <v>7</v>
      </c>
      <c r="D230" s="379">
        <f>IF(LN_IG3=0,0,LN_IG6/LN_IG3)</f>
        <v>4.1428571428571432</v>
      </c>
      <c r="E230" s="379">
        <f t="shared" si="24"/>
        <v>-2.8571428571428568</v>
      </c>
      <c r="F230" s="362">
        <f t="shared" si="25"/>
        <v>-0.4081632653061224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611</v>
      </c>
      <c r="C233" s="361">
        <v>495806</v>
      </c>
      <c r="D233" s="361">
        <v>680630</v>
      </c>
      <c r="E233" s="361">
        <f>D233-C233</f>
        <v>184824</v>
      </c>
      <c r="F233" s="362">
        <f>IF(C233=0,0,E233/C233)</f>
        <v>0.37277483531865285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612</v>
      </c>
      <c r="C234" s="361">
        <v>131600</v>
      </c>
      <c r="D234" s="361">
        <v>169111</v>
      </c>
      <c r="E234" s="361">
        <f>D234-C234</f>
        <v>37511</v>
      </c>
      <c r="F234" s="362">
        <f>IF(C234=0,0,E234/C234)</f>
        <v>0.28503799392097262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618</v>
      </c>
      <c r="C237" s="361">
        <f>C221+C233</f>
        <v>1692768</v>
      </c>
      <c r="D237" s="361">
        <f>LN_IG1+LN_IG9</f>
        <v>1460670</v>
      </c>
      <c r="E237" s="361">
        <f>D237-C237</f>
        <v>-232098</v>
      </c>
      <c r="F237" s="362">
        <f>IF(C237=0,0,E237/C237)</f>
        <v>-0.13711152384733172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619</v>
      </c>
      <c r="C238" s="361">
        <f>C222+C234</f>
        <v>478723</v>
      </c>
      <c r="D238" s="361">
        <f>LN_IG2+LN_IG10</f>
        <v>252567</v>
      </c>
      <c r="E238" s="361">
        <f>D238-C238</f>
        <v>-226156</v>
      </c>
      <c r="F238" s="362">
        <f>IF(C238=0,0,E238/C238)</f>
        <v>-0.47241515448390825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620</v>
      </c>
      <c r="C239" s="361">
        <f>C237-C238</f>
        <v>1214045</v>
      </c>
      <c r="D239" s="361">
        <f>LN_IG13-LN_IG14</f>
        <v>1208103</v>
      </c>
      <c r="E239" s="361">
        <f>D239-C239</f>
        <v>-5942</v>
      </c>
      <c r="F239" s="362">
        <f>IF(C239=0,0,E239/C239)</f>
        <v>-4.8943820039619619E-3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674</v>
      </c>
      <c r="C243" s="361">
        <v>6491465</v>
      </c>
      <c r="D243" s="361">
        <v>5828673</v>
      </c>
      <c r="E243" s="353">
        <f>D243-C243</f>
        <v>-662792</v>
      </c>
      <c r="F243" s="415">
        <f>IF(C243=0,0,E243/C243)</f>
        <v>-0.10210206786911737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675</v>
      </c>
      <c r="C244" s="361">
        <v>351055000</v>
      </c>
      <c r="D244" s="361">
        <v>350215000</v>
      </c>
      <c r="E244" s="353">
        <f>D244-C244</f>
        <v>-840000</v>
      </c>
      <c r="F244" s="415">
        <f>IF(C244=0,0,E244/C244)</f>
        <v>-2.3927874549572003E-3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676</v>
      </c>
      <c r="C245" s="400">
        <v>3383714</v>
      </c>
      <c r="D245" s="400">
        <v>2988794</v>
      </c>
      <c r="E245" s="400">
        <f>D245-C245</f>
        <v>-394920</v>
      </c>
      <c r="F245" s="401">
        <f>IF(C245=0,0,E245/C245)</f>
        <v>-0.11671199161631272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678</v>
      </c>
      <c r="C248" s="353">
        <v>15999852</v>
      </c>
      <c r="D248" s="353">
        <v>12024692</v>
      </c>
      <c r="E248" s="353">
        <f>D248-C248</f>
        <v>-3975160</v>
      </c>
      <c r="F248" s="362">
        <f>IF(C248=0,0,E248/C248)</f>
        <v>-0.24844979816063298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679</v>
      </c>
      <c r="C249" s="353">
        <v>32293223</v>
      </c>
      <c r="D249" s="353">
        <v>25581567</v>
      </c>
      <c r="E249" s="353">
        <f>D249-C249</f>
        <v>-6711656</v>
      </c>
      <c r="F249" s="362">
        <f>IF(C249=0,0,E249/C249)</f>
        <v>-0.20783481413422253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680</v>
      </c>
      <c r="C250" s="353">
        <f>C248+C249</f>
        <v>48293075</v>
      </c>
      <c r="D250" s="353">
        <f>LN_IH4+LN_IH5</f>
        <v>37606259</v>
      </c>
      <c r="E250" s="353">
        <f>D250-C250</f>
        <v>-10686816</v>
      </c>
      <c r="F250" s="362">
        <f>IF(C250=0,0,E250/C250)</f>
        <v>-0.22129085795427192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681</v>
      </c>
      <c r="C251" s="353">
        <f>C250*C313</f>
        <v>15419996.591193657</v>
      </c>
      <c r="D251" s="353">
        <f>LN_IH6*LN_III10</f>
        <v>11080019.186591212</v>
      </c>
      <c r="E251" s="353">
        <f>D251-C251</f>
        <v>-4339977.4046024457</v>
      </c>
      <c r="F251" s="362">
        <f>IF(C251=0,0,E251/C251)</f>
        <v>-0.2814512557727154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618</v>
      </c>
      <c r="C254" s="353">
        <f>C188+C203</f>
        <v>278206764</v>
      </c>
      <c r="D254" s="353">
        <f>LN_IF23</f>
        <v>311390481</v>
      </c>
      <c r="E254" s="353">
        <f>D254-C254</f>
        <v>33183717</v>
      </c>
      <c r="F254" s="362">
        <f>IF(C254=0,0,E254/C254)</f>
        <v>0.11927717544638849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619</v>
      </c>
      <c r="C255" s="353">
        <f>C189+C204</f>
        <v>62101828</v>
      </c>
      <c r="D255" s="353">
        <f>LN_IF24</f>
        <v>62379606</v>
      </c>
      <c r="E255" s="353">
        <f>D255-C255</f>
        <v>277778</v>
      </c>
      <c r="F255" s="362">
        <f>IF(C255=0,0,E255/C255)</f>
        <v>4.4729440170424616E-3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683</v>
      </c>
      <c r="C256" s="353">
        <f>C254*C313</f>
        <v>88831521.963076875</v>
      </c>
      <c r="D256" s="353">
        <f>LN_IH8*LN_III10</f>
        <v>91745698.608358413</v>
      </c>
      <c r="E256" s="353">
        <f>D256-C256</f>
        <v>2914176.6452815384</v>
      </c>
      <c r="F256" s="362">
        <f>IF(C256=0,0,E256/C256)</f>
        <v>3.2805659307433975E-2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684</v>
      </c>
      <c r="C257" s="353">
        <f>C256-C255</f>
        <v>26729693.963076875</v>
      </c>
      <c r="D257" s="353">
        <f>LN_IH10-LN_IH9</f>
        <v>29366092.608358413</v>
      </c>
      <c r="E257" s="353">
        <f>D257-C257</f>
        <v>2636398.6452815384</v>
      </c>
      <c r="F257" s="362">
        <f>IF(C257=0,0,E257/C257)</f>
        <v>9.863183053735422E-2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687</v>
      </c>
      <c r="C261" s="361">
        <f>C15+C42+C188+C221</f>
        <v>686097894</v>
      </c>
      <c r="D261" s="361">
        <f>LN_IA1+LN_IB1+LN_IF1+LN_IG1</f>
        <v>711617325</v>
      </c>
      <c r="E261" s="361">
        <f t="shared" ref="E261:E274" si="26">D261-C261</f>
        <v>25519431</v>
      </c>
      <c r="F261" s="415">
        <f t="shared" ref="F261:F274" si="27">IF(C261=0,0,E261/C261)</f>
        <v>3.7195028906472638E-2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688</v>
      </c>
      <c r="C262" s="361">
        <f>C16+C43+C189+C222</f>
        <v>233913540</v>
      </c>
      <c r="D262" s="361">
        <f>+LN_IA2+LN_IB2+LN_IF2+LN_IG2</f>
        <v>233570834</v>
      </c>
      <c r="E262" s="361">
        <f t="shared" si="26"/>
        <v>-342706</v>
      </c>
      <c r="F262" s="415">
        <f t="shared" si="27"/>
        <v>-1.465096890073144E-3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689</v>
      </c>
      <c r="C263" s="366">
        <f>IF(C261=0,0,C262/C261)</f>
        <v>0.34093318467466394</v>
      </c>
      <c r="D263" s="366">
        <f>IF(LN_IIA1=0,0,LN_IIA2/LN_IIA1)</f>
        <v>0.32822533374942775</v>
      </c>
      <c r="E263" s="367">
        <f t="shared" si="26"/>
        <v>-1.2707850925236186E-2</v>
      </c>
      <c r="F263" s="371">
        <f t="shared" si="27"/>
        <v>-3.7273728391569373E-2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690</v>
      </c>
      <c r="C264" s="369">
        <f>C18+C45+C191+C224</f>
        <v>19808</v>
      </c>
      <c r="D264" s="369">
        <f>LN_IA4+LN_IB4+LN_IF4+LN_IG3</f>
        <v>19044</v>
      </c>
      <c r="E264" s="369">
        <f t="shared" si="26"/>
        <v>-764</v>
      </c>
      <c r="F264" s="415">
        <f t="shared" si="27"/>
        <v>-3.8570274636510499E-2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691</v>
      </c>
      <c r="C265" s="439">
        <f>IF(C264=0,0,C266/C264)</f>
        <v>1.2669748980210016</v>
      </c>
      <c r="D265" s="439">
        <f>IF(LN_IIA4=0,0,LN_IIA6/LN_IIA4)</f>
        <v>1.3083808926696074</v>
      </c>
      <c r="E265" s="439">
        <f t="shared" si="26"/>
        <v>4.1405994648605837E-2</v>
      </c>
      <c r="F265" s="415">
        <f t="shared" si="27"/>
        <v>3.2680990533657348E-2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692</v>
      </c>
      <c r="C266" s="376">
        <f>C20+C47+C193+C226</f>
        <v>25096.23878</v>
      </c>
      <c r="D266" s="376">
        <f>LN_IA6+LN_IB6+LN_IF6+LN_IG5</f>
        <v>24916.805720000004</v>
      </c>
      <c r="E266" s="376">
        <f t="shared" si="26"/>
        <v>-179.43305999999575</v>
      </c>
      <c r="F266" s="415">
        <f t="shared" si="27"/>
        <v>-7.1497988831295198E-3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693</v>
      </c>
      <c r="C267" s="361">
        <f>C27+C56+C203+C233</f>
        <v>419436609</v>
      </c>
      <c r="D267" s="361">
        <f>LN_IA11+LN_IB13+LN_IF14+LN_IG9</f>
        <v>473972371</v>
      </c>
      <c r="E267" s="361">
        <f t="shared" si="26"/>
        <v>54535762</v>
      </c>
      <c r="F267" s="415">
        <f t="shared" si="27"/>
        <v>0.13002146410162305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614</v>
      </c>
      <c r="C268" s="366">
        <f>IF(C261=0,0,C267/C261)</f>
        <v>0.61133638897308729</v>
      </c>
      <c r="D268" s="366">
        <f>IF(LN_IIA1=0,0,LN_IIA7/LN_IIA1)</f>
        <v>0.66604951052871009</v>
      </c>
      <c r="E268" s="367">
        <f t="shared" si="26"/>
        <v>5.4713121555622801E-2</v>
      </c>
      <c r="F268" s="371">
        <f t="shared" si="27"/>
        <v>8.9497570474299751E-2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694</v>
      </c>
      <c r="C269" s="361">
        <f>C28+C57+C204+C234</f>
        <v>106009829</v>
      </c>
      <c r="D269" s="361">
        <f>LN_IA12+LN_IB14+LN_IF15+LN_IG10</f>
        <v>112780174</v>
      </c>
      <c r="E269" s="361">
        <f t="shared" si="26"/>
        <v>6770345</v>
      </c>
      <c r="F269" s="415">
        <f t="shared" si="27"/>
        <v>6.3865257248929247E-2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613</v>
      </c>
      <c r="C270" s="366">
        <f>IF(C267=0,0,C269/C267)</f>
        <v>0.25274338654592737</v>
      </c>
      <c r="D270" s="366">
        <f>IF(LN_IIA7=0,0,LN_IIA9/LN_IIA7)</f>
        <v>0.23794672622383722</v>
      </c>
      <c r="E270" s="367">
        <f t="shared" si="26"/>
        <v>-1.4796660322090149E-2</v>
      </c>
      <c r="F270" s="371">
        <f t="shared" si="27"/>
        <v>-5.8544203764561681E-2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695</v>
      </c>
      <c r="C271" s="353">
        <f>C261+C267</f>
        <v>1105534503</v>
      </c>
      <c r="D271" s="353">
        <f>LN_IIA1+LN_IIA7</f>
        <v>1185589696</v>
      </c>
      <c r="E271" s="353">
        <f t="shared" si="26"/>
        <v>80055193</v>
      </c>
      <c r="F271" s="415">
        <f t="shared" si="27"/>
        <v>7.2413111289390486E-2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696</v>
      </c>
      <c r="C272" s="353">
        <f>C262+C269</f>
        <v>339923369</v>
      </c>
      <c r="D272" s="353">
        <f>LN_IIA2+LN_IIA9</f>
        <v>346351008</v>
      </c>
      <c r="E272" s="353">
        <f t="shared" si="26"/>
        <v>6427639</v>
      </c>
      <c r="F272" s="415">
        <f t="shared" si="27"/>
        <v>1.8909082417337422E-2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697</v>
      </c>
      <c r="C273" s="366">
        <f>IF(C271=0,0,C272/C271)</f>
        <v>0.30747422905171873</v>
      </c>
      <c r="D273" s="366">
        <f>IF(LN_IIA11=0,0,LN_IIA12/LN_IIA11)</f>
        <v>0.29213395592803804</v>
      </c>
      <c r="E273" s="367">
        <f t="shared" si="26"/>
        <v>-1.5340273123680692E-2</v>
      </c>
      <c r="F273" s="371">
        <f t="shared" si="27"/>
        <v>-4.9891248352720907E-2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103601</v>
      </c>
      <c r="D274" s="421">
        <f>LN_IA8+LN_IB10+LN_IF11+LN_IG6</f>
        <v>104729</v>
      </c>
      <c r="E274" s="442">
        <f t="shared" si="26"/>
        <v>1128</v>
      </c>
      <c r="F274" s="371">
        <f t="shared" si="27"/>
        <v>1.0887925792222083E-2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699</v>
      </c>
      <c r="C277" s="361">
        <f>C15+C188+C221</f>
        <v>480664726</v>
      </c>
      <c r="D277" s="361">
        <f>LN_IA1+LN_IF1+LN_IG1</f>
        <v>515488747</v>
      </c>
      <c r="E277" s="361">
        <f t="shared" ref="E277:E291" si="28">D277-C277</f>
        <v>34824021</v>
      </c>
      <c r="F277" s="415">
        <f t="shared" ref="F277:F291" si="29">IF(C277=0,0,E277/C277)</f>
        <v>7.2449712068116276E-2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700</v>
      </c>
      <c r="C278" s="361">
        <f>C16+C189+C222</f>
        <v>152758050</v>
      </c>
      <c r="D278" s="361">
        <f>LN_IA2+LN_IF2+LN_IG2</f>
        <v>147433114</v>
      </c>
      <c r="E278" s="361">
        <f t="shared" si="28"/>
        <v>-5324936</v>
      </c>
      <c r="F278" s="415">
        <f t="shared" si="29"/>
        <v>-3.485862774498627E-2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701</v>
      </c>
      <c r="C279" s="366">
        <f>IF(C277=0,0,C278/C277)</f>
        <v>0.31780582542684854</v>
      </c>
      <c r="D279" s="366">
        <f>IF(D277=0,0,LN_IIB2/D277)</f>
        <v>0.2860064644631321</v>
      </c>
      <c r="E279" s="367">
        <f t="shared" si="28"/>
        <v>-3.1799360963716439E-2</v>
      </c>
      <c r="F279" s="371">
        <f t="shared" si="29"/>
        <v>-0.10005908771812588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702</v>
      </c>
      <c r="C280" s="369">
        <f>C18+C191+C224</f>
        <v>12792</v>
      </c>
      <c r="D280" s="369">
        <f>LN_IA4+LN_IF4+LN_IG3</f>
        <v>12637</v>
      </c>
      <c r="E280" s="369">
        <f t="shared" si="28"/>
        <v>-155</v>
      </c>
      <c r="F280" s="415">
        <f t="shared" si="29"/>
        <v>-1.2116948092557849E-2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703</v>
      </c>
      <c r="C281" s="439">
        <f>IF(C280=0,0,C282/C280)</f>
        <v>1.3381687038774233</v>
      </c>
      <c r="D281" s="439">
        <f>IF(LN_IIB4=0,0,LN_IIB6/LN_IIB4)</f>
        <v>1.3720660227902193</v>
      </c>
      <c r="E281" s="439">
        <f t="shared" si="28"/>
        <v>3.3897318912796015E-2</v>
      </c>
      <c r="F281" s="415">
        <f t="shared" si="29"/>
        <v>2.5331125152289483E-2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704</v>
      </c>
      <c r="C282" s="376">
        <f>C20+C193+C226</f>
        <v>17117.854059999998</v>
      </c>
      <c r="D282" s="376">
        <f>LN_IA6+LN_IF6+LN_IG5</f>
        <v>17338.798330000001</v>
      </c>
      <c r="E282" s="376">
        <f t="shared" si="28"/>
        <v>220.9442700000036</v>
      </c>
      <c r="F282" s="415">
        <f t="shared" si="29"/>
        <v>1.2907241131135314E-2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705</v>
      </c>
      <c r="C283" s="361">
        <f>C27+C203+C233</f>
        <v>222686396</v>
      </c>
      <c r="D283" s="361">
        <f>LN_IA11+LN_IF14+LN_IG9</f>
        <v>264895308</v>
      </c>
      <c r="E283" s="361">
        <f t="shared" si="28"/>
        <v>42208912</v>
      </c>
      <c r="F283" s="415">
        <f t="shared" si="29"/>
        <v>0.18954418751291841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706</v>
      </c>
      <c r="C284" s="366">
        <f>IF(C277=0,0,C283/C277)</f>
        <v>0.46328840864432397</v>
      </c>
      <c r="D284" s="366">
        <f>IF(D277=0,0,LN_IIB7/D277)</f>
        <v>0.51387214472016396</v>
      </c>
      <c r="E284" s="367">
        <f t="shared" si="28"/>
        <v>5.0583736075839991E-2</v>
      </c>
      <c r="F284" s="371">
        <f t="shared" si="29"/>
        <v>0.10918411756481947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707</v>
      </c>
      <c r="C285" s="361">
        <f>C28+C204+C234</f>
        <v>46638130</v>
      </c>
      <c r="D285" s="361">
        <f>LN_IA12+LN_IF15+LN_IG10</f>
        <v>46245992</v>
      </c>
      <c r="E285" s="361">
        <f t="shared" si="28"/>
        <v>-392138</v>
      </c>
      <c r="F285" s="415">
        <f t="shared" si="29"/>
        <v>-8.4080986952092627E-3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708</v>
      </c>
      <c r="C286" s="366">
        <f>IF(C283=0,0,C285/C283)</f>
        <v>0.20943412277416354</v>
      </c>
      <c r="D286" s="366">
        <f>IF(LN_IIB7=0,0,LN_IIB9/LN_IIB7)</f>
        <v>0.17458214850676027</v>
      </c>
      <c r="E286" s="367">
        <f t="shared" si="28"/>
        <v>-3.4851974267403274E-2</v>
      </c>
      <c r="F286" s="371">
        <f t="shared" si="29"/>
        <v>-0.16641020004645932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709</v>
      </c>
      <c r="C287" s="353">
        <f>C277+C283</f>
        <v>703351122</v>
      </c>
      <c r="D287" s="353">
        <f>D277+LN_IIB7</f>
        <v>780384055</v>
      </c>
      <c r="E287" s="353">
        <f t="shared" si="28"/>
        <v>77032933</v>
      </c>
      <c r="F287" s="415">
        <f t="shared" si="29"/>
        <v>0.10952272711381272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710</v>
      </c>
      <c r="C288" s="353">
        <f>C278+C285</f>
        <v>199396180</v>
      </c>
      <c r="D288" s="353">
        <f>LN_IIB2+LN_IIB9</f>
        <v>193679106</v>
      </c>
      <c r="E288" s="353">
        <f t="shared" si="28"/>
        <v>-5717074</v>
      </c>
      <c r="F288" s="415">
        <f t="shared" si="29"/>
        <v>-2.8671933434231286E-2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711</v>
      </c>
      <c r="C289" s="366">
        <f>IF(C287=0,0,C288/C287)</f>
        <v>0.2834945075981552</v>
      </c>
      <c r="D289" s="366">
        <f>IF(LN_IIB11=0,0,LN_IIB12/LN_IIB11)</f>
        <v>0.24818434559122302</v>
      </c>
      <c r="E289" s="367">
        <f t="shared" si="28"/>
        <v>-3.5310162006932183E-2</v>
      </c>
      <c r="F289" s="371">
        <f t="shared" si="29"/>
        <v>-0.12455324904207053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76470</v>
      </c>
      <c r="D290" s="421">
        <f>LN_IA8+LN_IF11+LN_IG6</f>
        <v>79896</v>
      </c>
      <c r="E290" s="442">
        <f t="shared" si="28"/>
        <v>3426</v>
      </c>
      <c r="F290" s="371">
        <f t="shared" si="29"/>
        <v>4.4801883091408395E-2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712</v>
      </c>
      <c r="C291" s="361">
        <f>C287-C288</f>
        <v>503954942</v>
      </c>
      <c r="D291" s="429">
        <f>LN_IIB11-LN_IIB12</f>
        <v>586704949</v>
      </c>
      <c r="E291" s="353">
        <f t="shared" si="28"/>
        <v>82750007</v>
      </c>
      <c r="F291" s="415">
        <f t="shared" si="29"/>
        <v>0.1642012015431332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600</v>
      </c>
      <c r="C294" s="379">
        <f>IF(C18=0,0,C22/C18)</f>
        <v>6.9964823413535955</v>
      </c>
      <c r="D294" s="379">
        <f>IF(LN_IA4=0,0,LN_IA8/LN_IA4)</f>
        <v>7.5506703185815196</v>
      </c>
      <c r="E294" s="379">
        <f t="shared" ref="E294:E300" si="30">D294-C294</f>
        <v>0.55418797722792412</v>
      </c>
      <c r="F294" s="415">
        <f t="shared" ref="F294:F300" si="31">IF(C294=0,0,E294/C294)</f>
        <v>7.9209515609340697E-2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621</v>
      </c>
      <c r="C295" s="379">
        <f>IF(C45=0,0,C51/C45)</f>
        <v>3.8670182440136829</v>
      </c>
      <c r="D295" s="379">
        <f>IF(LN_IB4=0,0,(LN_IB10)/(LN_IB4))</f>
        <v>3.8759169658186359</v>
      </c>
      <c r="E295" s="379">
        <f t="shared" si="30"/>
        <v>8.8987218049529915E-3</v>
      </c>
      <c r="F295" s="415">
        <f t="shared" si="31"/>
        <v>2.3011843346559357E-3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636</v>
      </c>
      <c r="C296" s="379">
        <f>IF(C86=0,0,C93/C86)</f>
        <v>4.3316582914572868</v>
      </c>
      <c r="D296" s="379">
        <f>IF(LN_IC4=0,0,LN_IC11/LN_IC4)</f>
        <v>3.897106109324759</v>
      </c>
      <c r="E296" s="379">
        <f t="shared" si="30"/>
        <v>-0.43455218213252778</v>
      </c>
      <c r="F296" s="415">
        <f t="shared" si="31"/>
        <v>-0.10032005132757892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4.5326481257557436</v>
      </c>
      <c r="D297" s="379">
        <f>IF(LN_ID4=0,0,LN_ID11/LN_ID4)</f>
        <v>4.7764906950246866</v>
      </c>
      <c r="E297" s="379">
        <f t="shared" si="30"/>
        <v>0.24384256926894299</v>
      </c>
      <c r="F297" s="415">
        <f t="shared" si="31"/>
        <v>5.3796933382797348E-2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713</v>
      </c>
      <c r="C298" s="379">
        <f>IF(C156=0,0,C163/C156)</f>
        <v>5.8485714285714288</v>
      </c>
      <c r="D298" s="379">
        <f>IF(LN_IE4=0,0,LN_IE11/LN_IE4)</f>
        <v>5.5369458128078817</v>
      </c>
      <c r="E298" s="379">
        <f t="shared" si="30"/>
        <v>-0.31162561576354708</v>
      </c>
      <c r="F298" s="415">
        <f t="shared" si="31"/>
        <v>-5.3282347590249864E-2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7</v>
      </c>
      <c r="D299" s="379">
        <f>IF(LN_IG3=0,0,LN_IG6/LN_IG3)</f>
        <v>4.1428571428571432</v>
      </c>
      <c r="E299" s="379">
        <f t="shared" si="30"/>
        <v>-2.8571428571428568</v>
      </c>
      <c r="F299" s="415">
        <f t="shared" si="31"/>
        <v>-0.4081632653061224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714</v>
      </c>
      <c r="C300" s="379">
        <f>IF(C264=0,0,C274/C264)</f>
        <v>5.2302605008077547</v>
      </c>
      <c r="D300" s="379">
        <f>IF(LN_IIA4=0,0,LN_IIA14/LN_IIA4)</f>
        <v>5.4993173703003571</v>
      </c>
      <c r="E300" s="379">
        <f t="shared" si="30"/>
        <v>0.26905686949260232</v>
      </c>
      <c r="F300" s="415">
        <f t="shared" si="31"/>
        <v>5.1442345835556284E-2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709</v>
      </c>
      <c r="C304" s="353">
        <f>C35+C66+C214+C221+C233</f>
        <v>1105534503</v>
      </c>
      <c r="D304" s="353">
        <f>LN_IIA11</f>
        <v>1185589696</v>
      </c>
      <c r="E304" s="353">
        <f t="shared" ref="E304:E316" si="32">D304-C304</f>
        <v>80055193</v>
      </c>
      <c r="F304" s="362">
        <f>IF(C304=0,0,E304/C304)</f>
        <v>7.2413111289390486E-2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712</v>
      </c>
      <c r="C305" s="353">
        <f>C291</f>
        <v>503954942</v>
      </c>
      <c r="D305" s="353">
        <f>LN_IIB14</f>
        <v>586704949</v>
      </c>
      <c r="E305" s="353">
        <f t="shared" si="32"/>
        <v>82750007</v>
      </c>
      <c r="F305" s="362">
        <f>IF(C305=0,0,E305/C305)</f>
        <v>0.1642012015431332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716</v>
      </c>
      <c r="C306" s="353">
        <f>C250</f>
        <v>48293075</v>
      </c>
      <c r="D306" s="353">
        <f>LN_IH6</f>
        <v>37606259</v>
      </c>
      <c r="E306" s="353">
        <f t="shared" si="32"/>
        <v>-10686816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717</v>
      </c>
      <c r="C307" s="353">
        <f>C73-C74</f>
        <v>202839261</v>
      </c>
      <c r="D307" s="353">
        <f>LN_IB32-LN_IB33</f>
        <v>213942306</v>
      </c>
      <c r="E307" s="353">
        <f t="shared" si="32"/>
        <v>11103045</v>
      </c>
      <c r="F307" s="362">
        <f t="shared" ref="F307:F316" si="33">IF(C307=0,0,E307/C307)</f>
        <v>5.4738145590068975E-2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718</v>
      </c>
      <c r="C308" s="353">
        <v>833366</v>
      </c>
      <c r="D308" s="353">
        <v>1011938</v>
      </c>
      <c r="E308" s="353">
        <f t="shared" si="32"/>
        <v>178572</v>
      </c>
      <c r="F308" s="362">
        <f t="shared" si="33"/>
        <v>0.21427800030238814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719</v>
      </c>
      <c r="C309" s="353">
        <f>C305+C307+C308+C306</f>
        <v>755920644</v>
      </c>
      <c r="D309" s="353">
        <f>LN_III2+LN_III3+LN_III4+LN_III5</f>
        <v>839265452</v>
      </c>
      <c r="E309" s="353">
        <f t="shared" si="32"/>
        <v>83344808</v>
      </c>
      <c r="F309" s="362">
        <f t="shared" si="33"/>
        <v>0.11025602840924661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720</v>
      </c>
      <c r="C310" s="353">
        <f>C304-C309</f>
        <v>349613859</v>
      </c>
      <c r="D310" s="353">
        <f>LN_III1-LN_III6</f>
        <v>346324244</v>
      </c>
      <c r="E310" s="353">
        <f t="shared" si="32"/>
        <v>-3289615</v>
      </c>
      <c r="F310" s="362">
        <f t="shared" si="33"/>
        <v>-9.40928088322723E-3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721</v>
      </c>
      <c r="C311" s="353">
        <f>C245</f>
        <v>3383714</v>
      </c>
      <c r="D311" s="353">
        <f>LN_IH3</f>
        <v>2988794</v>
      </c>
      <c r="E311" s="353">
        <f t="shared" si="32"/>
        <v>-394920</v>
      </c>
      <c r="F311" s="362">
        <f t="shared" si="33"/>
        <v>-0.11671199161631272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722</v>
      </c>
      <c r="C312" s="353">
        <f>C310+C311</f>
        <v>352997573</v>
      </c>
      <c r="D312" s="353">
        <f>LN_III7+LN_III8</f>
        <v>349313038</v>
      </c>
      <c r="E312" s="353">
        <f t="shared" si="32"/>
        <v>-3684535</v>
      </c>
      <c r="F312" s="362">
        <f t="shared" si="33"/>
        <v>-1.0437847967866907E-2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723</v>
      </c>
      <c r="C313" s="448">
        <f>IF(C304=0,0,C312/C304)</f>
        <v>0.31930036741693624</v>
      </c>
      <c r="D313" s="448">
        <f>IF(LN_III1=0,0,LN_III9/LN_III1)</f>
        <v>0.29463231603524326</v>
      </c>
      <c r="E313" s="448">
        <f t="shared" si="32"/>
        <v>-2.4668051381692979E-2</v>
      </c>
      <c r="F313" s="362">
        <f t="shared" si="33"/>
        <v>-7.7256570611714689E-2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681</v>
      </c>
      <c r="C314" s="353">
        <f>C306*C313</f>
        <v>15419996.591193657</v>
      </c>
      <c r="D314" s="353">
        <f>D313*LN_III5</f>
        <v>11080019.186591212</v>
      </c>
      <c r="E314" s="353">
        <f t="shared" si="32"/>
        <v>-4339977.4046024457</v>
      </c>
      <c r="F314" s="362">
        <f t="shared" si="33"/>
        <v>-0.2814512557727154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684</v>
      </c>
      <c r="C315" s="353">
        <f>(C214*C313)-C215</f>
        <v>26729693.963076875</v>
      </c>
      <c r="D315" s="353">
        <f>D313*LN_IH8-LN_IH9</f>
        <v>29366092.608358413</v>
      </c>
      <c r="E315" s="353">
        <f t="shared" si="32"/>
        <v>2636398.6452815384</v>
      </c>
      <c r="F315" s="362">
        <f t="shared" si="33"/>
        <v>9.863183053735422E-2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726</v>
      </c>
      <c r="C318" s="353">
        <f>C314+C315+C316</f>
        <v>42149690.554270536</v>
      </c>
      <c r="D318" s="353">
        <f>D314+D315+D316</f>
        <v>40446111.794949621</v>
      </c>
      <c r="E318" s="353">
        <f>D318-C318</f>
        <v>-1703578.7593209147</v>
      </c>
      <c r="F318" s="362">
        <f>IF(C318=0,0,E318/C318)</f>
        <v>-4.0417349141091408E-2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16277141.844727987</v>
      </c>
      <c r="D322" s="353">
        <f>LN_ID22</f>
        <v>18647091.893628832</v>
      </c>
      <c r="E322" s="353">
        <f>LN_IV2-C322</f>
        <v>2369950.0489008445</v>
      </c>
      <c r="F322" s="362">
        <f>IF(C322=0,0,E322/C322)</f>
        <v>0.14559988918868141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713</v>
      </c>
      <c r="C323" s="353">
        <f>C162+C176</f>
        <v>6568319.2117604678</v>
      </c>
      <c r="D323" s="353">
        <f>LN_IE10+LN_IE22</f>
        <v>5396562.2985240165</v>
      </c>
      <c r="E323" s="353">
        <f>LN_IV3-C323</f>
        <v>-1171756.9132364513</v>
      </c>
      <c r="F323" s="362">
        <f>IF(C323=0,0,E323/C323)</f>
        <v>-0.17839524472842913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728</v>
      </c>
      <c r="C324" s="353">
        <f>C92+C106</f>
        <v>10873400.924910672</v>
      </c>
      <c r="D324" s="353">
        <f>LN_IC10+LN_IC22</f>
        <v>9325488.1731058471</v>
      </c>
      <c r="E324" s="353">
        <f>LN_IV1-C324</f>
        <v>-1547912.7518048249</v>
      </c>
      <c r="F324" s="362">
        <f>IF(C324=0,0,E324/C324)</f>
        <v>-0.1423577372428711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729</v>
      </c>
      <c r="C325" s="429">
        <f>C324+C322+C323</f>
        <v>33718861.981399126</v>
      </c>
      <c r="D325" s="429">
        <f>LN_IV1+LN_IV2+LN_IV3</f>
        <v>33369142.365258694</v>
      </c>
      <c r="E325" s="353">
        <f>LN_IV4-C325</f>
        <v>-349719.61614043266</v>
      </c>
      <c r="F325" s="362">
        <f>IF(C325=0,0,E325/C325)</f>
        <v>-1.0371631650360978E-2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730</v>
      </c>
      <c r="B327" s="446" t="s">
        <v>731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732</v>
      </c>
      <c r="C329" s="431">
        <v>1218589</v>
      </c>
      <c r="D329" s="431">
        <v>1451547</v>
      </c>
      <c r="E329" s="431">
        <f t="shared" ref="E329:E335" si="34">D329-C329</f>
        <v>232958</v>
      </c>
      <c r="F329" s="462">
        <f t="shared" ref="F329:F335" si="35">IF(C329=0,0,E329/C329)</f>
        <v>0.19117027972515754</v>
      </c>
    </row>
    <row r="330" spans="1:22" s="333" customFormat="1" ht="11.25" customHeight="1" x14ac:dyDescent="0.2">
      <c r="A330" s="364">
        <v>2</v>
      </c>
      <c r="B330" s="360" t="s">
        <v>733</v>
      </c>
      <c r="C330" s="429">
        <v>6176917</v>
      </c>
      <c r="D330" s="429">
        <v>9722198</v>
      </c>
      <c r="E330" s="431">
        <f t="shared" si="34"/>
        <v>3545281</v>
      </c>
      <c r="F330" s="463">
        <f t="shared" si="35"/>
        <v>0.57395639280890454</v>
      </c>
    </row>
    <row r="331" spans="1:22" s="333" customFormat="1" ht="11.25" customHeight="1" x14ac:dyDescent="0.2">
      <c r="A331" s="339">
        <v>3</v>
      </c>
      <c r="B331" s="360" t="s">
        <v>734</v>
      </c>
      <c r="C331" s="429">
        <v>349484000</v>
      </c>
      <c r="D331" s="429">
        <v>359062000</v>
      </c>
      <c r="E331" s="431">
        <f t="shared" si="34"/>
        <v>9578000</v>
      </c>
      <c r="F331" s="462">
        <f t="shared" si="35"/>
        <v>2.7406118735049386E-2</v>
      </c>
    </row>
    <row r="332" spans="1:22" s="333" customFormat="1" ht="11.25" customHeight="1" x14ac:dyDescent="0.2">
      <c r="A332" s="364">
        <v>4</v>
      </c>
      <c r="B332" s="360" t="s">
        <v>735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736</v>
      </c>
      <c r="C333" s="429">
        <v>1105535000</v>
      </c>
      <c r="D333" s="429">
        <v>1185590000</v>
      </c>
      <c r="E333" s="431">
        <f t="shared" si="34"/>
        <v>80055000</v>
      </c>
      <c r="F333" s="462">
        <f t="shared" si="35"/>
        <v>7.2412904159524574E-2</v>
      </c>
    </row>
    <row r="334" spans="1:22" s="333" customFormat="1" ht="11.25" customHeight="1" x14ac:dyDescent="0.2">
      <c r="A334" s="339">
        <v>6</v>
      </c>
      <c r="B334" s="360" t="s">
        <v>737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738</v>
      </c>
      <c r="C335" s="429">
        <v>48293075</v>
      </c>
      <c r="D335" s="429">
        <v>37606259</v>
      </c>
      <c r="E335" s="429">
        <f t="shared" si="34"/>
        <v>-10686816</v>
      </c>
      <c r="F335" s="462">
        <f t="shared" si="35"/>
        <v>-0.22129085795427192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FILING&amp;RBRIDGEPORT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739</v>
      </c>
      <c r="B5" s="710"/>
      <c r="C5" s="710"/>
      <c r="D5" s="710"/>
      <c r="E5" s="710"/>
    </row>
    <row r="6" spans="1:5" s="338" customFormat="1" ht="15.75" customHeight="1" x14ac:dyDescent="0.25">
      <c r="A6" s="710" t="s">
        <v>740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741</v>
      </c>
      <c r="D9" s="494" t="s">
        <v>742</v>
      </c>
      <c r="E9" s="495" t="s">
        <v>743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621</v>
      </c>
      <c r="C14" s="513">
        <v>205433168</v>
      </c>
      <c r="D14" s="513">
        <v>196128578</v>
      </c>
      <c r="E14" s="514">
        <f t="shared" ref="E14:E22" si="0">D14-C14</f>
        <v>-9304590</v>
      </c>
    </row>
    <row r="15" spans="1:5" s="506" customFormat="1" x14ac:dyDescent="0.2">
      <c r="A15" s="512">
        <v>2</v>
      </c>
      <c r="B15" s="511" t="s">
        <v>600</v>
      </c>
      <c r="C15" s="513">
        <v>324822789</v>
      </c>
      <c r="D15" s="515">
        <v>347619438</v>
      </c>
      <c r="E15" s="514">
        <f t="shared" si="0"/>
        <v>22796649</v>
      </c>
    </row>
    <row r="16" spans="1:5" s="506" customFormat="1" x14ac:dyDescent="0.2">
      <c r="A16" s="512">
        <v>3</v>
      </c>
      <c r="B16" s="511" t="s">
        <v>746</v>
      </c>
      <c r="C16" s="513">
        <v>154644975</v>
      </c>
      <c r="D16" s="515">
        <v>167089269</v>
      </c>
      <c r="E16" s="514">
        <f t="shared" si="0"/>
        <v>12444294</v>
      </c>
    </row>
    <row r="17" spans="1:5" s="506" customFormat="1" x14ac:dyDescent="0.2">
      <c r="A17" s="512">
        <v>4</v>
      </c>
      <c r="B17" s="511" t="s">
        <v>114</v>
      </c>
      <c r="C17" s="513">
        <v>129054841</v>
      </c>
      <c r="D17" s="515">
        <v>151940447</v>
      </c>
      <c r="E17" s="514">
        <f t="shared" si="0"/>
        <v>22885606</v>
      </c>
    </row>
    <row r="18" spans="1:5" s="506" customFormat="1" x14ac:dyDescent="0.2">
      <c r="A18" s="512">
        <v>5</v>
      </c>
      <c r="B18" s="511" t="s">
        <v>713</v>
      </c>
      <c r="C18" s="513">
        <v>25590134</v>
      </c>
      <c r="D18" s="515">
        <v>15148822</v>
      </c>
      <c r="E18" s="514">
        <f t="shared" si="0"/>
        <v>-10441312</v>
      </c>
    </row>
    <row r="19" spans="1:5" s="506" customFormat="1" x14ac:dyDescent="0.2">
      <c r="A19" s="512">
        <v>6</v>
      </c>
      <c r="B19" s="511" t="s">
        <v>418</v>
      </c>
      <c r="C19" s="513">
        <v>1196962</v>
      </c>
      <c r="D19" s="515">
        <v>780040</v>
      </c>
      <c r="E19" s="514">
        <f t="shared" si="0"/>
        <v>-416922</v>
      </c>
    </row>
    <row r="20" spans="1:5" s="506" customFormat="1" x14ac:dyDescent="0.2">
      <c r="A20" s="512">
        <v>7</v>
      </c>
      <c r="B20" s="511" t="s">
        <v>728</v>
      </c>
      <c r="C20" s="513">
        <v>13809812</v>
      </c>
      <c r="D20" s="515">
        <v>9670822</v>
      </c>
      <c r="E20" s="514">
        <f t="shared" si="0"/>
        <v>-4138990</v>
      </c>
    </row>
    <row r="21" spans="1:5" s="506" customFormat="1" x14ac:dyDescent="0.2">
      <c r="A21" s="512"/>
      <c r="B21" s="516" t="s">
        <v>747</v>
      </c>
      <c r="C21" s="517">
        <f>SUM(C15+C16+C19)</f>
        <v>480664726</v>
      </c>
      <c r="D21" s="517">
        <f>SUM(D15+D16+D19)</f>
        <v>515488747</v>
      </c>
      <c r="E21" s="517">
        <f t="shared" si="0"/>
        <v>34824021</v>
      </c>
    </row>
    <row r="22" spans="1:5" s="506" customFormat="1" x14ac:dyDescent="0.2">
      <c r="A22" s="512"/>
      <c r="B22" s="516" t="s">
        <v>687</v>
      </c>
      <c r="C22" s="517">
        <f>SUM(C14+C21)</f>
        <v>686097894</v>
      </c>
      <c r="D22" s="517">
        <f>SUM(D14+D21)</f>
        <v>711617325</v>
      </c>
      <c r="E22" s="517">
        <f t="shared" si="0"/>
        <v>25519431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621</v>
      </c>
      <c r="C25" s="513">
        <v>196750213</v>
      </c>
      <c r="D25" s="513">
        <v>209077063</v>
      </c>
      <c r="E25" s="514">
        <f t="shared" ref="E25:E33" si="1">D25-C25</f>
        <v>12326850</v>
      </c>
    </row>
    <row r="26" spans="1:5" s="506" customFormat="1" x14ac:dyDescent="0.2">
      <c r="A26" s="512">
        <v>2</v>
      </c>
      <c r="B26" s="511" t="s">
        <v>600</v>
      </c>
      <c r="C26" s="513">
        <v>98628801</v>
      </c>
      <c r="D26" s="515">
        <v>119913466</v>
      </c>
      <c r="E26" s="514">
        <f t="shared" si="1"/>
        <v>21284665</v>
      </c>
    </row>
    <row r="27" spans="1:5" s="506" customFormat="1" x14ac:dyDescent="0.2">
      <c r="A27" s="512">
        <v>3</v>
      </c>
      <c r="B27" s="511" t="s">
        <v>746</v>
      </c>
      <c r="C27" s="513">
        <v>123561789</v>
      </c>
      <c r="D27" s="515">
        <v>144301212</v>
      </c>
      <c r="E27" s="514">
        <f t="shared" si="1"/>
        <v>20739423</v>
      </c>
    </row>
    <row r="28" spans="1:5" s="506" customFormat="1" x14ac:dyDescent="0.2">
      <c r="A28" s="512">
        <v>4</v>
      </c>
      <c r="B28" s="511" t="s">
        <v>114</v>
      </c>
      <c r="C28" s="513">
        <v>99793585</v>
      </c>
      <c r="D28" s="515">
        <v>129447743</v>
      </c>
      <c r="E28" s="514">
        <f t="shared" si="1"/>
        <v>29654158</v>
      </c>
    </row>
    <row r="29" spans="1:5" s="506" customFormat="1" x14ac:dyDescent="0.2">
      <c r="A29" s="512">
        <v>5</v>
      </c>
      <c r="B29" s="511" t="s">
        <v>713</v>
      </c>
      <c r="C29" s="513">
        <v>23768204</v>
      </c>
      <c r="D29" s="515">
        <v>14853469</v>
      </c>
      <c r="E29" s="514">
        <f t="shared" si="1"/>
        <v>-8914735</v>
      </c>
    </row>
    <row r="30" spans="1:5" s="506" customFormat="1" x14ac:dyDescent="0.2">
      <c r="A30" s="512">
        <v>6</v>
      </c>
      <c r="B30" s="511" t="s">
        <v>418</v>
      </c>
      <c r="C30" s="513">
        <v>495806</v>
      </c>
      <c r="D30" s="515">
        <v>680630</v>
      </c>
      <c r="E30" s="514">
        <f t="shared" si="1"/>
        <v>184824</v>
      </c>
    </row>
    <row r="31" spans="1:5" s="506" customFormat="1" x14ac:dyDescent="0.2">
      <c r="A31" s="512">
        <v>7</v>
      </c>
      <c r="B31" s="511" t="s">
        <v>728</v>
      </c>
      <c r="C31" s="514">
        <v>30854209</v>
      </c>
      <c r="D31" s="518">
        <v>30889642</v>
      </c>
      <c r="E31" s="514">
        <f t="shared" si="1"/>
        <v>35433</v>
      </c>
    </row>
    <row r="32" spans="1:5" s="506" customFormat="1" x14ac:dyDescent="0.2">
      <c r="A32" s="512"/>
      <c r="B32" s="516" t="s">
        <v>749</v>
      </c>
      <c r="C32" s="517">
        <f>SUM(C26+C27+C30)</f>
        <v>222686396</v>
      </c>
      <c r="D32" s="517">
        <f>SUM(D26+D27+D30)</f>
        <v>264895308</v>
      </c>
      <c r="E32" s="517">
        <f t="shared" si="1"/>
        <v>42208912</v>
      </c>
    </row>
    <row r="33" spans="1:5" s="506" customFormat="1" x14ac:dyDescent="0.2">
      <c r="A33" s="512"/>
      <c r="B33" s="516" t="s">
        <v>693</v>
      </c>
      <c r="C33" s="517">
        <f>SUM(C25+C32)</f>
        <v>419436609</v>
      </c>
      <c r="D33" s="517">
        <f>SUM(D25+D32)</f>
        <v>473972371</v>
      </c>
      <c r="E33" s="517">
        <f t="shared" si="1"/>
        <v>54535762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750</v>
      </c>
      <c r="C36" s="514">
        <f t="shared" ref="C36:D42" si="2">C14+C25</f>
        <v>402183381</v>
      </c>
      <c r="D36" s="514">
        <f t="shared" si="2"/>
        <v>405205641</v>
      </c>
      <c r="E36" s="514">
        <f t="shared" ref="E36:E44" si="3">D36-C36</f>
        <v>3022260</v>
      </c>
    </row>
    <row r="37" spans="1:5" s="506" customFormat="1" x14ac:dyDescent="0.2">
      <c r="A37" s="512">
        <v>2</v>
      </c>
      <c r="B37" s="511" t="s">
        <v>751</v>
      </c>
      <c r="C37" s="514">
        <f t="shared" si="2"/>
        <v>423451590</v>
      </c>
      <c r="D37" s="514">
        <f t="shared" si="2"/>
        <v>467532904</v>
      </c>
      <c r="E37" s="514">
        <f t="shared" si="3"/>
        <v>44081314</v>
      </c>
    </row>
    <row r="38" spans="1:5" s="506" customFormat="1" x14ac:dyDescent="0.2">
      <c r="A38" s="512">
        <v>3</v>
      </c>
      <c r="B38" s="511" t="s">
        <v>752</v>
      </c>
      <c r="C38" s="514">
        <f t="shared" si="2"/>
        <v>278206764</v>
      </c>
      <c r="D38" s="514">
        <f t="shared" si="2"/>
        <v>311390481</v>
      </c>
      <c r="E38" s="514">
        <f t="shared" si="3"/>
        <v>33183717</v>
      </c>
    </row>
    <row r="39" spans="1:5" s="506" customFormat="1" x14ac:dyDescent="0.2">
      <c r="A39" s="512">
        <v>4</v>
      </c>
      <c r="B39" s="511" t="s">
        <v>753</v>
      </c>
      <c r="C39" s="514">
        <f t="shared" si="2"/>
        <v>228848426</v>
      </c>
      <c r="D39" s="514">
        <f t="shared" si="2"/>
        <v>281388190</v>
      </c>
      <c r="E39" s="514">
        <f t="shared" si="3"/>
        <v>52539764</v>
      </c>
    </row>
    <row r="40" spans="1:5" s="506" customFormat="1" x14ac:dyDescent="0.2">
      <c r="A40" s="512">
        <v>5</v>
      </c>
      <c r="B40" s="511" t="s">
        <v>754</v>
      </c>
      <c r="C40" s="514">
        <f t="shared" si="2"/>
        <v>49358338</v>
      </c>
      <c r="D40" s="514">
        <f t="shared" si="2"/>
        <v>30002291</v>
      </c>
      <c r="E40" s="514">
        <f t="shared" si="3"/>
        <v>-19356047</v>
      </c>
    </row>
    <row r="41" spans="1:5" s="506" customFormat="1" x14ac:dyDescent="0.2">
      <c r="A41" s="512">
        <v>6</v>
      </c>
      <c r="B41" s="511" t="s">
        <v>755</v>
      </c>
      <c r="C41" s="514">
        <f t="shared" si="2"/>
        <v>1692768</v>
      </c>
      <c r="D41" s="514">
        <f t="shared" si="2"/>
        <v>1460670</v>
      </c>
      <c r="E41" s="514">
        <f t="shared" si="3"/>
        <v>-232098</v>
      </c>
    </row>
    <row r="42" spans="1:5" s="506" customFormat="1" x14ac:dyDescent="0.2">
      <c r="A42" s="512">
        <v>7</v>
      </c>
      <c r="B42" s="511" t="s">
        <v>756</v>
      </c>
      <c r="C42" s="514">
        <f t="shared" si="2"/>
        <v>44664021</v>
      </c>
      <c r="D42" s="514">
        <f t="shared" si="2"/>
        <v>40560464</v>
      </c>
      <c r="E42" s="514">
        <f t="shared" si="3"/>
        <v>-4103557</v>
      </c>
    </row>
    <row r="43" spans="1:5" s="506" customFormat="1" x14ac:dyDescent="0.2">
      <c r="A43" s="512"/>
      <c r="B43" s="516" t="s">
        <v>757</v>
      </c>
      <c r="C43" s="517">
        <f>SUM(C37+C38+C41)</f>
        <v>703351122</v>
      </c>
      <c r="D43" s="517">
        <f>SUM(D37+D38+D41)</f>
        <v>780384055</v>
      </c>
      <c r="E43" s="517">
        <f t="shared" si="3"/>
        <v>77032933</v>
      </c>
    </row>
    <row r="44" spans="1:5" s="506" customFormat="1" x14ac:dyDescent="0.2">
      <c r="A44" s="512"/>
      <c r="B44" s="516" t="s">
        <v>695</v>
      </c>
      <c r="C44" s="517">
        <f>SUM(C36+C43)</f>
        <v>1105534503</v>
      </c>
      <c r="D44" s="517">
        <f>SUM(D36+D43)</f>
        <v>1185589696</v>
      </c>
      <c r="E44" s="517">
        <f t="shared" si="3"/>
        <v>80055193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621</v>
      </c>
      <c r="C47" s="513">
        <v>81155490</v>
      </c>
      <c r="D47" s="513">
        <v>86137720</v>
      </c>
      <c r="E47" s="514">
        <f t="shared" ref="E47:E55" si="4">D47-C47</f>
        <v>4982230</v>
      </c>
    </row>
    <row r="48" spans="1:5" s="506" customFormat="1" x14ac:dyDescent="0.2">
      <c r="A48" s="512">
        <v>2</v>
      </c>
      <c r="B48" s="511" t="s">
        <v>600</v>
      </c>
      <c r="C48" s="513">
        <v>115290249</v>
      </c>
      <c r="D48" s="515">
        <v>109039611</v>
      </c>
      <c r="E48" s="514">
        <f t="shared" si="4"/>
        <v>-6250638</v>
      </c>
    </row>
    <row r="49" spans="1:5" s="506" customFormat="1" x14ac:dyDescent="0.2">
      <c r="A49" s="512">
        <v>3</v>
      </c>
      <c r="B49" s="511" t="s">
        <v>746</v>
      </c>
      <c r="C49" s="513">
        <v>37120678</v>
      </c>
      <c r="D49" s="515">
        <v>38310047</v>
      </c>
      <c r="E49" s="514">
        <f t="shared" si="4"/>
        <v>1189369</v>
      </c>
    </row>
    <row r="50" spans="1:5" s="506" customFormat="1" x14ac:dyDescent="0.2">
      <c r="A50" s="512">
        <v>4</v>
      </c>
      <c r="B50" s="511" t="s">
        <v>114</v>
      </c>
      <c r="C50" s="513">
        <v>33865096</v>
      </c>
      <c r="D50" s="515">
        <v>36750880</v>
      </c>
      <c r="E50" s="514">
        <f t="shared" si="4"/>
        <v>2885784</v>
      </c>
    </row>
    <row r="51" spans="1:5" s="506" customFormat="1" x14ac:dyDescent="0.2">
      <c r="A51" s="512">
        <v>5</v>
      </c>
      <c r="B51" s="511" t="s">
        <v>713</v>
      </c>
      <c r="C51" s="513">
        <v>3255582</v>
      </c>
      <c r="D51" s="515">
        <v>1559167</v>
      </c>
      <c r="E51" s="514">
        <f t="shared" si="4"/>
        <v>-1696415</v>
      </c>
    </row>
    <row r="52" spans="1:5" s="506" customFormat="1" x14ac:dyDescent="0.2">
      <c r="A52" s="512">
        <v>6</v>
      </c>
      <c r="B52" s="511" t="s">
        <v>418</v>
      </c>
      <c r="C52" s="513">
        <v>347123</v>
      </c>
      <c r="D52" s="515">
        <v>83456</v>
      </c>
      <c r="E52" s="514">
        <f t="shared" si="4"/>
        <v>-263667</v>
      </c>
    </row>
    <row r="53" spans="1:5" s="506" customFormat="1" x14ac:dyDescent="0.2">
      <c r="A53" s="512">
        <v>7</v>
      </c>
      <c r="B53" s="511" t="s">
        <v>728</v>
      </c>
      <c r="C53" s="513">
        <v>1020113</v>
      </c>
      <c r="D53" s="515">
        <v>952380</v>
      </c>
      <c r="E53" s="514">
        <f t="shared" si="4"/>
        <v>-67733</v>
      </c>
    </row>
    <row r="54" spans="1:5" s="506" customFormat="1" x14ac:dyDescent="0.2">
      <c r="A54" s="512"/>
      <c r="B54" s="516" t="s">
        <v>759</v>
      </c>
      <c r="C54" s="517">
        <f>SUM(C48+C49+C52)</f>
        <v>152758050</v>
      </c>
      <c r="D54" s="517">
        <f>SUM(D48+D49+D52)</f>
        <v>147433114</v>
      </c>
      <c r="E54" s="517">
        <f t="shared" si="4"/>
        <v>-5324936</v>
      </c>
    </row>
    <row r="55" spans="1:5" s="506" customFormat="1" x14ac:dyDescent="0.2">
      <c r="A55" s="512"/>
      <c r="B55" s="516" t="s">
        <v>688</v>
      </c>
      <c r="C55" s="517">
        <f>SUM(C47+C54)</f>
        <v>233913540</v>
      </c>
      <c r="D55" s="517">
        <f>SUM(D47+D54)</f>
        <v>233570834</v>
      </c>
      <c r="E55" s="517">
        <f t="shared" si="4"/>
        <v>-342706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621</v>
      </c>
      <c r="C58" s="513">
        <v>59371699</v>
      </c>
      <c r="D58" s="513">
        <v>66534182</v>
      </c>
      <c r="E58" s="514">
        <f t="shared" ref="E58:E66" si="5">D58-C58</f>
        <v>7162483</v>
      </c>
    </row>
    <row r="59" spans="1:5" s="506" customFormat="1" x14ac:dyDescent="0.2">
      <c r="A59" s="512">
        <v>2</v>
      </c>
      <c r="B59" s="511" t="s">
        <v>600</v>
      </c>
      <c r="C59" s="513">
        <v>21525380</v>
      </c>
      <c r="D59" s="515">
        <v>22007322</v>
      </c>
      <c r="E59" s="514">
        <f t="shared" si="5"/>
        <v>481942</v>
      </c>
    </row>
    <row r="60" spans="1:5" s="506" customFormat="1" x14ac:dyDescent="0.2">
      <c r="A60" s="512">
        <v>3</v>
      </c>
      <c r="B60" s="511" t="s">
        <v>746</v>
      </c>
      <c r="C60" s="513">
        <f>C61+C62</f>
        <v>24981150</v>
      </c>
      <c r="D60" s="515">
        <f>D61+D62</f>
        <v>24069559</v>
      </c>
      <c r="E60" s="514">
        <f t="shared" si="5"/>
        <v>-911591</v>
      </c>
    </row>
    <row r="61" spans="1:5" s="506" customFormat="1" x14ac:dyDescent="0.2">
      <c r="A61" s="512">
        <v>4</v>
      </c>
      <c r="B61" s="511" t="s">
        <v>114</v>
      </c>
      <c r="C61" s="513">
        <v>21995843</v>
      </c>
      <c r="D61" s="515">
        <v>22613318</v>
      </c>
      <c r="E61" s="514">
        <f t="shared" si="5"/>
        <v>617475</v>
      </c>
    </row>
    <row r="62" spans="1:5" s="506" customFormat="1" x14ac:dyDescent="0.2">
      <c r="A62" s="512">
        <v>5</v>
      </c>
      <c r="B62" s="511" t="s">
        <v>713</v>
      </c>
      <c r="C62" s="513">
        <v>2985307</v>
      </c>
      <c r="D62" s="515">
        <v>1456241</v>
      </c>
      <c r="E62" s="514">
        <f t="shared" si="5"/>
        <v>-1529066</v>
      </c>
    </row>
    <row r="63" spans="1:5" s="506" customFormat="1" x14ac:dyDescent="0.2">
      <c r="A63" s="512">
        <v>6</v>
      </c>
      <c r="B63" s="511" t="s">
        <v>418</v>
      </c>
      <c r="C63" s="513">
        <v>131600</v>
      </c>
      <c r="D63" s="515">
        <v>169111</v>
      </c>
      <c r="E63" s="514">
        <f t="shared" si="5"/>
        <v>37511</v>
      </c>
    </row>
    <row r="64" spans="1:5" s="506" customFormat="1" x14ac:dyDescent="0.2">
      <c r="A64" s="512">
        <v>7</v>
      </c>
      <c r="B64" s="511" t="s">
        <v>728</v>
      </c>
      <c r="C64" s="513">
        <v>1755156</v>
      </c>
      <c r="D64" s="515">
        <v>2336439</v>
      </c>
      <c r="E64" s="514">
        <f t="shared" si="5"/>
        <v>581283</v>
      </c>
    </row>
    <row r="65" spans="1:5" s="506" customFormat="1" x14ac:dyDescent="0.2">
      <c r="A65" s="512"/>
      <c r="B65" s="516" t="s">
        <v>761</v>
      </c>
      <c r="C65" s="517">
        <f>SUM(C59+C60+C63)</f>
        <v>46638130</v>
      </c>
      <c r="D65" s="517">
        <f>SUM(D59+D60+D63)</f>
        <v>46245992</v>
      </c>
      <c r="E65" s="517">
        <f t="shared" si="5"/>
        <v>-392138</v>
      </c>
    </row>
    <row r="66" spans="1:5" s="506" customFormat="1" x14ac:dyDescent="0.2">
      <c r="A66" s="512"/>
      <c r="B66" s="516" t="s">
        <v>694</v>
      </c>
      <c r="C66" s="517">
        <f>SUM(C58+C65)</f>
        <v>106009829</v>
      </c>
      <c r="D66" s="517">
        <f>SUM(D58+D65)</f>
        <v>112780174</v>
      </c>
      <c r="E66" s="517">
        <f t="shared" si="5"/>
        <v>6770345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750</v>
      </c>
      <c r="C69" s="514">
        <f t="shared" ref="C69:D75" si="6">C47+C58</f>
        <v>140527189</v>
      </c>
      <c r="D69" s="514">
        <f t="shared" si="6"/>
        <v>152671902</v>
      </c>
      <c r="E69" s="514">
        <f t="shared" ref="E69:E77" si="7">D69-C69</f>
        <v>12144713</v>
      </c>
    </row>
    <row r="70" spans="1:5" s="506" customFormat="1" x14ac:dyDescent="0.2">
      <c r="A70" s="512">
        <v>2</v>
      </c>
      <c r="B70" s="511" t="s">
        <v>751</v>
      </c>
      <c r="C70" s="514">
        <f t="shared" si="6"/>
        <v>136815629</v>
      </c>
      <c r="D70" s="514">
        <f t="shared" si="6"/>
        <v>131046933</v>
      </c>
      <c r="E70" s="514">
        <f t="shared" si="7"/>
        <v>-5768696</v>
      </c>
    </row>
    <row r="71" spans="1:5" s="506" customFormat="1" x14ac:dyDescent="0.2">
      <c r="A71" s="512">
        <v>3</v>
      </c>
      <c r="B71" s="511" t="s">
        <v>752</v>
      </c>
      <c r="C71" s="514">
        <f t="shared" si="6"/>
        <v>62101828</v>
      </c>
      <c r="D71" s="514">
        <f t="shared" si="6"/>
        <v>62379606</v>
      </c>
      <c r="E71" s="514">
        <f t="shared" si="7"/>
        <v>277778</v>
      </c>
    </row>
    <row r="72" spans="1:5" s="506" customFormat="1" x14ac:dyDescent="0.2">
      <c r="A72" s="512">
        <v>4</v>
      </c>
      <c r="B72" s="511" t="s">
        <v>753</v>
      </c>
      <c r="C72" s="514">
        <f t="shared" si="6"/>
        <v>55860939</v>
      </c>
      <c r="D72" s="514">
        <f t="shared" si="6"/>
        <v>59364198</v>
      </c>
      <c r="E72" s="514">
        <f t="shared" si="7"/>
        <v>3503259</v>
      </c>
    </row>
    <row r="73" spans="1:5" s="506" customFormat="1" x14ac:dyDescent="0.2">
      <c r="A73" s="512">
        <v>5</v>
      </c>
      <c r="B73" s="511" t="s">
        <v>754</v>
      </c>
      <c r="C73" s="514">
        <f t="shared" si="6"/>
        <v>6240889</v>
      </c>
      <c r="D73" s="514">
        <f t="shared" si="6"/>
        <v>3015408</v>
      </c>
      <c r="E73" s="514">
        <f t="shared" si="7"/>
        <v>-3225481</v>
      </c>
    </row>
    <row r="74" spans="1:5" s="506" customFormat="1" x14ac:dyDescent="0.2">
      <c r="A74" s="512">
        <v>6</v>
      </c>
      <c r="B74" s="511" t="s">
        <v>755</v>
      </c>
      <c r="C74" s="514">
        <f t="shared" si="6"/>
        <v>478723</v>
      </c>
      <c r="D74" s="514">
        <f t="shared" si="6"/>
        <v>252567</v>
      </c>
      <c r="E74" s="514">
        <f t="shared" si="7"/>
        <v>-226156</v>
      </c>
    </row>
    <row r="75" spans="1:5" s="506" customFormat="1" x14ac:dyDescent="0.2">
      <c r="A75" s="512">
        <v>7</v>
      </c>
      <c r="B75" s="511" t="s">
        <v>756</v>
      </c>
      <c r="C75" s="514">
        <f t="shared" si="6"/>
        <v>2775269</v>
      </c>
      <c r="D75" s="514">
        <f t="shared" si="6"/>
        <v>3288819</v>
      </c>
      <c r="E75" s="514">
        <f t="shared" si="7"/>
        <v>513550</v>
      </c>
    </row>
    <row r="76" spans="1:5" s="506" customFormat="1" x14ac:dyDescent="0.2">
      <c r="A76" s="512"/>
      <c r="B76" s="516" t="s">
        <v>762</v>
      </c>
      <c r="C76" s="517">
        <f>SUM(C70+C71+C74)</f>
        <v>199396180</v>
      </c>
      <c r="D76" s="517">
        <f>SUM(D70+D71+D74)</f>
        <v>193679106</v>
      </c>
      <c r="E76" s="517">
        <f t="shared" si="7"/>
        <v>-5717074</v>
      </c>
    </row>
    <row r="77" spans="1:5" s="506" customFormat="1" x14ac:dyDescent="0.2">
      <c r="A77" s="512"/>
      <c r="B77" s="516" t="s">
        <v>696</v>
      </c>
      <c r="C77" s="517">
        <f>SUM(C69+C76)</f>
        <v>339923369</v>
      </c>
      <c r="D77" s="517">
        <f>SUM(D69+D76)</f>
        <v>346351008</v>
      </c>
      <c r="E77" s="517">
        <f t="shared" si="7"/>
        <v>6427639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621</v>
      </c>
      <c r="C83" s="523">
        <f t="shared" ref="C83:D89" si="8">IF(C$44=0,0,C14/C$44)</f>
        <v>0.18582248445664296</v>
      </c>
      <c r="D83" s="523">
        <f t="shared" si="8"/>
        <v>0.16542702645081017</v>
      </c>
      <c r="E83" s="523">
        <f t="shared" ref="E83:E91" si="9">D83-C83</f>
        <v>-2.0395458005832784E-2</v>
      </c>
    </row>
    <row r="84" spans="1:5" s="506" customFormat="1" x14ac:dyDescent="0.2">
      <c r="A84" s="512">
        <v>2</v>
      </c>
      <c r="B84" s="511" t="s">
        <v>600</v>
      </c>
      <c r="C84" s="523">
        <f t="shared" si="8"/>
        <v>0.29381515286818688</v>
      </c>
      <c r="D84" s="523">
        <f t="shared" si="8"/>
        <v>0.29320382858658045</v>
      </c>
      <c r="E84" s="523">
        <f t="shared" si="9"/>
        <v>-6.1132428160642904E-4</v>
      </c>
    </row>
    <row r="85" spans="1:5" s="506" customFormat="1" x14ac:dyDescent="0.2">
      <c r="A85" s="512">
        <v>3</v>
      </c>
      <c r="B85" s="511" t="s">
        <v>746</v>
      </c>
      <c r="C85" s="523">
        <f t="shared" si="8"/>
        <v>0.13988254059945879</v>
      </c>
      <c r="D85" s="523">
        <f t="shared" si="8"/>
        <v>0.14093346928008388</v>
      </c>
      <c r="E85" s="523">
        <f t="shared" si="9"/>
        <v>1.0509286806250906E-3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0.11673524494241859</v>
      </c>
      <c r="D86" s="523">
        <f t="shared" si="8"/>
        <v>0.12815601174050689</v>
      </c>
      <c r="E86" s="523">
        <f t="shared" si="9"/>
        <v>1.1420766798088303E-2</v>
      </c>
    </row>
    <row r="87" spans="1:5" s="506" customFormat="1" x14ac:dyDescent="0.2">
      <c r="A87" s="512">
        <v>5</v>
      </c>
      <c r="B87" s="511" t="s">
        <v>713</v>
      </c>
      <c r="C87" s="523">
        <f t="shared" si="8"/>
        <v>2.3147295657040205E-2</v>
      </c>
      <c r="D87" s="523">
        <f t="shared" si="8"/>
        <v>1.2777457539576997E-2</v>
      </c>
      <c r="E87" s="523">
        <f t="shared" si="9"/>
        <v>-1.0369838117463209E-2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1.0826998133046961E-3</v>
      </c>
      <c r="D88" s="523">
        <f t="shared" si="8"/>
        <v>6.579341931122856E-4</v>
      </c>
      <c r="E88" s="523">
        <f t="shared" si="9"/>
        <v>-4.2476562019241047E-4</v>
      </c>
    </row>
    <row r="89" spans="1:5" s="506" customFormat="1" x14ac:dyDescent="0.2">
      <c r="A89" s="512">
        <v>7</v>
      </c>
      <c r="B89" s="511" t="s">
        <v>728</v>
      </c>
      <c r="C89" s="523">
        <f t="shared" si="8"/>
        <v>1.2491525106204668E-2</v>
      </c>
      <c r="D89" s="523">
        <f t="shared" si="8"/>
        <v>8.1569720390012573E-3</v>
      </c>
      <c r="E89" s="523">
        <f t="shared" si="9"/>
        <v>-4.3345530672034109E-3</v>
      </c>
    </row>
    <row r="90" spans="1:5" s="506" customFormat="1" x14ac:dyDescent="0.2">
      <c r="A90" s="512"/>
      <c r="B90" s="516" t="s">
        <v>765</v>
      </c>
      <c r="C90" s="524">
        <f>SUM(C84+C85+C88)</f>
        <v>0.43478039328095036</v>
      </c>
      <c r="D90" s="524">
        <f>SUM(D84+D85+D88)</f>
        <v>0.4347952320597766</v>
      </c>
      <c r="E90" s="525">
        <f t="shared" si="9"/>
        <v>1.4838778826242738E-5</v>
      </c>
    </row>
    <row r="91" spans="1:5" s="506" customFormat="1" x14ac:dyDescent="0.2">
      <c r="A91" s="512"/>
      <c r="B91" s="516" t="s">
        <v>766</v>
      </c>
      <c r="C91" s="524">
        <f>SUM(C83+C90)</f>
        <v>0.62060287773759337</v>
      </c>
      <c r="D91" s="524">
        <f>SUM(D83+D90)</f>
        <v>0.60022225851058675</v>
      </c>
      <c r="E91" s="525">
        <f t="shared" si="9"/>
        <v>-2.0380619227006624E-2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621</v>
      </c>
      <c r="C95" s="523">
        <f t="shared" ref="C95:D101" si="10">IF(C$44=0,0,C25/C$44)</f>
        <v>0.17796840574952186</v>
      </c>
      <c r="D95" s="523">
        <f t="shared" si="10"/>
        <v>0.17634858307675441</v>
      </c>
      <c r="E95" s="523">
        <f t="shared" ref="E95:E103" si="11">D95-C95</f>
        <v>-1.6198226727674458E-3</v>
      </c>
    </row>
    <row r="96" spans="1:5" s="506" customFormat="1" x14ac:dyDescent="0.2">
      <c r="A96" s="512">
        <v>2</v>
      </c>
      <c r="B96" s="511" t="s">
        <v>600</v>
      </c>
      <c r="C96" s="523">
        <f t="shared" si="10"/>
        <v>8.9213679656635736E-2</v>
      </c>
      <c r="D96" s="523">
        <f t="shared" si="10"/>
        <v>0.10114246640686055</v>
      </c>
      <c r="E96" s="523">
        <f t="shared" si="11"/>
        <v>1.192878675022481E-2</v>
      </c>
    </row>
    <row r="97" spans="1:5" s="506" customFormat="1" x14ac:dyDescent="0.2">
      <c r="A97" s="512">
        <v>3</v>
      </c>
      <c r="B97" s="511" t="s">
        <v>746</v>
      </c>
      <c r="C97" s="523">
        <f t="shared" si="10"/>
        <v>0.11176656057744043</v>
      </c>
      <c r="D97" s="523">
        <f t="shared" si="10"/>
        <v>0.12171260638216613</v>
      </c>
      <c r="E97" s="523">
        <f t="shared" si="11"/>
        <v>9.9460458047257033E-3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9.0267273187040462E-2</v>
      </c>
      <c r="D98" s="523">
        <f t="shared" si="10"/>
        <v>0.10918426791050653</v>
      </c>
      <c r="E98" s="523">
        <f t="shared" si="11"/>
        <v>1.8916994723466071E-2</v>
      </c>
    </row>
    <row r="99" spans="1:5" s="506" customFormat="1" x14ac:dyDescent="0.2">
      <c r="A99" s="512">
        <v>5</v>
      </c>
      <c r="B99" s="511" t="s">
        <v>713</v>
      </c>
      <c r="C99" s="523">
        <f t="shared" si="10"/>
        <v>2.1499287390399972E-2</v>
      </c>
      <c r="D99" s="523">
        <f t="shared" si="10"/>
        <v>1.2528338471659592E-2</v>
      </c>
      <c r="E99" s="523">
        <f t="shared" si="11"/>
        <v>-8.9709489187403801E-3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4.4847627880864068E-4</v>
      </c>
      <c r="D100" s="523">
        <f t="shared" si="10"/>
        <v>5.7408562363214061E-4</v>
      </c>
      <c r="E100" s="523">
        <f t="shared" si="11"/>
        <v>1.2560934482349994E-4</v>
      </c>
    </row>
    <row r="101" spans="1:5" s="506" customFormat="1" x14ac:dyDescent="0.2">
      <c r="A101" s="512">
        <v>7</v>
      </c>
      <c r="B101" s="511" t="s">
        <v>728</v>
      </c>
      <c r="C101" s="523">
        <f t="shared" si="10"/>
        <v>2.7908861203583803E-2</v>
      </c>
      <c r="D101" s="523">
        <f t="shared" si="10"/>
        <v>2.6054242968049549E-2</v>
      </c>
      <c r="E101" s="523">
        <f t="shared" si="11"/>
        <v>-1.8546182355342541E-3</v>
      </c>
    </row>
    <row r="102" spans="1:5" s="506" customFormat="1" x14ac:dyDescent="0.2">
      <c r="A102" s="512"/>
      <c r="B102" s="516" t="s">
        <v>768</v>
      </c>
      <c r="C102" s="524">
        <f>SUM(C96+C97+C100)</f>
        <v>0.20142871651288483</v>
      </c>
      <c r="D102" s="524">
        <f>SUM(D96+D97+D100)</f>
        <v>0.22342915841265881</v>
      </c>
      <c r="E102" s="525">
        <f t="shared" si="11"/>
        <v>2.2000441899773987E-2</v>
      </c>
    </row>
    <row r="103" spans="1:5" s="506" customFormat="1" x14ac:dyDescent="0.2">
      <c r="A103" s="512"/>
      <c r="B103" s="516" t="s">
        <v>769</v>
      </c>
      <c r="C103" s="524">
        <f>SUM(C95+C102)</f>
        <v>0.37939712226240668</v>
      </c>
      <c r="D103" s="524">
        <f>SUM(D95+D102)</f>
        <v>0.39977774148941325</v>
      </c>
      <c r="E103" s="525">
        <f t="shared" si="11"/>
        <v>2.0380619227006569E-2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770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621</v>
      </c>
      <c r="C109" s="523">
        <f t="shared" ref="C109:D115" si="12">IF(C$77=0,0,C47/C$77)</f>
        <v>0.23874642758085868</v>
      </c>
      <c r="D109" s="523">
        <f t="shared" si="12"/>
        <v>0.2487006476389409</v>
      </c>
      <c r="E109" s="523">
        <f t="shared" ref="E109:E117" si="13">D109-C109</f>
        <v>9.9542200580822193E-3</v>
      </c>
    </row>
    <row r="110" spans="1:5" s="506" customFormat="1" x14ac:dyDescent="0.2">
      <c r="A110" s="512">
        <v>2</v>
      </c>
      <c r="B110" s="511" t="s">
        <v>600</v>
      </c>
      <c r="C110" s="523">
        <f t="shared" si="12"/>
        <v>0.33916541054286858</v>
      </c>
      <c r="D110" s="523">
        <f t="shared" si="12"/>
        <v>0.31482400363044416</v>
      </c>
      <c r="E110" s="523">
        <f t="shared" si="13"/>
        <v>-2.4341406912424424E-2</v>
      </c>
    </row>
    <row r="111" spans="1:5" s="506" customFormat="1" x14ac:dyDescent="0.2">
      <c r="A111" s="512">
        <v>3</v>
      </c>
      <c r="B111" s="511" t="s">
        <v>746</v>
      </c>
      <c r="C111" s="523">
        <f t="shared" si="12"/>
        <v>0.10920307747361729</v>
      </c>
      <c r="D111" s="523">
        <f t="shared" si="12"/>
        <v>0.11061046774837162</v>
      </c>
      <c r="E111" s="523">
        <f t="shared" si="13"/>
        <v>1.4073902747543249E-3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9.962567769208007E-2</v>
      </c>
      <c r="D112" s="523">
        <f t="shared" si="12"/>
        <v>0.10610877159624146</v>
      </c>
      <c r="E112" s="523">
        <f t="shared" si="13"/>
        <v>6.4830939041613939E-3</v>
      </c>
    </row>
    <row r="113" spans="1:5" s="506" customFormat="1" x14ac:dyDescent="0.2">
      <c r="A113" s="512">
        <v>5</v>
      </c>
      <c r="B113" s="511" t="s">
        <v>713</v>
      </c>
      <c r="C113" s="523">
        <f t="shared" si="12"/>
        <v>9.5773997815372328E-3</v>
      </c>
      <c r="D113" s="523">
        <f t="shared" si="12"/>
        <v>4.5016961521301534E-3</v>
      </c>
      <c r="E113" s="523">
        <f t="shared" si="13"/>
        <v>-5.0757036294070794E-3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1.0211801589904812E-3</v>
      </c>
      <c r="D114" s="523">
        <f t="shared" si="12"/>
        <v>2.4095786665070135E-4</v>
      </c>
      <c r="E114" s="523">
        <f t="shared" si="13"/>
        <v>-7.8022229233977978E-4</v>
      </c>
    </row>
    <row r="115" spans="1:5" s="506" customFormat="1" x14ac:dyDescent="0.2">
      <c r="A115" s="512">
        <v>7</v>
      </c>
      <c r="B115" s="511" t="s">
        <v>728</v>
      </c>
      <c r="C115" s="523">
        <f t="shared" si="12"/>
        <v>3.0010087361778295E-3</v>
      </c>
      <c r="D115" s="523">
        <f t="shared" si="12"/>
        <v>2.7497537988975624E-3</v>
      </c>
      <c r="E115" s="523">
        <f t="shared" si="13"/>
        <v>-2.5125493728026709E-4</v>
      </c>
    </row>
    <row r="116" spans="1:5" s="506" customFormat="1" x14ac:dyDescent="0.2">
      <c r="A116" s="512"/>
      <c r="B116" s="516" t="s">
        <v>765</v>
      </c>
      <c r="C116" s="524">
        <f>SUM(C110+C111+C114)</f>
        <v>0.44938966817547638</v>
      </c>
      <c r="D116" s="524">
        <f>SUM(D110+D111+D114)</f>
        <v>0.42567542924546647</v>
      </c>
      <c r="E116" s="525">
        <f t="shared" si="13"/>
        <v>-2.3714238930009901E-2</v>
      </c>
    </row>
    <row r="117" spans="1:5" s="506" customFormat="1" x14ac:dyDescent="0.2">
      <c r="A117" s="512"/>
      <c r="B117" s="516" t="s">
        <v>766</v>
      </c>
      <c r="C117" s="524">
        <f>SUM(C109+C116)</f>
        <v>0.68813609575633505</v>
      </c>
      <c r="D117" s="524">
        <f>SUM(D109+D116)</f>
        <v>0.67437607688440737</v>
      </c>
      <c r="E117" s="525">
        <f t="shared" si="13"/>
        <v>-1.3760018871927682E-2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621</v>
      </c>
      <c r="C121" s="523">
        <f t="shared" ref="C121:D127" si="14">IF(C$77=0,0,C58/C$77)</f>
        <v>0.17466201036622464</v>
      </c>
      <c r="D121" s="523">
        <f t="shared" si="14"/>
        <v>0.1921004427970367</v>
      </c>
      <c r="E121" s="523">
        <f t="shared" ref="E121:E129" si="15">D121-C121</f>
        <v>1.7438432430812056E-2</v>
      </c>
    </row>
    <row r="122" spans="1:5" s="506" customFormat="1" x14ac:dyDescent="0.2">
      <c r="A122" s="512">
        <v>2</v>
      </c>
      <c r="B122" s="511" t="s">
        <v>600</v>
      </c>
      <c r="C122" s="523">
        <f t="shared" si="14"/>
        <v>6.3324213522960235E-2</v>
      </c>
      <c r="D122" s="523">
        <f t="shared" si="14"/>
        <v>6.3540516677231665E-2</v>
      </c>
      <c r="E122" s="523">
        <f t="shared" si="15"/>
        <v>2.1630315427142999E-4</v>
      </c>
    </row>
    <row r="123" spans="1:5" s="506" customFormat="1" x14ac:dyDescent="0.2">
      <c r="A123" s="512">
        <v>3</v>
      </c>
      <c r="B123" s="511" t="s">
        <v>746</v>
      </c>
      <c r="C123" s="523">
        <f t="shared" si="14"/>
        <v>7.3490534273917482E-2</v>
      </c>
      <c r="D123" s="523">
        <f t="shared" si="14"/>
        <v>6.9494698857639814E-2</v>
      </c>
      <c r="E123" s="523">
        <f t="shared" si="15"/>
        <v>-3.9958354162776683E-3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6.4708240168095066E-2</v>
      </c>
      <c r="D124" s="523">
        <f t="shared" si="14"/>
        <v>6.5290175220162783E-2</v>
      </c>
      <c r="E124" s="523">
        <f t="shared" si="15"/>
        <v>5.819350520677169E-4</v>
      </c>
    </row>
    <row r="125" spans="1:5" s="506" customFormat="1" x14ac:dyDescent="0.2">
      <c r="A125" s="512">
        <v>5</v>
      </c>
      <c r="B125" s="511" t="s">
        <v>713</v>
      </c>
      <c r="C125" s="523">
        <f t="shared" si="14"/>
        <v>8.7822941058224215E-3</v>
      </c>
      <c r="D125" s="523">
        <f t="shared" si="14"/>
        <v>4.2045236374770416E-3</v>
      </c>
      <c r="E125" s="523">
        <f t="shared" si="15"/>
        <v>-4.5777704683453799E-3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3.8714608056264585E-4</v>
      </c>
      <c r="D126" s="523">
        <f t="shared" si="14"/>
        <v>4.8826478368441763E-4</v>
      </c>
      <c r="E126" s="523">
        <f t="shared" si="15"/>
        <v>1.0111870312177177E-4</v>
      </c>
    </row>
    <row r="127" spans="1:5" s="506" customFormat="1" x14ac:dyDescent="0.2">
      <c r="A127" s="512">
        <v>7</v>
      </c>
      <c r="B127" s="511" t="s">
        <v>728</v>
      </c>
      <c r="C127" s="523">
        <f t="shared" si="14"/>
        <v>5.1633872809727296E-3</v>
      </c>
      <c r="D127" s="523">
        <f t="shared" si="14"/>
        <v>6.7458703628199054E-3</v>
      </c>
      <c r="E127" s="523">
        <f t="shared" si="15"/>
        <v>1.5824830818471757E-3</v>
      </c>
    </row>
    <row r="128" spans="1:5" s="506" customFormat="1" x14ac:dyDescent="0.2">
      <c r="A128" s="512"/>
      <c r="B128" s="516" t="s">
        <v>768</v>
      </c>
      <c r="C128" s="524">
        <f>SUM(C122+C123+C126)</f>
        <v>0.13720189387744036</v>
      </c>
      <c r="D128" s="524">
        <f>SUM(D122+D123+D126)</f>
        <v>0.13352348031855588</v>
      </c>
      <c r="E128" s="525">
        <f t="shared" si="15"/>
        <v>-3.6784135588844857E-3</v>
      </c>
    </row>
    <row r="129" spans="1:5" s="506" customFormat="1" x14ac:dyDescent="0.2">
      <c r="A129" s="512"/>
      <c r="B129" s="516" t="s">
        <v>769</v>
      </c>
      <c r="C129" s="524">
        <f>SUM(C121+C128)</f>
        <v>0.311863904243665</v>
      </c>
      <c r="D129" s="524">
        <f>SUM(D121+D128)</f>
        <v>0.32562392311559257</v>
      </c>
      <c r="E129" s="525">
        <f t="shared" si="15"/>
        <v>1.3760018871927571E-2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773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621</v>
      </c>
      <c r="C137" s="530">
        <v>7016</v>
      </c>
      <c r="D137" s="530">
        <v>6407</v>
      </c>
      <c r="E137" s="531">
        <f t="shared" ref="E137:E145" si="16">D137-C137</f>
        <v>-609</v>
      </c>
    </row>
    <row r="138" spans="1:5" s="506" customFormat="1" x14ac:dyDescent="0.2">
      <c r="A138" s="512">
        <v>2</v>
      </c>
      <c r="B138" s="511" t="s">
        <v>600</v>
      </c>
      <c r="C138" s="530">
        <v>7107</v>
      </c>
      <c r="D138" s="530">
        <v>6937</v>
      </c>
      <c r="E138" s="531">
        <f t="shared" si="16"/>
        <v>-170</v>
      </c>
    </row>
    <row r="139" spans="1:5" s="506" customFormat="1" x14ac:dyDescent="0.2">
      <c r="A139" s="512">
        <v>3</v>
      </c>
      <c r="B139" s="511" t="s">
        <v>746</v>
      </c>
      <c r="C139" s="530">
        <f>C140+C141</f>
        <v>5662</v>
      </c>
      <c r="D139" s="530">
        <f>D140+D141</f>
        <v>5672</v>
      </c>
      <c r="E139" s="531">
        <f t="shared" si="16"/>
        <v>10</v>
      </c>
    </row>
    <row r="140" spans="1:5" s="506" customFormat="1" x14ac:dyDescent="0.2">
      <c r="A140" s="512">
        <v>4</v>
      </c>
      <c r="B140" s="511" t="s">
        <v>114</v>
      </c>
      <c r="C140" s="530">
        <v>4962</v>
      </c>
      <c r="D140" s="530">
        <v>5266</v>
      </c>
      <c r="E140" s="531">
        <f t="shared" si="16"/>
        <v>304</v>
      </c>
    </row>
    <row r="141" spans="1:5" s="506" customFormat="1" x14ac:dyDescent="0.2">
      <c r="A141" s="512">
        <v>5</v>
      </c>
      <c r="B141" s="511" t="s">
        <v>713</v>
      </c>
      <c r="C141" s="530">
        <v>700</v>
      </c>
      <c r="D141" s="530">
        <v>406</v>
      </c>
      <c r="E141" s="531">
        <f t="shared" si="16"/>
        <v>-294</v>
      </c>
    </row>
    <row r="142" spans="1:5" s="506" customFormat="1" x14ac:dyDescent="0.2">
      <c r="A142" s="512">
        <v>6</v>
      </c>
      <c r="B142" s="511" t="s">
        <v>418</v>
      </c>
      <c r="C142" s="530">
        <v>23</v>
      </c>
      <c r="D142" s="530">
        <v>28</v>
      </c>
      <c r="E142" s="531">
        <f t="shared" si="16"/>
        <v>5</v>
      </c>
    </row>
    <row r="143" spans="1:5" s="506" customFormat="1" x14ac:dyDescent="0.2">
      <c r="A143" s="512">
        <v>7</v>
      </c>
      <c r="B143" s="511" t="s">
        <v>728</v>
      </c>
      <c r="C143" s="530">
        <v>398</v>
      </c>
      <c r="D143" s="530">
        <v>311</v>
      </c>
      <c r="E143" s="531">
        <f t="shared" si="16"/>
        <v>-87</v>
      </c>
    </row>
    <row r="144" spans="1:5" s="506" customFormat="1" x14ac:dyDescent="0.2">
      <c r="A144" s="512"/>
      <c r="B144" s="516" t="s">
        <v>776</v>
      </c>
      <c r="C144" s="532">
        <f>SUM(C138+C139+C142)</f>
        <v>12792</v>
      </c>
      <c r="D144" s="532">
        <f>SUM(D138+D139+D142)</f>
        <v>12637</v>
      </c>
      <c r="E144" s="533">
        <f t="shared" si="16"/>
        <v>-155</v>
      </c>
    </row>
    <row r="145" spans="1:5" s="506" customFormat="1" x14ac:dyDescent="0.2">
      <c r="A145" s="512"/>
      <c r="B145" s="516" t="s">
        <v>690</v>
      </c>
      <c r="C145" s="532">
        <f>SUM(C137+C144)</f>
        <v>19808</v>
      </c>
      <c r="D145" s="532">
        <f>SUM(D137+D144)</f>
        <v>19044</v>
      </c>
      <c r="E145" s="533">
        <f t="shared" si="16"/>
        <v>-764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621</v>
      </c>
      <c r="C149" s="534">
        <v>27131</v>
      </c>
      <c r="D149" s="534">
        <v>24833</v>
      </c>
      <c r="E149" s="531">
        <f t="shared" ref="E149:E157" si="17">D149-C149</f>
        <v>-2298</v>
      </c>
    </row>
    <row r="150" spans="1:5" s="506" customFormat="1" x14ac:dyDescent="0.2">
      <c r="A150" s="512">
        <v>2</v>
      </c>
      <c r="B150" s="511" t="s">
        <v>600</v>
      </c>
      <c r="C150" s="534">
        <v>49724</v>
      </c>
      <c r="D150" s="534">
        <v>52379</v>
      </c>
      <c r="E150" s="531">
        <f t="shared" si="17"/>
        <v>2655</v>
      </c>
    </row>
    <row r="151" spans="1:5" s="506" customFormat="1" x14ac:dyDescent="0.2">
      <c r="A151" s="512">
        <v>3</v>
      </c>
      <c r="B151" s="511" t="s">
        <v>746</v>
      </c>
      <c r="C151" s="534">
        <f>C152+C153</f>
        <v>26585</v>
      </c>
      <c r="D151" s="534">
        <f>D152+D153</f>
        <v>27401</v>
      </c>
      <c r="E151" s="531">
        <f t="shared" si="17"/>
        <v>816</v>
      </c>
    </row>
    <row r="152" spans="1:5" s="506" customFormat="1" x14ac:dyDescent="0.2">
      <c r="A152" s="512">
        <v>4</v>
      </c>
      <c r="B152" s="511" t="s">
        <v>114</v>
      </c>
      <c r="C152" s="534">
        <v>22491</v>
      </c>
      <c r="D152" s="534">
        <v>25153</v>
      </c>
      <c r="E152" s="531">
        <f t="shared" si="17"/>
        <v>2662</v>
      </c>
    </row>
    <row r="153" spans="1:5" s="506" customFormat="1" x14ac:dyDescent="0.2">
      <c r="A153" s="512">
        <v>5</v>
      </c>
      <c r="B153" s="511" t="s">
        <v>713</v>
      </c>
      <c r="C153" s="535">
        <v>4094</v>
      </c>
      <c r="D153" s="534">
        <v>2248</v>
      </c>
      <c r="E153" s="531">
        <f t="shared" si="17"/>
        <v>-1846</v>
      </c>
    </row>
    <row r="154" spans="1:5" s="506" customFormat="1" x14ac:dyDescent="0.2">
      <c r="A154" s="512">
        <v>6</v>
      </c>
      <c r="B154" s="511" t="s">
        <v>418</v>
      </c>
      <c r="C154" s="534">
        <v>161</v>
      </c>
      <c r="D154" s="534">
        <v>116</v>
      </c>
      <c r="E154" s="531">
        <f t="shared" si="17"/>
        <v>-45</v>
      </c>
    </row>
    <row r="155" spans="1:5" s="506" customFormat="1" x14ac:dyDescent="0.2">
      <c r="A155" s="512">
        <v>7</v>
      </c>
      <c r="B155" s="511" t="s">
        <v>728</v>
      </c>
      <c r="C155" s="534">
        <v>1724</v>
      </c>
      <c r="D155" s="534">
        <v>1212</v>
      </c>
      <c r="E155" s="531">
        <f t="shared" si="17"/>
        <v>-512</v>
      </c>
    </row>
    <row r="156" spans="1:5" s="506" customFormat="1" x14ac:dyDescent="0.2">
      <c r="A156" s="512"/>
      <c r="B156" s="516" t="s">
        <v>777</v>
      </c>
      <c r="C156" s="532">
        <f>SUM(C150+C151+C154)</f>
        <v>76470</v>
      </c>
      <c r="D156" s="532">
        <f>SUM(D150+D151+D154)</f>
        <v>79896</v>
      </c>
      <c r="E156" s="533">
        <f t="shared" si="17"/>
        <v>3426</v>
      </c>
    </row>
    <row r="157" spans="1:5" s="506" customFormat="1" x14ac:dyDescent="0.2">
      <c r="A157" s="512"/>
      <c r="B157" s="516" t="s">
        <v>778</v>
      </c>
      <c r="C157" s="532">
        <f>SUM(C149+C156)</f>
        <v>103601</v>
      </c>
      <c r="D157" s="532">
        <f>SUM(D149+D156)</f>
        <v>104729</v>
      </c>
      <c r="E157" s="533">
        <f t="shared" si="17"/>
        <v>1128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621</v>
      </c>
      <c r="C161" s="536">
        <f t="shared" ref="C161:D169" si="18">IF(C137=0,0,C149/C137)</f>
        <v>3.8670182440136829</v>
      </c>
      <c r="D161" s="536">
        <f t="shared" si="18"/>
        <v>3.8759169658186359</v>
      </c>
      <c r="E161" s="537">
        <f t="shared" ref="E161:E169" si="19">D161-C161</f>
        <v>8.8987218049529915E-3</v>
      </c>
    </row>
    <row r="162" spans="1:5" s="506" customFormat="1" x14ac:dyDescent="0.2">
      <c r="A162" s="512">
        <v>2</v>
      </c>
      <c r="B162" s="511" t="s">
        <v>600</v>
      </c>
      <c r="C162" s="536">
        <f t="shared" si="18"/>
        <v>6.9964823413535955</v>
      </c>
      <c r="D162" s="536">
        <f t="shared" si="18"/>
        <v>7.5506703185815196</v>
      </c>
      <c r="E162" s="537">
        <f t="shared" si="19"/>
        <v>0.55418797722792412</v>
      </c>
    </row>
    <row r="163" spans="1:5" s="506" customFormat="1" x14ac:dyDescent="0.2">
      <c r="A163" s="512">
        <v>3</v>
      </c>
      <c r="B163" s="511" t="s">
        <v>746</v>
      </c>
      <c r="C163" s="536">
        <f t="shared" si="18"/>
        <v>4.6953373366301658</v>
      </c>
      <c r="D163" s="536">
        <f t="shared" si="18"/>
        <v>4.8309238363892808</v>
      </c>
      <c r="E163" s="537">
        <f t="shared" si="19"/>
        <v>0.13558649975911496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4.5326481257557436</v>
      </c>
      <c r="D164" s="536">
        <f t="shared" si="18"/>
        <v>4.7764906950246866</v>
      </c>
      <c r="E164" s="537">
        <f t="shared" si="19"/>
        <v>0.24384256926894299</v>
      </c>
    </row>
    <row r="165" spans="1:5" s="506" customFormat="1" x14ac:dyDescent="0.2">
      <c r="A165" s="512">
        <v>5</v>
      </c>
      <c r="B165" s="511" t="s">
        <v>713</v>
      </c>
      <c r="C165" s="536">
        <f t="shared" si="18"/>
        <v>5.8485714285714288</v>
      </c>
      <c r="D165" s="536">
        <f t="shared" si="18"/>
        <v>5.5369458128078817</v>
      </c>
      <c r="E165" s="537">
        <f t="shared" si="19"/>
        <v>-0.31162561576354708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7</v>
      </c>
      <c r="D166" s="536">
        <f t="shared" si="18"/>
        <v>4.1428571428571432</v>
      </c>
      <c r="E166" s="537">
        <f t="shared" si="19"/>
        <v>-2.8571428571428568</v>
      </c>
    </row>
    <row r="167" spans="1:5" s="506" customFormat="1" x14ac:dyDescent="0.2">
      <c r="A167" s="512">
        <v>7</v>
      </c>
      <c r="B167" s="511" t="s">
        <v>728</v>
      </c>
      <c r="C167" s="536">
        <f t="shared" si="18"/>
        <v>4.3316582914572868</v>
      </c>
      <c r="D167" s="536">
        <f t="shared" si="18"/>
        <v>3.897106109324759</v>
      </c>
      <c r="E167" s="537">
        <f t="shared" si="19"/>
        <v>-0.43455218213252778</v>
      </c>
    </row>
    <row r="168" spans="1:5" s="506" customFormat="1" x14ac:dyDescent="0.2">
      <c r="A168" s="512"/>
      <c r="B168" s="516" t="s">
        <v>780</v>
      </c>
      <c r="C168" s="538">
        <f t="shared" si="18"/>
        <v>5.977954971857411</v>
      </c>
      <c r="D168" s="538">
        <f t="shared" si="18"/>
        <v>6.3223866423993034</v>
      </c>
      <c r="E168" s="539">
        <f t="shared" si="19"/>
        <v>0.34443167054189239</v>
      </c>
    </row>
    <row r="169" spans="1:5" s="506" customFormat="1" x14ac:dyDescent="0.2">
      <c r="A169" s="512"/>
      <c r="B169" s="516" t="s">
        <v>714</v>
      </c>
      <c r="C169" s="538">
        <f t="shared" si="18"/>
        <v>5.2302605008077547</v>
      </c>
      <c r="D169" s="538">
        <f t="shared" si="18"/>
        <v>5.4993173703003571</v>
      </c>
      <c r="E169" s="539">
        <f t="shared" si="19"/>
        <v>0.26905686949260232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621</v>
      </c>
      <c r="C173" s="541">
        <f t="shared" ref="C173:D181" si="20">IF(C137=0,0,C203/C137)</f>
        <v>1.13717</v>
      </c>
      <c r="D173" s="541">
        <f t="shared" si="20"/>
        <v>1.1827700000000001</v>
      </c>
      <c r="E173" s="542">
        <f t="shared" ref="E173:E181" si="21">D173-C173</f>
        <v>4.5600000000000085E-2</v>
      </c>
    </row>
    <row r="174" spans="1:5" s="506" customFormat="1" x14ac:dyDescent="0.2">
      <c r="A174" s="512">
        <v>2</v>
      </c>
      <c r="B174" s="511" t="s">
        <v>600</v>
      </c>
      <c r="C174" s="541">
        <f t="shared" si="20"/>
        <v>1.64252</v>
      </c>
      <c r="D174" s="541">
        <f t="shared" si="20"/>
        <v>1.66225</v>
      </c>
      <c r="E174" s="542">
        <f t="shared" si="21"/>
        <v>1.9730000000000025E-2</v>
      </c>
    </row>
    <row r="175" spans="1:5" s="506" customFormat="1" x14ac:dyDescent="0.2">
      <c r="A175" s="512">
        <v>0</v>
      </c>
      <c r="B175" s="511" t="s">
        <v>746</v>
      </c>
      <c r="C175" s="541">
        <f t="shared" si="20"/>
        <v>0.95577911338749555</v>
      </c>
      <c r="D175" s="541">
        <f t="shared" si="20"/>
        <v>1.0187713117066293</v>
      </c>
      <c r="E175" s="542">
        <f t="shared" si="21"/>
        <v>6.2992198319133719E-2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0.96157000000000004</v>
      </c>
      <c r="D176" s="541">
        <f t="shared" si="20"/>
        <v>1.0019100000000001</v>
      </c>
      <c r="E176" s="542">
        <f t="shared" si="21"/>
        <v>4.0340000000000042E-2</v>
      </c>
    </row>
    <row r="177" spans="1:5" s="506" customFormat="1" x14ac:dyDescent="0.2">
      <c r="A177" s="512">
        <v>5</v>
      </c>
      <c r="B177" s="511" t="s">
        <v>713</v>
      </c>
      <c r="C177" s="541">
        <f t="shared" si="20"/>
        <v>0.91473000000000004</v>
      </c>
      <c r="D177" s="541">
        <f t="shared" si="20"/>
        <v>1.2374700000000001</v>
      </c>
      <c r="E177" s="542">
        <f t="shared" si="21"/>
        <v>0.32274000000000003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1.4279600000000001</v>
      </c>
      <c r="D178" s="541">
        <f t="shared" si="20"/>
        <v>1.0464</v>
      </c>
      <c r="E178" s="542">
        <f t="shared" si="21"/>
        <v>-0.38156000000000012</v>
      </c>
    </row>
    <row r="179" spans="1:5" s="506" customFormat="1" x14ac:dyDescent="0.2">
      <c r="A179" s="512">
        <v>7</v>
      </c>
      <c r="B179" s="511" t="s">
        <v>728</v>
      </c>
      <c r="C179" s="541">
        <f t="shared" si="20"/>
        <v>1.21574</v>
      </c>
      <c r="D179" s="541">
        <f t="shared" si="20"/>
        <v>1.18285</v>
      </c>
      <c r="E179" s="542">
        <f t="shared" si="21"/>
        <v>-3.2890000000000086E-2</v>
      </c>
    </row>
    <row r="180" spans="1:5" s="506" customFormat="1" x14ac:dyDescent="0.2">
      <c r="A180" s="512"/>
      <c r="B180" s="516" t="s">
        <v>782</v>
      </c>
      <c r="C180" s="543">
        <f t="shared" si="20"/>
        <v>1.3381687038774233</v>
      </c>
      <c r="D180" s="543">
        <f t="shared" si="20"/>
        <v>1.3720660227902193</v>
      </c>
      <c r="E180" s="544">
        <f t="shared" si="21"/>
        <v>3.3897318912796015E-2</v>
      </c>
    </row>
    <row r="181" spans="1:5" s="506" customFormat="1" x14ac:dyDescent="0.2">
      <c r="A181" s="512"/>
      <c r="B181" s="516" t="s">
        <v>691</v>
      </c>
      <c r="C181" s="543">
        <f t="shared" si="20"/>
        <v>1.2669748980210016</v>
      </c>
      <c r="D181" s="543">
        <f t="shared" si="20"/>
        <v>1.3083808926696074</v>
      </c>
      <c r="E181" s="544">
        <f t="shared" si="21"/>
        <v>4.1405994648605837E-2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784</v>
      </c>
      <c r="C185" s="513">
        <v>340205958</v>
      </c>
      <c r="D185" s="513">
        <v>349741731</v>
      </c>
      <c r="E185" s="514">
        <f>D185-C185</f>
        <v>9535773</v>
      </c>
    </row>
    <row r="186" spans="1:5" s="506" customFormat="1" ht="25.5" x14ac:dyDescent="0.2">
      <c r="A186" s="512">
        <v>2</v>
      </c>
      <c r="B186" s="511" t="s">
        <v>785</v>
      </c>
      <c r="C186" s="513">
        <v>137366697</v>
      </c>
      <c r="D186" s="513">
        <v>135799425</v>
      </c>
      <c r="E186" s="514">
        <f>D186-C186</f>
        <v>-1567272</v>
      </c>
    </row>
    <row r="187" spans="1:5" s="506" customFormat="1" x14ac:dyDescent="0.2">
      <c r="A187" s="512"/>
      <c r="B187" s="511" t="s">
        <v>633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717</v>
      </c>
      <c r="C188" s="546">
        <f>+C185-C186</f>
        <v>202839261</v>
      </c>
      <c r="D188" s="546">
        <f>+D185-D186</f>
        <v>213942306</v>
      </c>
      <c r="E188" s="514">
        <f t="shared" ref="E188:E197" si="22">D188-C188</f>
        <v>11103045</v>
      </c>
    </row>
    <row r="189" spans="1:5" s="506" customFormat="1" x14ac:dyDescent="0.2">
      <c r="A189" s="512">
        <v>4</v>
      </c>
      <c r="B189" s="511" t="s">
        <v>635</v>
      </c>
      <c r="C189" s="547">
        <f>IF(C185=0,0,+C188/C185)</f>
        <v>0.59622489327479677</v>
      </c>
      <c r="D189" s="547">
        <f>IF(D185=0,0,+D188/D185)</f>
        <v>0.61171512300886965</v>
      </c>
      <c r="E189" s="523">
        <f t="shared" si="22"/>
        <v>1.549022973407288E-2</v>
      </c>
    </row>
    <row r="190" spans="1:5" s="506" customFormat="1" x14ac:dyDescent="0.2">
      <c r="A190" s="512">
        <v>5</v>
      </c>
      <c r="B190" s="511" t="s">
        <v>732</v>
      </c>
      <c r="C190" s="513">
        <v>1218589</v>
      </c>
      <c r="D190" s="513">
        <v>1451547</v>
      </c>
      <c r="E190" s="546">
        <f t="shared" si="22"/>
        <v>232958</v>
      </c>
    </row>
    <row r="191" spans="1:5" s="506" customFormat="1" x14ac:dyDescent="0.2">
      <c r="A191" s="512">
        <v>6</v>
      </c>
      <c r="B191" s="511" t="s">
        <v>718</v>
      </c>
      <c r="C191" s="513">
        <v>833366</v>
      </c>
      <c r="D191" s="513">
        <v>1011938</v>
      </c>
      <c r="E191" s="546">
        <f t="shared" si="22"/>
        <v>178572</v>
      </c>
    </row>
    <row r="192" spans="1:5" ht="29.25" x14ac:dyDescent="0.2">
      <c r="A192" s="512">
        <v>7</v>
      </c>
      <c r="B192" s="548" t="s">
        <v>786</v>
      </c>
      <c r="C192" s="513">
        <v>3383714</v>
      </c>
      <c r="D192" s="513">
        <v>2988794</v>
      </c>
      <c r="E192" s="546">
        <f t="shared" si="22"/>
        <v>-394920</v>
      </c>
    </row>
    <row r="193" spans="1:5" s="506" customFormat="1" x14ac:dyDescent="0.2">
      <c r="A193" s="512">
        <v>8</v>
      </c>
      <c r="B193" s="511" t="s">
        <v>787</v>
      </c>
      <c r="C193" s="513">
        <v>15999852</v>
      </c>
      <c r="D193" s="513">
        <v>12024692</v>
      </c>
      <c r="E193" s="546">
        <f t="shared" si="22"/>
        <v>-3975160</v>
      </c>
    </row>
    <row r="194" spans="1:5" s="506" customFormat="1" x14ac:dyDescent="0.2">
      <c r="A194" s="512">
        <v>9</v>
      </c>
      <c r="B194" s="511" t="s">
        <v>788</v>
      </c>
      <c r="C194" s="513">
        <v>32293223</v>
      </c>
      <c r="D194" s="513">
        <v>25581567</v>
      </c>
      <c r="E194" s="546">
        <f t="shared" si="22"/>
        <v>-6711656</v>
      </c>
    </row>
    <row r="195" spans="1:5" s="506" customFormat="1" x14ac:dyDescent="0.2">
      <c r="A195" s="512">
        <v>10</v>
      </c>
      <c r="B195" s="511" t="s">
        <v>789</v>
      </c>
      <c r="C195" s="513">
        <f>+C193+C194</f>
        <v>48293075</v>
      </c>
      <c r="D195" s="513">
        <f>+D193+D194</f>
        <v>37606259</v>
      </c>
      <c r="E195" s="549">
        <f t="shared" si="22"/>
        <v>-10686816</v>
      </c>
    </row>
    <row r="196" spans="1:5" s="506" customFormat="1" x14ac:dyDescent="0.2">
      <c r="A196" s="512">
        <v>11</v>
      </c>
      <c r="B196" s="511" t="s">
        <v>790</v>
      </c>
      <c r="C196" s="513">
        <v>340205958</v>
      </c>
      <c r="D196" s="513">
        <v>349741731</v>
      </c>
      <c r="E196" s="546">
        <f t="shared" si="22"/>
        <v>9535773</v>
      </c>
    </row>
    <row r="197" spans="1:5" s="506" customFormat="1" x14ac:dyDescent="0.2">
      <c r="A197" s="512">
        <v>12</v>
      </c>
      <c r="B197" s="511" t="s">
        <v>675</v>
      </c>
      <c r="C197" s="513">
        <v>351055000</v>
      </c>
      <c r="D197" s="513">
        <v>350215000</v>
      </c>
      <c r="E197" s="546">
        <f t="shared" si="22"/>
        <v>-840000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621</v>
      </c>
      <c r="C203" s="553">
        <v>7978.38472</v>
      </c>
      <c r="D203" s="553">
        <v>7578.0073900000007</v>
      </c>
      <c r="E203" s="554">
        <f t="shared" ref="E203:E211" si="23">D203-C203</f>
        <v>-400.37732999999935</v>
      </c>
    </row>
    <row r="204" spans="1:5" s="506" customFormat="1" x14ac:dyDescent="0.2">
      <c r="A204" s="512">
        <v>2</v>
      </c>
      <c r="B204" s="511" t="s">
        <v>600</v>
      </c>
      <c r="C204" s="553">
        <v>11673.389639999999</v>
      </c>
      <c r="D204" s="553">
        <v>11531.028249999999</v>
      </c>
      <c r="E204" s="554">
        <f t="shared" si="23"/>
        <v>-142.36139000000003</v>
      </c>
    </row>
    <row r="205" spans="1:5" s="506" customFormat="1" x14ac:dyDescent="0.2">
      <c r="A205" s="512">
        <v>3</v>
      </c>
      <c r="B205" s="511" t="s">
        <v>746</v>
      </c>
      <c r="C205" s="553">
        <f>C206+C207</f>
        <v>5411.6213399999997</v>
      </c>
      <c r="D205" s="553">
        <f>D206+D207</f>
        <v>5778.4708800000008</v>
      </c>
      <c r="E205" s="554">
        <f t="shared" si="23"/>
        <v>366.84954000000107</v>
      </c>
    </row>
    <row r="206" spans="1:5" s="506" customFormat="1" x14ac:dyDescent="0.2">
      <c r="A206" s="512">
        <v>4</v>
      </c>
      <c r="B206" s="511" t="s">
        <v>114</v>
      </c>
      <c r="C206" s="553">
        <v>4771.31034</v>
      </c>
      <c r="D206" s="553">
        <v>5276.0580600000003</v>
      </c>
      <c r="E206" s="554">
        <f t="shared" si="23"/>
        <v>504.7477200000003</v>
      </c>
    </row>
    <row r="207" spans="1:5" s="506" customFormat="1" x14ac:dyDescent="0.2">
      <c r="A207" s="512">
        <v>5</v>
      </c>
      <c r="B207" s="511" t="s">
        <v>713</v>
      </c>
      <c r="C207" s="553">
        <v>640.31100000000004</v>
      </c>
      <c r="D207" s="553">
        <v>502.41282000000001</v>
      </c>
      <c r="E207" s="554">
        <f t="shared" si="23"/>
        <v>-137.89818000000002</v>
      </c>
    </row>
    <row r="208" spans="1:5" s="506" customFormat="1" x14ac:dyDescent="0.2">
      <c r="A208" s="512">
        <v>6</v>
      </c>
      <c r="B208" s="511" t="s">
        <v>418</v>
      </c>
      <c r="C208" s="553">
        <v>32.84308</v>
      </c>
      <c r="D208" s="553">
        <v>29.299199999999999</v>
      </c>
      <c r="E208" s="554">
        <f t="shared" si="23"/>
        <v>-3.5438800000000015</v>
      </c>
    </row>
    <row r="209" spans="1:5" s="506" customFormat="1" x14ac:dyDescent="0.2">
      <c r="A209" s="512">
        <v>7</v>
      </c>
      <c r="B209" s="511" t="s">
        <v>728</v>
      </c>
      <c r="C209" s="553">
        <v>483.86452000000003</v>
      </c>
      <c r="D209" s="553">
        <v>367.86635000000001</v>
      </c>
      <c r="E209" s="554">
        <f t="shared" si="23"/>
        <v>-115.99817000000002</v>
      </c>
    </row>
    <row r="210" spans="1:5" s="506" customFormat="1" x14ac:dyDescent="0.2">
      <c r="A210" s="512"/>
      <c r="B210" s="516" t="s">
        <v>793</v>
      </c>
      <c r="C210" s="555">
        <f>C204+C205+C208</f>
        <v>17117.854059999998</v>
      </c>
      <c r="D210" s="555">
        <f>D204+D205+D208</f>
        <v>17338.798330000001</v>
      </c>
      <c r="E210" s="556">
        <f t="shared" si="23"/>
        <v>220.9442700000036</v>
      </c>
    </row>
    <row r="211" spans="1:5" s="506" customFormat="1" x14ac:dyDescent="0.2">
      <c r="A211" s="512"/>
      <c r="B211" s="516" t="s">
        <v>692</v>
      </c>
      <c r="C211" s="555">
        <f>C210+C203</f>
        <v>25096.23878</v>
      </c>
      <c r="D211" s="555">
        <f>D210+D203</f>
        <v>24916.805720000004</v>
      </c>
      <c r="E211" s="556">
        <f t="shared" si="23"/>
        <v>-179.43305999999575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621</v>
      </c>
      <c r="C215" s="557">
        <f>IF(C14*C137=0,0,C25/C14*C137)</f>
        <v>6719.4577577073633</v>
      </c>
      <c r="D215" s="557">
        <f>IF(D14*D137=0,0,D25/D14*D137)</f>
        <v>6829.9926318794805</v>
      </c>
      <c r="E215" s="557">
        <f t="shared" ref="E215:E223" si="24">D215-C215</f>
        <v>110.53487417211727</v>
      </c>
    </row>
    <row r="216" spans="1:5" s="506" customFormat="1" x14ac:dyDescent="0.2">
      <c r="A216" s="512">
        <v>2</v>
      </c>
      <c r="B216" s="511" t="s">
        <v>600</v>
      </c>
      <c r="C216" s="557">
        <f>IF(C15*C138=0,0,C26/C15*C138)</f>
        <v>2157.9609326825898</v>
      </c>
      <c r="D216" s="557">
        <f>IF(D15*D138=0,0,D26/D15*D138)</f>
        <v>2392.9608724642148</v>
      </c>
      <c r="E216" s="557">
        <f t="shared" si="24"/>
        <v>234.99993978162502</v>
      </c>
    </row>
    <row r="217" spans="1:5" s="506" customFormat="1" x14ac:dyDescent="0.2">
      <c r="A217" s="512">
        <v>3</v>
      </c>
      <c r="B217" s="511" t="s">
        <v>746</v>
      </c>
      <c r="C217" s="557">
        <f>C218+C219</f>
        <v>4487.1030698602481</v>
      </c>
      <c r="D217" s="557">
        <f>D218+D219</f>
        <v>4884.5250748345761</v>
      </c>
      <c r="E217" s="557">
        <f t="shared" si="24"/>
        <v>397.42200497432805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3836.9406752436353</v>
      </c>
      <c r="D218" s="557">
        <f t="shared" si="25"/>
        <v>4486.440760819929</v>
      </c>
      <c r="E218" s="557">
        <f t="shared" si="24"/>
        <v>649.50008557629371</v>
      </c>
    </row>
    <row r="219" spans="1:5" s="506" customFormat="1" x14ac:dyDescent="0.2">
      <c r="A219" s="512">
        <v>5</v>
      </c>
      <c r="B219" s="511" t="s">
        <v>713</v>
      </c>
      <c r="C219" s="557">
        <f t="shared" si="25"/>
        <v>650.1623946166128</v>
      </c>
      <c r="D219" s="557">
        <f t="shared" si="25"/>
        <v>398.08431401464748</v>
      </c>
      <c r="E219" s="557">
        <f t="shared" si="24"/>
        <v>-252.07808060196533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9.5270676930428877</v>
      </c>
      <c r="D220" s="557">
        <f t="shared" si="25"/>
        <v>24.431618891338903</v>
      </c>
      <c r="E220" s="557">
        <f t="shared" si="24"/>
        <v>14.904551198296016</v>
      </c>
    </row>
    <row r="221" spans="1:5" s="506" customFormat="1" x14ac:dyDescent="0.2">
      <c r="A221" s="512">
        <v>7</v>
      </c>
      <c r="B221" s="511" t="s">
        <v>728</v>
      </c>
      <c r="C221" s="557">
        <f t="shared" si="25"/>
        <v>889.22102502191922</v>
      </c>
      <c r="D221" s="557">
        <f t="shared" si="25"/>
        <v>993.36733340764613</v>
      </c>
      <c r="E221" s="557">
        <f t="shared" si="24"/>
        <v>104.14630838572691</v>
      </c>
    </row>
    <row r="222" spans="1:5" s="506" customFormat="1" x14ac:dyDescent="0.2">
      <c r="A222" s="512"/>
      <c r="B222" s="516" t="s">
        <v>795</v>
      </c>
      <c r="C222" s="558">
        <f>C216+C218+C219+C220</f>
        <v>6654.5910702358815</v>
      </c>
      <c r="D222" s="558">
        <f>D216+D218+D219+D220</f>
        <v>7301.9175661901299</v>
      </c>
      <c r="E222" s="558">
        <f t="shared" si="24"/>
        <v>647.32649595424846</v>
      </c>
    </row>
    <row r="223" spans="1:5" s="506" customFormat="1" x14ac:dyDescent="0.2">
      <c r="A223" s="512"/>
      <c r="B223" s="516" t="s">
        <v>796</v>
      </c>
      <c r="C223" s="558">
        <f>C215+C222</f>
        <v>13374.048827943245</v>
      </c>
      <c r="D223" s="558">
        <f>D215+D222</f>
        <v>14131.91019806961</v>
      </c>
      <c r="E223" s="558">
        <f t="shared" si="24"/>
        <v>757.86137012636573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621</v>
      </c>
      <c r="C227" s="560">
        <f t="shared" ref="C227:D235" si="26">IF(C203=0,0,C47/C203)</f>
        <v>10171.919861994322</v>
      </c>
      <c r="D227" s="560">
        <f t="shared" si="26"/>
        <v>11366.803378110719</v>
      </c>
      <c r="E227" s="560">
        <f t="shared" ref="E227:E235" si="27">D227-C227</f>
        <v>1194.883516116397</v>
      </c>
    </row>
    <row r="228" spans="1:5" s="506" customFormat="1" x14ac:dyDescent="0.2">
      <c r="A228" s="512">
        <v>2</v>
      </c>
      <c r="B228" s="511" t="s">
        <v>600</v>
      </c>
      <c r="C228" s="560">
        <f t="shared" si="26"/>
        <v>9876.3300596895006</v>
      </c>
      <c r="D228" s="560">
        <f t="shared" si="26"/>
        <v>9456.1914719097149</v>
      </c>
      <c r="E228" s="560">
        <f t="shared" si="27"/>
        <v>-420.13858777978567</v>
      </c>
    </row>
    <row r="229" spans="1:5" s="506" customFormat="1" x14ac:dyDescent="0.2">
      <c r="A229" s="512">
        <v>3</v>
      </c>
      <c r="B229" s="511" t="s">
        <v>746</v>
      </c>
      <c r="C229" s="560">
        <f t="shared" si="26"/>
        <v>6859.4374343272148</v>
      </c>
      <c r="D229" s="560">
        <f t="shared" si="26"/>
        <v>6629.7897481141226</v>
      </c>
      <c r="E229" s="560">
        <f t="shared" si="27"/>
        <v>-229.64768621309213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7097.6510825745199</v>
      </c>
      <c r="D230" s="560">
        <f t="shared" si="26"/>
        <v>6965.5943096274414</v>
      </c>
      <c r="E230" s="560">
        <f t="shared" si="27"/>
        <v>-132.05677294707857</v>
      </c>
    </row>
    <row r="231" spans="1:5" s="506" customFormat="1" x14ac:dyDescent="0.2">
      <c r="A231" s="512">
        <v>5</v>
      </c>
      <c r="B231" s="511" t="s">
        <v>713</v>
      </c>
      <c r="C231" s="560">
        <f t="shared" si="26"/>
        <v>5084.3761859471406</v>
      </c>
      <c r="D231" s="560">
        <f t="shared" si="26"/>
        <v>3103.3583100049077</v>
      </c>
      <c r="E231" s="560">
        <f t="shared" si="27"/>
        <v>-1981.0178759422329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10569.136633957594</v>
      </c>
      <c r="D232" s="560">
        <f t="shared" si="26"/>
        <v>2848.4054172127567</v>
      </c>
      <c r="E232" s="560">
        <f t="shared" si="27"/>
        <v>-7720.7312167448381</v>
      </c>
    </row>
    <row r="233" spans="1:5" s="506" customFormat="1" x14ac:dyDescent="0.2">
      <c r="A233" s="512">
        <v>7</v>
      </c>
      <c r="B233" s="511" t="s">
        <v>728</v>
      </c>
      <c r="C233" s="560">
        <f t="shared" si="26"/>
        <v>2108.2616266222617</v>
      </c>
      <c r="D233" s="560">
        <f t="shared" si="26"/>
        <v>2588.9293761171684</v>
      </c>
      <c r="E233" s="560">
        <f t="shared" si="27"/>
        <v>480.66774949490673</v>
      </c>
    </row>
    <row r="234" spans="1:5" x14ac:dyDescent="0.2">
      <c r="A234" s="512"/>
      <c r="B234" s="516" t="s">
        <v>798</v>
      </c>
      <c r="C234" s="561">
        <f t="shared" si="26"/>
        <v>8923.9018783876709</v>
      </c>
      <c r="D234" s="561">
        <f t="shared" si="26"/>
        <v>8503.0756569160694</v>
      </c>
      <c r="E234" s="561">
        <f t="shared" si="27"/>
        <v>-420.82622147160146</v>
      </c>
    </row>
    <row r="235" spans="1:5" s="506" customFormat="1" x14ac:dyDescent="0.2">
      <c r="A235" s="512"/>
      <c r="B235" s="516" t="s">
        <v>799</v>
      </c>
      <c r="C235" s="561">
        <f t="shared" si="26"/>
        <v>9320.6612373489697</v>
      </c>
      <c r="D235" s="561">
        <f t="shared" si="26"/>
        <v>9374.0279803409721</v>
      </c>
      <c r="E235" s="561">
        <f t="shared" si="27"/>
        <v>53.366742992002401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621</v>
      </c>
      <c r="C239" s="560">
        <f t="shared" ref="C239:D247" si="28">IF(C215=0,0,C58/C215)</f>
        <v>8835.7872228453816</v>
      </c>
      <c r="D239" s="560">
        <f t="shared" si="28"/>
        <v>9741.4720023923492</v>
      </c>
      <c r="E239" s="562">
        <f t="shared" ref="E239:E247" si="29">D239-C239</f>
        <v>905.68477954696755</v>
      </c>
    </row>
    <row r="240" spans="1:5" s="506" customFormat="1" x14ac:dyDescent="0.2">
      <c r="A240" s="512">
        <v>2</v>
      </c>
      <c r="B240" s="511" t="s">
        <v>600</v>
      </c>
      <c r="C240" s="560">
        <f t="shared" si="28"/>
        <v>9974.8701072366093</v>
      </c>
      <c r="D240" s="560">
        <f t="shared" si="28"/>
        <v>9196.6911173676563</v>
      </c>
      <c r="E240" s="562">
        <f t="shared" si="29"/>
        <v>-778.17898986895307</v>
      </c>
    </row>
    <row r="241" spans="1:5" x14ac:dyDescent="0.2">
      <c r="A241" s="512">
        <v>3</v>
      </c>
      <c r="B241" s="511" t="s">
        <v>746</v>
      </c>
      <c r="C241" s="560">
        <f t="shared" si="28"/>
        <v>5567.322526598</v>
      </c>
      <c r="D241" s="560">
        <f t="shared" si="28"/>
        <v>4927.7173586451827</v>
      </c>
      <c r="E241" s="562">
        <f t="shared" si="29"/>
        <v>-639.60516795281728</v>
      </c>
    </row>
    <row r="242" spans="1:5" x14ac:dyDescent="0.2">
      <c r="A242" s="512">
        <v>4</v>
      </c>
      <c r="B242" s="511" t="s">
        <v>114</v>
      </c>
      <c r="C242" s="560">
        <f t="shared" si="28"/>
        <v>5732.6513130420826</v>
      </c>
      <c r="D242" s="560">
        <f t="shared" si="28"/>
        <v>5040.3692382349109</v>
      </c>
      <c r="E242" s="562">
        <f t="shared" si="29"/>
        <v>-692.28207480717174</v>
      </c>
    </row>
    <row r="243" spans="1:5" x14ac:dyDescent="0.2">
      <c r="A243" s="512">
        <v>5</v>
      </c>
      <c r="B243" s="511" t="s">
        <v>713</v>
      </c>
      <c r="C243" s="560">
        <f t="shared" si="28"/>
        <v>4591.6328362245149</v>
      </c>
      <c r="D243" s="560">
        <f t="shared" si="28"/>
        <v>3658.1220327772517</v>
      </c>
      <c r="E243" s="562">
        <f t="shared" si="29"/>
        <v>-933.51080344726324</v>
      </c>
    </row>
    <row r="244" spans="1:5" x14ac:dyDescent="0.2">
      <c r="A244" s="512">
        <v>6</v>
      </c>
      <c r="B244" s="511" t="s">
        <v>418</v>
      </c>
      <c r="C244" s="560">
        <f t="shared" si="28"/>
        <v>13813.274371515225</v>
      </c>
      <c r="D244" s="560">
        <f t="shared" si="28"/>
        <v>6921.8090193749076</v>
      </c>
      <c r="E244" s="562">
        <f t="shared" si="29"/>
        <v>-6891.465352140317</v>
      </c>
    </row>
    <row r="245" spans="1:5" x14ac:dyDescent="0.2">
      <c r="A245" s="512">
        <v>7</v>
      </c>
      <c r="B245" s="511" t="s">
        <v>728</v>
      </c>
      <c r="C245" s="560">
        <f t="shared" si="28"/>
        <v>1973.8129785637216</v>
      </c>
      <c r="D245" s="560">
        <f t="shared" si="28"/>
        <v>2352.039292438863</v>
      </c>
      <c r="E245" s="562">
        <f t="shared" si="29"/>
        <v>378.22631387514139</v>
      </c>
    </row>
    <row r="246" spans="1:5" ht="25.5" x14ac:dyDescent="0.2">
      <c r="A246" s="512"/>
      <c r="B246" s="516" t="s">
        <v>801</v>
      </c>
      <c r="C246" s="561">
        <f t="shared" si="28"/>
        <v>7008.4141170746416</v>
      </c>
      <c r="D246" s="561">
        <f t="shared" si="28"/>
        <v>6333.4037368665404</v>
      </c>
      <c r="E246" s="563">
        <f t="shared" si="29"/>
        <v>-675.0103802081012</v>
      </c>
    </row>
    <row r="247" spans="1:5" x14ac:dyDescent="0.2">
      <c r="A247" s="512"/>
      <c r="B247" s="516" t="s">
        <v>802</v>
      </c>
      <c r="C247" s="561">
        <f t="shared" si="28"/>
        <v>7926.5322239968928</v>
      </c>
      <c r="D247" s="561">
        <f t="shared" si="28"/>
        <v>7980.5328805022791</v>
      </c>
      <c r="E247" s="563">
        <f t="shared" si="29"/>
        <v>54.00065650538636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730</v>
      </c>
      <c r="B249" s="550" t="s">
        <v>727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16277141.844727987</v>
      </c>
      <c r="D251" s="546">
        <f>((IF((IF(D15=0,0,D26/D15)*D138)=0,0,D59/(IF(D15=0,0,D26/D15)*D138)))-(IF((IF(D17=0,0,D28/D17)*D140)=0,0,D61/(IF(D17=0,0,D28/D17)*D140))))*(IF(D17=0,0,D28/D17)*D140)</f>
        <v>18647091.893628832</v>
      </c>
      <c r="E251" s="546">
        <f>D251-C251</f>
        <v>2369950.0489008445</v>
      </c>
    </row>
    <row r="252" spans="1:5" x14ac:dyDescent="0.2">
      <c r="A252" s="512">
        <v>2</v>
      </c>
      <c r="B252" s="511" t="s">
        <v>713</v>
      </c>
      <c r="C252" s="546">
        <f>IF(C231=0,0,(C228-C231)*C207)+IF(C243=0,0,(C240-C243)*C219)</f>
        <v>6568319.2117604678</v>
      </c>
      <c r="D252" s="546">
        <f>IF(D231=0,0,(D228-D231)*D207)+IF(D243=0,0,(D240-D243)*D219)</f>
        <v>5396562.2985240165</v>
      </c>
      <c r="E252" s="546">
        <f>D252-C252</f>
        <v>-1171756.9132364513</v>
      </c>
    </row>
    <row r="253" spans="1:5" x14ac:dyDescent="0.2">
      <c r="A253" s="512">
        <v>3</v>
      </c>
      <c r="B253" s="511" t="s">
        <v>728</v>
      </c>
      <c r="C253" s="546">
        <f>IF(C233=0,0,(C228-C233)*C209+IF(C221=0,0,(C240-C245)*C221))</f>
        <v>10873400.924910672</v>
      </c>
      <c r="D253" s="546">
        <f>IF(D233=0,0,(D228-D233)*D209+IF(D221=0,0,(D240-D245)*D221))</f>
        <v>9325488.1731058471</v>
      </c>
      <c r="E253" s="546">
        <f>D253-C253</f>
        <v>-1547912.7518048249</v>
      </c>
    </row>
    <row r="254" spans="1:5" ht="15" customHeight="1" x14ac:dyDescent="0.2">
      <c r="A254" s="512"/>
      <c r="B254" s="516" t="s">
        <v>729</v>
      </c>
      <c r="C254" s="564">
        <f>+C251+C252+C253</f>
        <v>33718861.981399126</v>
      </c>
      <c r="D254" s="564">
        <f>+D251+D252+D253</f>
        <v>33369142.365258697</v>
      </c>
      <c r="E254" s="564">
        <f>D254-C254</f>
        <v>-349719.61614042893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803</v>
      </c>
      <c r="B256" s="550" t="s">
        <v>804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695</v>
      </c>
      <c r="C258" s="546">
        <f>+C44</f>
        <v>1105534503</v>
      </c>
      <c r="D258" s="549">
        <f>+D44</f>
        <v>1185589696</v>
      </c>
      <c r="E258" s="546">
        <f t="shared" ref="E258:E271" si="30">D258-C258</f>
        <v>80055193</v>
      </c>
    </row>
    <row r="259" spans="1:5" x14ac:dyDescent="0.2">
      <c r="A259" s="512">
        <v>2</v>
      </c>
      <c r="B259" s="511" t="s">
        <v>712</v>
      </c>
      <c r="C259" s="546">
        <f>+(C43-C76)</f>
        <v>503954942</v>
      </c>
      <c r="D259" s="549">
        <f>+(D43-D76)</f>
        <v>586704949</v>
      </c>
      <c r="E259" s="546">
        <f t="shared" si="30"/>
        <v>82750007</v>
      </c>
    </row>
    <row r="260" spans="1:5" x14ac:dyDescent="0.2">
      <c r="A260" s="512">
        <v>3</v>
      </c>
      <c r="B260" s="511" t="s">
        <v>716</v>
      </c>
      <c r="C260" s="546">
        <f>C195</f>
        <v>48293075</v>
      </c>
      <c r="D260" s="546">
        <f>D195</f>
        <v>37606259</v>
      </c>
      <c r="E260" s="546">
        <f t="shared" si="30"/>
        <v>-10686816</v>
      </c>
    </row>
    <row r="261" spans="1:5" x14ac:dyDescent="0.2">
      <c r="A261" s="512">
        <v>4</v>
      </c>
      <c r="B261" s="511" t="s">
        <v>717</v>
      </c>
      <c r="C261" s="546">
        <f>C188</f>
        <v>202839261</v>
      </c>
      <c r="D261" s="546">
        <f>D188</f>
        <v>213942306</v>
      </c>
      <c r="E261" s="546">
        <f t="shared" si="30"/>
        <v>11103045</v>
      </c>
    </row>
    <row r="262" spans="1:5" x14ac:dyDescent="0.2">
      <c r="A262" s="512">
        <v>5</v>
      </c>
      <c r="B262" s="511" t="s">
        <v>718</v>
      </c>
      <c r="C262" s="546">
        <f>C191</f>
        <v>833366</v>
      </c>
      <c r="D262" s="546">
        <f>D191</f>
        <v>1011938</v>
      </c>
      <c r="E262" s="546">
        <f t="shared" si="30"/>
        <v>178572</v>
      </c>
    </row>
    <row r="263" spans="1:5" x14ac:dyDescent="0.2">
      <c r="A263" s="512">
        <v>6</v>
      </c>
      <c r="B263" s="511" t="s">
        <v>719</v>
      </c>
      <c r="C263" s="546">
        <f>+C259+C260+C261+C262</f>
        <v>755920644</v>
      </c>
      <c r="D263" s="546">
        <f>+D259+D260+D261+D262</f>
        <v>839265452</v>
      </c>
      <c r="E263" s="546">
        <f t="shared" si="30"/>
        <v>83344808</v>
      </c>
    </row>
    <row r="264" spans="1:5" x14ac:dyDescent="0.2">
      <c r="A264" s="512">
        <v>7</v>
      </c>
      <c r="B264" s="511" t="s">
        <v>619</v>
      </c>
      <c r="C264" s="546">
        <f>+C258-C263</f>
        <v>349613859</v>
      </c>
      <c r="D264" s="546">
        <f>+D258-D263</f>
        <v>346324244</v>
      </c>
      <c r="E264" s="546">
        <f t="shared" si="30"/>
        <v>-3289615</v>
      </c>
    </row>
    <row r="265" spans="1:5" x14ac:dyDescent="0.2">
      <c r="A265" s="512">
        <v>8</v>
      </c>
      <c r="B265" s="511" t="s">
        <v>805</v>
      </c>
      <c r="C265" s="565">
        <f>C192</f>
        <v>3383714</v>
      </c>
      <c r="D265" s="565">
        <f>D192</f>
        <v>2988794</v>
      </c>
      <c r="E265" s="546">
        <f t="shared" si="30"/>
        <v>-394920</v>
      </c>
    </row>
    <row r="266" spans="1:5" x14ac:dyDescent="0.2">
      <c r="A266" s="512">
        <v>9</v>
      </c>
      <c r="B266" s="511" t="s">
        <v>806</v>
      </c>
      <c r="C266" s="546">
        <f>+C264+C265</f>
        <v>352997573</v>
      </c>
      <c r="D266" s="546">
        <f>+D264+D265</f>
        <v>349313038</v>
      </c>
      <c r="E266" s="565">
        <f t="shared" si="30"/>
        <v>-3684535</v>
      </c>
    </row>
    <row r="267" spans="1:5" x14ac:dyDescent="0.2">
      <c r="A267" s="512">
        <v>10</v>
      </c>
      <c r="B267" s="511" t="s">
        <v>807</v>
      </c>
      <c r="C267" s="566">
        <f>IF(C258=0,0,C266/C258)</f>
        <v>0.31930036741693624</v>
      </c>
      <c r="D267" s="566">
        <f>IF(D258=0,0,D266/D258)</f>
        <v>0.29463231603524326</v>
      </c>
      <c r="E267" s="567">
        <f t="shared" si="30"/>
        <v>-2.4668051381692979E-2</v>
      </c>
    </row>
    <row r="268" spans="1:5" x14ac:dyDescent="0.2">
      <c r="A268" s="512">
        <v>11</v>
      </c>
      <c r="B268" s="511" t="s">
        <v>681</v>
      </c>
      <c r="C268" s="546">
        <f>+C260*C267</f>
        <v>15419996.591193657</v>
      </c>
      <c r="D268" s="568">
        <f>+D260*D267</f>
        <v>11080019.186591212</v>
      </c>
      <c r="E268" s="546">
        <f t="shared" si="30"/>
        <v>-4339977.4046024457</v>
      </c>
    </row>
    <row r="269" spans="1:5" x14ac:dyDescent="0.2">
      <c r="A269" s="512">
        <v>12</v>
      </c>
      <c r="B269" s="511" t="s">
        <v>808</v>
      </c>
      <c r="C269" s="546">
        <f>((C17+C18+C28+C29)*C267)-(C50+C51+C61+C62)</f>
        <v>26729693.963076875</v>
      </c>
      <c r="D269" s="568">
        <f>((D17+D18+D28+D29)*D267)-(D50+D51+D61+D62)</f>
        <v>29366092.608358413</v>
      </c>
      <c r="E269" s="546">
        <f t="shared" si="30"/>
        <v>2636398.6452815384</v>
      </c>
    </row>
    <row r="270" spans="1:5" s="569" customFormat="1" x14ac:dyDescent="0.2">
      <c r="A270" s="570">
        <v>13</v>
      </c>
      <c r="B270" s="571" t="s">
        <v>809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810</v>
      </c>
      <c r="C271" s="546">
        <f>+C268+C269+C270</f>
        <v>42149690.554270536</v>
      </c>
      <c r="D271" s="546">
        <f>+D268+D269+D270</f>
        <v>40446111.794949621</v>
      </c>
      <c r="E271" s="549">
        <f t="shared" si="30"/>
        <v>-1703578.7593209147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811</v>
      </c>
      <c r="B273" s="550" t="s">
        <v>812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813</v>
      </c>
      <c r="C275" s="340"/>
      <c r="D275" s="340"/>
      <c r="E275" s="520"/>
    </row>
    <row r="276" spans="1:5" x14ac:dyDescent="0.2">
      <c r="A276" s="512">
        <v>1</v>
      </c>
      <c r="B276" s="511" t="s">
        <v>621</v>
      </c>
      <c r="C276" s="547">
        <f t="shared" ref="C276:D284" si="31">IF(C14=0,0,+C47/C14)</f>
        <v>0.39504570167559311</v>
      </c>
      <c r="D276" s="547">
        <f t="shared" si="31"/>
        <v>0.43919005011090223</v>
      </c>
      <c r="E276" s="574">
        <f t="shared" ref="E276:E284" si="32">D276-C276</f>
        <v>4.4144348435309122E-2</v>
      </c>
    </row>
    <row r="277" spans="1:5" x14ac:dyDescent="0.2">
      <c r="A277" s="512">
        <v>2</v>
      </c>
      <c r="B277" s="511" t="s">
        <v>600</v>
      </c>
      <c r="C277" s="547">
        <f t="shared" si="31"/>
        <v>0.35493275996715856</v>
      </c>
      <c r="D277" s="547">
        <f t="shared" si="31"/>
        <v>0.31367524102607863</v>
      </c>
      <c r="E277" s="574">
        <f t="shared" si="32"/>
        <v>-4.1257518941079929E-2</v>
      </c>
    </row>
    <row r="278" spans="1:5" x14ac:dyDescent="0.2">
      <c r="A278" s="512">
        <v>3</v>
      </c>
      <c r="B278" s="511" t="s">
        <v>746</v>
      </c>
      <c r="C278" s="547">
        <f t="shared" si="31"/>
        <v>0.24003804843965992</v>
      </c>
      <c r="D278" s="547">
        <f t="shared" si="31"/>
        <v>0.22927891916266627</v>
      </c>
      <c r="E278" s="574">
        <f t="shared" si="32"/>
        <v>-1.0759129276993656E-2</v>
      </c>
    </row>
    <row r="279" spans="1:5" x14ac:dyDescent="0.2">
      <c r="A279" s="512">
        <v>4</v>
      </c>
      <c r="B279" s="511" t="s">
        <v>114</v>
      </c>
      <c r="C279" s="547">
        <f t="shared" si="31"/>
        <v>0.26240856784287542</v>
      </c>
      <c r="D279" s="547">
        <f t="shared" si="31"/>
        <v>0.24187687166669977</v>
      </c>
      <c r="E279" s="574">
        <f t="shared" si="32"/>
        <v>-2.0531696176175646E-2</v>
      </c>
    </row>
    <row r="280" spans="1:5" x14ac:dyDescent="0.2">
      <c r="A280" s="512">
        <v>5</v>
      </c>
      <c r="B280" s="511" t="s">
        <v>713</v>
      </c>
      <c r="C280" s="547">
        <f t="shared" si="31"/>
        <v>0.12722020134791009</v>
      </c>
      <c r="D280" s="547">
        <f t="shared" si="31"/>
        <v>0.1029233164136459</v>
      </c>
      <c r="E280" s="574">
        <f t="shared" si="32"/>
        <v>-2.4296884934264198E-2</v>
      </c>
    </row>
    <row r="281" spans="1:5" x14ac:dyDescent="0.2">
      <c r="A281" s="512">
        <v>6</v>
      </c>
      <c r="B281" s="511" t="s">
        <v>418</v>
      </c>
      <c r="C281" s="547">
        <f t="shared" si="31"/>
        <v>0.29000335850260911</v>
      </c>
      <c r="D281" s="547">
        <f t="shared" si="31"/>
        <v>0.1069893851597354</v>
      </c>
      <c r="E281" s="574">
        <f t="shared" si="32"/>
        <v>-0.18301397334287373</v>
      </c>
    </row>
    <row r="282" spans="1:5" x14ac:dyDescent="0.2">
      <c r="A282" s="512">
        <v>7</v>
      </c>
      <c r="B282" s="511" t="s">
        <v>728</v>
      </c>
      <c r="C282" s="547">
        <f t="shared" si="31"/>
        <v>7.3868710160572781E-2</v>
      </c>
      <c r="D282" s="547">
        <f t="shared" si="31"/>
        <v>9.8479736262336331E-2</v>
      </c>
      <c r="E282" s="574">
        <f t="shared" si="32"/>
        <v>2.461102610176355E-2</v>
      </c>
    </row>
    <row r="283" spans="1:5" ht="29.25" customHeight="1" x14ac:dyDescent="0.2">
      <c r="A283" s="512"/>
      <c r="B283" s="516" t="s">
        <v>814</v>
      </c>
      <c r="C283" s="575">
        <f t="shared" si="31"/>
        <v>0.31780582542684854</v>
      </c>
      <c r="D283" s="575">
        <f t="shared" si="31"/>
        <v>0.2860064644631321</v>
      </c>
      <c r="E283" s="576">
        <f t="shared" si="32"/>
        <v>-3.1799360963716439E-2</v>
      </c>
    </row>
    <row r="284" spans="1:5" x14ac:dyDescent="0.2">
      <c r="A284" s="512"/>
      <c r="B284" s="516" t="s">
        <v>815</v>
      </c>
      <c r="C284" s="575">
        <f t="shared" si="31"/>
        <v>0.34093318467466394</v>
      </c>
      <c r="D284" s="575">
        <f t="shared" si="31"/>
        <v>0.32822533374942775</v>
      </c>
      <c r="E284" s="576">
        <f t="shared" si="32"/>
        <v>-1.2707850925236186E-2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816</v>
      </c>
      <c r="C286" s="520"/>
      <c r="D286" s="520"/>
      <c r="E286" s="520"/>
    </row>
    <row r="287" spans="1:5" x14ac:dyDescent="0.2">
      <c r="A287" s="512">
        <v>1</v>
      </c>
      <c r="B287" s="511" t="s">
        <v>621</v>
      </c>
      <c r="C287" s="547">
        <f t="shared" ref="C287:D295" si="33">IF(C25=0,0,+C58/C25)</f>
        <v>0.30176180292114857</v>
      </c>
      <c r="D287" s="547">
        <f t="shared" si="33"/>
        <v>0.31822803058985</v>
      </c>
      <c r="E287" s="574">
        <f t="shared" ref="E287:E295" si="34">D287-C287</f>
        <v>1.6466227668701428E-2</v>
      </c>
    </row>
    <row r="288" spans="1:5" x14ac:dyDescent="0.2">
      <c r="A288" s="512">
        <v>2</v>
      </c>
      <c r="B288" s="511" t="s">
        <v>600</v>
      </c>
      <c r="C288" s="547">
        <f t="shared" si="33"/>
        <v>0.21824639234943147</v>
      </c>
      <c r="D288" s="547">
        <f t="shared" si="33"/>
        <v>0.18352669415793552</v>
      </c>
      <c r="E288" s="574">
        <f t="shared" si="34"/>
        <v>-3.4719698191495951E-2</v>
      </c>
    </row>
    <row r="289" spans="1:5" x14ac:dyDescent="0.2">
      <c r="A289" s="512">
        <v>3</v>
      </c>
      <c r="B289" s="511" t="s">
        <v>746</v>
      </c>
      <c r="C289" s="547">
        <f t="shared" si="33"/>
        <v>0.20217536669042563</v>
      </c>
      <c r="D289" s="547">
        <f t="shared" si="33"/>
        <v>0.166800809684121</v>
      </c>
      <c r="E289" s="574">
        <f t="shared" si="34"/>
        <v>-3.5374557006304624E-2</v>
      </c>
    </row>
    <row r="290" spans="1:5" x14ac:dyDescent="0.2">
      <c r="A290" s="512">
        <v>4</v>
      </c>
      <c r="B290" s="511" t="s">
        <v>114</v>
      </c>
      <c r="C290" s="547">
        <f t="shared" si="33"/>
        <v>0.22041339631199741</v>
      </c>
      <c r="D290" s="547">
        <f t="shared" si="33"/>
        <v>0.17469070897589925</v>
      </c>
      <c r="E290" s="574">
        <f t="shared" si="34"/>
        <v>-4.5722687336098161E-2</v>
      </c>
    </row>
    <row r="291" spans="1:5" x14ac:dyDescent="0.2">
      <c r="A291" s="512">
        <v>5</v>
      </c>
      <c r="B291" s="511" t="s">
        <v>713</v>
      </c>
      <c r="C291" s="547">
        <f t="shared" si="33"/>
        <v>0.12560086576167051</v>
      </c>
      <c r="D291" s="547">
        <f t="shared" si="33"/>
        <v>9.8040464486780832E-2</v>
      </c>
      <c r="E291" s="574">
        <f t="shared" si="34"/>
        <v>-2.7560401274889679E-2</v>
      </c>
    </row>
    <row r="292" spans="1:5" x14ac:dyDescent="0.2">
      <c r="A292" s="512">
        <v>6</v>
      </c>
      <c r="B292" s="511" t="s">
        <v>418</v>
      </c>
      <c r="C292" s="547">
        <f t="shared" si="33"/>
        <v>0.26542639661480499</v>
      </c>
      <c r="D292" s="547">
        <f t="shared" si="33"/>
        <v>0.24846245390300162</v>
      </c>
      <c r="E292" s="574">
        <f t="shared" si="34"/>
        <v>-1.6963942711803376E-2</v>
      </c>
    </row>
    <row r="293" spans="1:5" x14ac:dyDescent="0.2">
      <c r="A293" s="512">
        <v>7</v>
      </c>
      <c r="B293" s="511" t="s">
        <v>728</v>
      </c>
      <c r="C293" s="547">
        <f t="shared" si="33"/>
        <v>5.6885464151746688E-2</v>
      </c>
      <c r="D293" s="547">
        <f t="shared" si="33"/>
        <v>7.5638267351884489E-2</v>
      </c>
      <c r="E293" s="574">
        <f t="shared" si="34"/>
        <v>1.8752803200137801E-2</v>
      </c>
    </row>
    <row r="294" spans="1:5" ht="29.25" customHeight="1" x14ac:dyDescent="0.2">
      <c r="A294" s="512"/>
      <c r="B294" s="516" t="s">
        <v>817</v>
      </c>
      <c r="C294" s="575">
        <f t="shared" si="33"/>
        <v>0.20943412277416354</v>
      </c>
      <c r="D294" s="575">
        <f t="shared" si="33"/>
        <v>0.17458214850676027</v>
      </c>
      <c r="E294" s="576">
        <f t="shared" si="34"/>
        <v>-3.4851974267403274E-2</v>
      </c>
    </row>
    <row r="295" spans="1:5" x14ac:dyDescent="0.2">
      <c r="A295" s="512"/>
      <c r="B295" s="516" t="s">
        <v>818</v>
      </c>
      <c r="C295" s="575">
        <f t="shared" si="33"/>
        <v>0.25274338654592737</v>
      </c>
      <c r="D295" s="575">
        <f t="shared" si="33"/>
        <v>0.23794672622383722</v>
      </c>
      <c r="E295" s="576">
        <f t="shared" si="34"/>
        <v>-1.4796660322090149E-2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819</v>
      </c>
      <c r="B297" s="501" t="s">
        <v>820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619</v>
      </c>
      <c r="C301" s="514">
        <f>+C48+C47+C50+C51+C52+C59+C58+C61+C62+C63</f>
        <v>339923369</v>
      </c>
      <c r="D301" s="514">
        <f>+D48+D47+D50+D51+D52+D59+D58+D61+D62+D63</f>
        <v>346351008</v>
      </c>
      <c r="E301" s="514">
        <f>D301-C301</f>
        <v>6427639</v>
      </c>
    </row>
    <row r="302" spans="1:5" ht="25.5" x14ac:dyDescent="0.2">
      <c r="A302" s="512">
        <v>2</v>
      </c>
      <c r="B302" s="511" t="s">
        <v>822</v>
      </c>
      <c r="C302" s="546">
        <f>C265</f>
        <v>3383714</v>
      </c>
      <c r="D302" s="546">
        <f>D265</f>
        <v>2988794</v>
      </c>
      <c r="E302" s="514">
        <f>D302-C302</f>
        <v>-394920</v>
      </c>
    </row>
    <row r="303" spans="1:5" x14ac:dyDescent="0.2">
      <c r="A303" s="512"/>
      <c r="B303" s="516" t="s">
        <v>823</v>
      </c>
      <c r="C303" s="517">
        <f>+C301+C302</f>
        <v>343307083</v>
      </c>
      <c r="D303" s="517">
        <f>+D301+D302</f>
        <v>349339802</v>
      </c>
      <c r="E303" s="517">
        <f>D303-C303</f>
        <v>6032719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824</v>
      </c>
      <c r="C305" s="513">
        <v>6176917</v>
      </c>
      <c r="D305" s="578">
        <v>9722198</v>
      </c>
      <c r="E305" s="579">
        <f>D305-C305</f>
        <v>3545281</v>
      </c>
    </row>
    <row r="306" spans="1:5" x14ac:dyDescent="0.2">
      <c r="A306" s="512">
        <v>4</v>
      </c>
      <c r="B306" s="516" t="s">
        <v>825</v>
      </c>
      <c r="C306" s="580">
        <f>+C303+C305</f>
        <v>349484000</v>
      </c>
      <c r="D306" s="580">
        <f>+D303+D305</f>
        <v>359062000</v>
      </c>
      <c r="E306" s="580">
        <f>D306-C306</f>
        <v>9578000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826</v>
      </c>
      <c r="C308" s="513">
        <v>349484000</v>
      </c>
      <c r="D308" s="513">
        <v>359062000</v>
      </c>
      <c r="E308" s="514">
        <f>D308-C308</f>
        <v>9578000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827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829</v>
      </c>
      <c r="C314" s="514">
        <f>+C14+C15+C16+C19+C25+C26+C27+C30</f>
        <v>1105534503</v>
      </c>
      <c r="D314" s="514">
        <f>+D14+D15+D16+D19+D25+D26+D27+D30</f>
        <v>1185589696</v>
      </c>
      <c r="E314" s="514">
        <f>D314-C314</f>
        <v>80055193</v>
      </c>
    </row>
    <row r="315" spans="1:5" x14ac:dyDescent="0.2">
      <c r="A315" s="512">
        <v>2</v>
      </c>
      <c r="B315" s="583" t="s">
        <v>830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831</v>
      </c>
      <c r="C316" s="581">
        <f>C314+C315</f>
        <v>1105534503</v>
      </c>
      <c r="D316" s="581">
        <f>D314+D315</f>
        <v>1185589696</v>
      </c>
      <c r="E316" s="517">
        <f>D316-C316</f>
        <v>80055193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832</v>
      </c>
      <c r="C318" s="513">
        <v>1105535000</v>
      </c>
      <c r="D318" s="513">
        <v>1185590000</v>
      </c>
      <c r="E318" s="514">
        <f>D318-C318</f>
        <v>80055000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827</v>
      </c>
      <c r="C320" s="581">
        <f>C316-C318</f>
        <v>-497</v>
      </c>
      <c r="D320" s="581">
        <f>D316-D318</f>
        <v>-304</v>
      </c>
      <c r="E320" s="517">
        <f>D320-C320</f>
        <v>193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834</v>
      </c>
      <c r="C324" s="513">
        <f>+C193+C194</f>
        <v>48293075</v>
      </c>
      <c r="D324" s="513">
        <f>+D193+D194</f>
        <v>37606259</v>
      </c>
      <c r="E324" s="514">
        <f>D324-C324</f>
        <v>-10686816</v>
      </c>
    </row>
    <row r="325" spans="1:5" x14ac:dyDescent="0.2">
      <c r="A325" s="512">
        <v>2</v>
      </c>
      <c r="B325" s="511" t="s">
        <v>835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836</v>
      </c>
      <c r="C326" s="581">
        <f>C324+C325</f>
        <v>48293075</v>
      </c>
      <c r="D326" s="581">
        <f>D324+D325</f>
        <v>37606259</v>
      </c>
      <c r="E326" s="517">
        <f>D326-C326</f>
        <v>-10686816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837</v>
      </c>
      <c r="C328" s="513">
        <v>48293075</v>
      </c>
      <c r="D328" s="513">
        <v>37606259</v>
      </c>
      <c r="E328" s="514">
        <f>D328-C328</f>
        <v>-10686816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838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FILING&amp;RBRIDGEPORT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839</v>
      </c>
      <c r="B5" s="696"/>
      <c r="C5" s="697"/>
      <c r="D5" s="585"/>
    </row>
    <row r="6" spans="1:58" s="338" customFormat="1" ht="15.75" customHeight="1" x14ac:dyDescent="0.25">
      <c r="A6" s="695" t="s">
        <v>840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621</v>
      </c>
      <c r="C14" s="513">
        <v>196128578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600</v>
      </c>
      <c r="C15" s="515">
        <v>347619438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746</v>
      </c>
      <c r="C16" s="515">
        <v>167089269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151940447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713</v>
      </c>
      <c r="C18" s="515">
        <v>15148822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780040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728</v>
      </c>
      <c r="C20" s="515">
        <v>9670822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747</v>
      </c>
      <c r="C21" s="517">
        <f>SUM(C15+C16+C19)</f>
        <v>515488747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687</v>
      </c>
      <c r="C22" s="517">
        <f>SUM(C14+C21)</f>
        <v>711617325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621</v>
      </c>
      <c r="C25" s="513">
        <v>209077063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600</v>
      </c>
      <c r="C26" s="515">
        <v>119913466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746</v>
      </c>
      <c r="C27" s="515">
        <v>144301212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129447743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713</v>
      </c>
      <c r="C29" s="515">
        <v>14853469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680630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728</v>
      </c>
      <c r="C31" s="518">
        <v>30889642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749</v>
      </c>
      <c r="C32" s="517">
        <f>SUM(C26+C27+C30)</f>
        <v>264895308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693</v>
      </c>
      <c r="C33" s="517">
        <f>SUM(C25+C32)</f>
        <v>473972371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843</v>
      </c>
      <c r="C36" s="514">
        <f>SUM(C14+C25)</f>
        <v>405205641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844</v>
      </c>
      <c r="C37" s="518">
        <f>SUM(C21+C32)</f>
        <v>780384055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618</v>
      </c>
      <c r="C38" s="517">
        <f>SUM(+C36+C37)</f>
        <v>1185589696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621</v>
      </c>
      <c r="C41" s="513">
        <v>86137720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600</v>
      </c>
      <c r="C42" s="515">
        <v>109039611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746</v>
      </c>
      <c r="C43" s="515">
        <v>38310047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36750880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713</v>
      </c>
      <c r="C45" s="515">
        <v>1559167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83456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728</v>
      </c>
      <c r="C47" s="515">
        <v>952380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759</v>
      </c>
      <c r="C48" s="517">
        <f>SUM(C42+C43+C46)</f>
        <v>147433114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688</v>
      </c>
      <c r="C49" s="517">
        <f>SUM(C41+C48)</f>
        <v>233570834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621</v>
      </c>
      <c r="C52" s="513">
        <v>66534182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600</v>
      </c>
      <c r="C53" s="515">
        <v>22007322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746</v>
      </c>
      <c r="C54" s="515">
        <v>24069559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22613318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713</v>
      </c>
      <c r="C56" s="515">
        <v>1456241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169111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728</v>
      </c>
      <c r="C58" s="515">
        <v>2336439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761</v>
      </c>
      <c r="C59" s="517">
        <f>SUM(C53+C54+C57)</f>
        <v>46245992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694</v>
      </c>
      <c r="C60" s="517">
        <f>SUM(C52+C59)</f>
        <v>112780174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845</v>
      </c>
      <c r="C63" s="514">
        <f>SUM(C41+C52)</f>
        <v>152671902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846</v>
      </c>
      <c r="C64" s="518">
        <f>SUM(C48+C59)</f>
        <v>193679106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619</v>
      </c>
      <c r="C65" s="517">
        <f>SUM(+C63+C64)</f>
        <v>346351008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621</v>
      </c>
      <c r="C70" s="530">
        <v>6407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600</v>
      </c>
      <c r="C71" s="530">
        <v>6937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746</v>
      </c>
      <c r="C72" s="530">
        <v>5672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5266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713</v>
      </c>
      <c r="C74" s="530">
        <v>406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28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728</v>
      </c>
      <c r="C76" s="545">
        <v>311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776</v>
      </c>
      <c r="C77" s="532">
        <f>SUM(C71+C72+C75)</f>
        <v>12637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690</v>
      </c>
      <c r="C78" s="596">
        <f>SUM(C70+C77)</f>
        <v>19044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621</v>
      </c>
      <c r="C81" s="541">
        <v>1.1827700000000001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600</v>
      </c>
      <c r="C82" s="541">
        <v>1.66225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746</v>
      </c>
      <c r="C83" s="541">
        <f>((C73*C84)+(C74*C85))/(C73+C74)</f>
        <v>1.0187713117066293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1.0019100000000001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713</v>
      </c>
      <c r="C85" s="541">
        <v>1.2374700000000001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1.0464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728</v>
      </c>
      <c r="C87" s="541">
        <v>1.18285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782</v>
      </c>
      <c r="C88" s="543">
        <f>((C71*C82)+(C73*C84)+(C74*C85)+(C75*C86))/(C71+C73+C74+C75)</f>
        <v>1.3720660227902193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691</v>
      </c>
      <c r="C89" s="543">
        <f>((C70*C81)+(C71*C82)+(C73*C84)+(C74*C85)+(C75*C86))/(C70+C71+C73+C74+C75)</f>
        <v>1.3083808926696074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784</v>
      </c>
      <c r="C92" s="513">
        <v>349741731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785</v>
      </c>
      <c r="C93" s="546">
        <v>135799425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717</v>
      </c>
      <c r="C95" s="513">
        <f>+C92-C93</f>
        <v>213942306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635</v>
      </c>
      <c r="C96" s="597">
        <f>(+C92-C93)/C92</f>
        <v>0.61171512300886965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732</v>
      </c>
      <c r="C98" s="513">
        <v>1451547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718</v>
      </c>
      <c r="C99" s="513">
        <v>1011938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849</v>
      </c>
      <c r="C101" s="513">
        <v>2988794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787</v>
      </c>
      <c r="C103" s="513">
        <v>12024692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788</v>
      </c>
      <c r="C104" s="513">
        <v>25581567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789</v>
      </c>
      <c r="C105" s="578">
        <f>+C103+C104</f>
        <v>37606259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790</v>
      </c>
      <c r="C107" s="513">
        <v>5828673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675</v>
      </c>
      <c r="C108" s="513">
        <v>350215000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619</v>
      </c>
      <c r="C114" s="514">
        <f>+C65</f>
        <v>346351008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822</v>
      </c>
      <c r="C115" s="546">
        <f>+C101</f>
        <v>2988794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823</v>
      </c>
      <c r="C116" s="517">
        <f>+C114+C115</f>
        <v>349339802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824</v>
      </c>
      <c r="C118" s="578">
        <v>9722198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825</v>
      </c>
      <c r="C119" s="580">
        <f>+C116+C118</f>
        <v>359062000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826</v>
      </c>
      <c r="C121" s="513">
        <v>359062000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827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829</v>
      </c>
      <c r="C127" s="514">
        <f>+C38</f>
        <v>1185589696</v>
      </c>
      <c r="D127" s="588"/>
      <c r="AR127" s="507"/>
    </row>
    <row r="128" spans="1:58" s="506" customFormat="1" x14ac:dyDescent="0.2">
      <c r="A128" s="512">
        <v>2</v>
      </c>
      <c r="B128" s="583" t="s">
        <v>830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831</v>
      </c>
      <c r="C129" s="581">
        <f>C127+C128</f>
        <v>1185589696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832</v>
      </c>
      <c r="C131" s="513">
        <v>1185590000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827</v>
      </c>
      <c r="C133" s="581">
        <f>C129-C131</f>
        <v>-304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834</v>
      </c>
      <c r="C137" s="513">
        <f>C105</f>
        <v>37606259</v>
      </c>
      <c r="D137" s="588"/>
      <c r="AR137" s="507"/>
    </row>
    <row r="138" spans="1:44" s="506" customFormat="1" x14ac:dyDescent="0.2">
      <c r="A138" s="512">
        <v>2</v>
      </c>
      <c r="B138" s="511" t="s">
        <v>850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836</v>
      </c>
      <c r="C139" s="581">
        <f>C137+C138</f>
        <v>37606259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851</v>
      </c>
      <c r="C141" s="513">
        <v>37606259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838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FILING&amp;RBRIDGEPORT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595</v>
      </c>
      <c r="D8" s="35" t="s">
        <v>595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597</v>
      </c>
      <c r="D9" s="607" t="s">
        <v>598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854</v>
      </c>
      <c r="C12" s="49">
        <v>1815</v>
      </c>
      <c r="D12" s="49">
        <v>1806</v>
      </c>
      <c r="E12" s="49">
        <f>+D12-C12</f>
        <v>-9</v>
      </c>
      <c r="F12" s="70">
        <f>IF(C12=0,0,+E12/C12)</f>
        <v>-4.9586776859504135E-3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855</v>
      </c>
      <c r="C13" s="49">
        <v>1149</v>
      </c>
      <c r="D13" s="49">
        <v>1147</v>
      </c>
      <c r="E13" s="49">
        <f>+D13-C13</f>
        <v>-2</v>
      </c>
      <c r="F13" s="70">
        <f>IF(C13=0,0,+E13/C13)</f>
        <v>-1.7406440382941688E-3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856</v>
      </c>
      <c r="C15" s="51">
        <v>15999852</v>
      </c>
      <c r="D15" s="51">
        <v>12024692</v>
      </c>
      <c r="E15" s="51">
        <f>+D15-C15</f>
        <v>-3975160</v>
      </c>
      <c r="F15" s="70">
        <f>IF(C15=0,0,+E15/C15)</f>
        <v>-0.24844979816063298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857</v>
      </c>
      <c r="C16" s="27">
        <f>IF(C13=0,0,+C15/+C13)</f>
        <v>13925.023498694516</v>
      </c>
      <c r="D16" s="27">
        <f>IF(D13=0,0,+D15/+D13)</f>
        <v>10483.602441150828</v>
      </c>
      <c r="E16" s="27">
        <f>+D16-C16</f>
        <v>-3441.4210575436882</v>
      </c>
      <c r="F16" s="28">
        <f>IF(C16=0,0,+E16/C16)</f>
        <v>-0.24713933573371166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858</v>
      </c>
      <c r="C18" s="210">
        <v>0.31834800000000002</v>
      </c>
      <c r="D18" s="210">
        <v>0.31569000000000003</v>
      </c>
      <c r="E18" s="210">
        <f>+D18-C18</f>
        <v>-2.6579999999999937E-3</v>
      </c>
      <c r="F18" s="70">
        <f>IF(C18=0,0,+E18/C18)</f>
        <v>-8.3493535376380369E-3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859</v>
      </c>
      <c r="C19" s="27">
        <f>+C15*C18</f>
        <v>5093520.8844960006</v>
      </c>
      <c r="D19" s="27">
        <f>+D15*D18</f>
        <v>3796075.0174800004</v>
      </c>
      <c r="E19" s="27">
        <f>+D19-C19</f>
        <v>-1297445.8670160002</v>
      </c>
      <c r="F19" s="28">
        <f>IF(C19=0,0,+E19/C19)</f>
        <v>-0.2547247564970731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860</v>
      </c>
      <c r="C20" s="27">
        <f>IF(C13=0,0,+C19/C13)</f>
        <v>4433.0033807624022</v>
      </c>
      <c r="D20" s="27">
        <f>IF(D13=0,0,+D19/D13)</f>
        <v>3309.5684546469051</v>
      </c>
      <c r="E20" s="27">
        <f>+D20-C20</f>
        <v>-1123.4349261154971</v>
      </c>
      <c r="F20" s="28">
        <f>IF(C20=0,0,+E20/C20)</f>
        <v>-0.25342523558425195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861</v>
      </c>
      <c r="C22" s="51">
        <v>782393</v>
      </c>
      <c r="D22" s="51">
        <v>588008</v>
      </c>
      <c r="E22" s="51">
        <f>+D22-C22</f>
        <v>-194385</v>
      </c>
      <c r="F22" s="70">
        <f>IF(C22=0,0,+E22/C22)</f>
        <v>-0.24844930872336538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862</v>
      </c>
      <c r="C23" s="49">
        <v>9652710</v>
      </c>
      <c r="D23" s="49">
        <v>7254496</v>
      </c>
      <c r="E23" s="49">
        <f>+D23-C23</f>
        <v>-2398214</v>
      </c>
      <c r="F23" s="70">
        <f>IF(C23=0,0,+E23/C23)</f>
        <v>-0.24844981357566942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863</v>
      </c>
      <c r="C24" s="49">
        <v>5564749</v>
      </c>
      <c r="D24" s="49">
        <v>4182188</v>
      </c>
      <c r="E24" s="49">
        <f>+D24-C24</f>
        <v>-1382561</v>
      </c>
      <c r="F24" s="70">
        <f>IF(C24=0,0,+E24/C24)</f>
        <v>-0.24844984023538169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856</v>
      </c>
      <c r="C25" s="27">
        <f>+C22+C23+C24</f>
        <v>15999852</v>
      </c>
      <c r="D25" s="27">
        <f>+D22+D23+D24</f>
        <v>12024692</v>
      </c>
      <c r="E25" s="27">
        <f>+E22+E23+E24</f>
        <v>-3975160</v>
      </c>
      <c r="F25" s="28">
        <f>IF(C25=0,0,+E25/C25)</f>
        <v>-0.24844979816063298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864</v>
      </c>
      <c r="C27" s="49">
        <v>2668</v>
      </c>
      <c r="D27" s="49">
        <v>2532</v>
      </c>
      <c r="E27" s="49">
        <f>+D27-C27</f>
        <v>-136</v>
      </c>
      <c r="F27" s="70">
        <f>IF(C27=0,0,+E27/C27)</f>
        <v>-5.0974512743628186E-2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865</v>
      </c>
      <c r="C28" s="49">
        <v>370</v>
      </c>
      <c r="D28" s="49">
        <v>379</v>
      </c>
      <c r="E28" s="49">
        <f>+D28-C28</f>
        <v>9</v>
      </c>
      <c r="F28" s="70">
        <f>IF(C28=0,0,+E28/C28)</f>
        <v>2.4324324324324326E-2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866</v>
      </c>
      <c r="C29" s="49">
        <v>2459</v>
      </c>
      <c r="D29" s="49">
        <v>1413</v>
      </c>
      <c r="E29" s="49">
        <f>+D29-C29</f>
        <v>-1046</v>
      </c>
      <c r="F29" s="70">
        <f>IF(C29=0,0,+E29/C29)</f>
        <v>-0.42537616917446114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867</v>
      </c>
      <c r="C30" s="49">
        <v>4745</v>
      </c>
      <c r="D30" s="49">
        <v>4732</v>
      </c>
      <c r="E30" s="49">
        <f>+D30-C30</f>
        <v>-13</v>
      </c>
      <c r="F30" s="70">
        <f>IF(C30=0,0,+E30/C30)</f>
        <v>-2.7397260273972603E-3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869</v>
      </c>
      <c r="C33" s="51">
        <v>1579139</v>
      </c>
      <c r="D33" s="51">
        <v>1250939</v>
      </c>
      <c r="E33" s="51">
        <f>+D33-C33</f>
        <v>-328200</v>
      </c>
      <c r="F33" s="70">
        <f>IF(C33=0,0,+E33/C33)</f>
        <v>-0.20783477578604542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870</v>
      </c>
      <c r="C34" s="49">
        <v>19482501</v>
      </c>
      <c r="D34" s="49">
        <v>15433359</v>
      </c>
      <c r="E34" s="49">
        <f>+D34-C34</f>
        <v>-4049142</v>
      </c>
      <c r="F34" s="70">
        <f>IF(C34=0,0,+E34/C34)</f>
        <v>-0.20783481545824123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871</v>
      </c>
      <c r="C35" s="49">
        <v>11231583</v>
      </c>
      <c r="D35" s="49">
        <v>8897269</v>
      </c>
      <c r="E35" s="49">
        <f>+D35-C35</f>
        <v>-2334314</v>
      </c>
      <c r="F35" s="70">
        <f>IF(C35=0,0,+E35/C35)</f>
        <v>-0.20783481722923652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872</v>
      </c>
      <c r="C36" s="27">
        <f>+C33+C34+C35</f>
        <v>32293223</v>
      </c>
      <c r="D36" s="27">
        <f>+D33+D34+D35</f>
        <v>25581567</v>
      </c>
      <c r="E36" s="27">
        <f>+E33+E34+E35</f>
        <v>-6711656</v>
      </c>
      <c r="F36" s="28">
        <f>IF(C36=0,0,+E36/C36)</f>
        <v>-0.20783481413422253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874</v>
      </c>
      <c r="C39" s="51">
        <f>+C25</f>
        <v>15999852</v>
      </c>
      <c r="D39" s="51">
        <f>+D25</f>
        <v>12024692</v>
      </c>
      <c r="E39" s="51">
        <f>+D39-C39</f>
        <v>-3975160</v>
      </c>
      <c r="F39" s="70">
        <f>IF(C39=0,0,+E39/C39)</f>
        <v>-0.24844979816063298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875</v>
      </c>
      <c r="C40" s="49">
        <f>+C36</f>
        <v>32293223</v>
      </c>
      <c r="D40" s="49">
        <f>+D36</f>
        <v>25581567</v>
      </c>
      <c r="E40" s="49">
        <f>+D40-C40</f>
        <v>-6711656</v>
      </c>
      <c r="F40" s="70">
        <f>IF(C40=0,0,+E40/C40)</f>
        <v>-0.20783481413422253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876</v>
      </c>
      <c r="C41" s="27">
        <f>+C39+C40</f>
        <v>48293075</v>
      </c>
      <c r="D41" s="27">
        <f>+D39+D40</f>
        <v>37606259</v>
      </c>
      <c r="E41" s="27">
        <f>+E39+E40</f>
        <v>-10686816</v>
      </c>
      <c r="F41" s="28">
        <f>IF(C41=0,0,+E41/C41)</f>
        <v>-0.22129085795427192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877</v>
      </c>
      <c r="C43" s="51">
        <f t="shared" ref="C43:D45" si="0">+C22+C33</f>
        <v>2361532</v>
      </c>
      <c r="D43" s="51">
        <f t="shared" si="0"/>
        <v>1838947</v>
      </c>
      <c r="E43" s="51">
        <f>+D43-C43</f>
        <v>-522585</v>
      </c>
      <c r="F43" s="70">
        <f>IF(C43=0,0,+E43/C43)</f>
        <v>-0.22129067063245383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878</v>
      </c>
      <c r="C44" s="49">
        <f t="shared" si="0"/>
        <v>29135211</v>
      </c>
      <c r="D44" s="49">
        <f t="shared" si="0"/>
        <v>22687855</v>
      </c>
      <c r="E44" s="49">
        <f>+D44-C44</f>
        <v>-6447356</v>
      </c>
      <c r="F44" s="70">
        <f>IF(C44=0,0,+E44/C44)</f>
        <v>-0.22129086348473673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879</v>
      </c>
      <c r="C45" s="49">
        <f t="shared" si="0"/>
        <v>16796332</v>
      </c>
      <c r="D45" s="49">
        <f t="shared" si="0"/>
        <v>13079457</v>
      </c>
      <c r="E45" s="49">
        <f>+D45-C45</f>
        <v>-3716875</v>
      </c>
      <c r="F45" s="70">
        <f>IF(C45=0,0,+E45/C45)</f>
        <v>-0.22129087469811862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876</v>
      </c>
      <c r="C46" s="27">
        <f>+C43+C44+C45</f>
        <v>48293075</v>
      </c>
      <c r="D46" s="27">
        <f>+D43+D44+D45</f>
        <v>37606259</v>
      </c>
      <c r="E46" s="27">
        <f>+E43+E44+E45</f>
        <v>-10686816</v>
      </c>
      <c r="F46" s="28">
        <f>IF(C46=0,0,+E46/C46)</f>
        <v>-0.22129085795427192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FILING&amp;RBRIDGEPORT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597</v>
      </c>
      <c r="D9" s="35" t="s">
        <v>598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883</v>
      </c>
      <c r="D10" s="35" t="s">
        <v>883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884</v>
      </c>
      <c r="D11" s="605" t="s">
        <v>884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340205958</v>
      </c>
      <c r="D15" s="51">
        <v>349741731</v>
      </c>
      <c r="E15" s="51">
        <f>+D15-C15</f>
        <v>9535773</v>
      </c>
      <c r="F15" s="70">
        <f>+E15/C15</f>
        <v>2.802941211276494E-2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886</v>
      </c>
      <c r="C17" s="51">
        <v>202839261</v>
      </c>
      <c r="D17" s="51">
        <v>213942306</v>
      </c>
      <c r="E17" s="51">
        <f>+D17-C17</f>
        <v>11103045</v>
      </c>
      <c r="F17" s="70">
        <f>+E17/C17</f>
        <v>5.4738145590068975E-2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887</v>
      </c>
      <c r="C19" s="27">
        <f>+C15-C17</f>
        <v>137366697</v>
      </c>
      <c r="D19" s="27">
        <f>+D15-D17</f>
        <v>135799425</v>
      </c>
      <c r="E19" s="27">
        <f>+D19-C19</f>
        <v>-1567272</v>
      </c>
      <c r="F19" s="28">
        <f>+E19/C19</f>
        <v>-1.1409402964679278E-2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888</v>
      </c>
      <c r="C21" s="628">
        <f>+C17/C15</f>
        <v>0.59622489327479677</v>
      </c>
      <c r="D21" s="628">
        <f>+D17/D15</f>
        <v>0.61171512300886965</v>
      </c>
      <c r="E21" s="628">
        <f>+D21-C21</f>
        <v>1.549022973407288E-2</v>
      </c>
      <c r="F21" s="28">
        <f>+E21/C21</f>
        <v>2.5980514917772007E-2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889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FILING&amp;R&amp;12BRIDGEPORT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891</v>
      </c>
      <c r="B6" s="632" t="s">
        <v>892</v>
      </c>
      <c r="C6" s="632" t="s">
        <v>893</v>
      </c>
      <c r="D6" s="632" t="s">
        <v>894</v>
      </c>
      <c r="E6" s="632" t="s">
        <v>895</v>
      </c>
    </row>
    <row r="7" spans="1:6" ht="37.5" customHeight="1" x14ac:dyDescent="0.25">
      <c r="A7" s="633" t="s">
        <v>8</v>
      </c>
      <c r="B7" s="634" t="s">
        <v>896</v>
      </c>
      <c r="C7" s="631" t="s">
        <v>897</v>
      </c>
      <c r="D7" s="631" t="s">
        <v>898</v>
      </c>
      <c r="E7" s="631" t="s">
        <v>899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901</v>
      </c>
      <c r="C10" s="641">
        <v>674215405</v>
      </c>
      <c r="D10" s="641">
        <v>686097894</v>
      </c>
      <c r="E10" s="641">
        <v>711617325</v>
      </c>
    </row>
    <row r="11" spans="1:6" ht="26.1" customHeight="1" x14ac:dyDescent="0.25">
      <c r="A11" s="639">
        <v>2</v>
      </c>
      <c r="B11" s="640" t="s">
        <v>902</v>
      </c>
      <c r="C11" s="641">
        <v>365885083</v>
      </c>
      <c r="D11" s="641">
        <v>419436609</v>
      </c>
      <c r="E11" s="641">
        <v>473972371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1040100488</v>
      </c>
      <c r="D12" s="641">
        <f>+D11+D10</f>
        <v>1105534503</v>
      </c>
      <c r="E12" s="641">
        <f>+E11+E10</f>
        <v>1185589696</v>
      </c>
    </row>
    <row r="13" spans="1:6" ht="26.1" customHeight="1" x14ac:dyDescent="0.25">
      <c r="A13" s="639">
        <v>4</v>
      </c>
      <c r="B13" s="640" t="s">
        <v>484</v>
      </c>
      <c r="C13" s="641">
        <v>326474000</v>
      </c>
      <c r="D13" s="641">
        <v>349484000</v>
      </c>
      <c r="E13" s="641">
        <v>359062000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903</v>
      </c>
      <c r="C16" s="641">
        <v>333509000</v>
      </c>
      <c r="D16" s="641">
        <v>351055000</v>
      </c>
      <c r="E16" s="641">
        <v>350215000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106845</v>
      </c>
      <c r="D19" s="644">
        <v>103601</v>
      </c>
      <c r="E19" s="644">
        <v>104729</v>
      </c>
    </row>
    <row r="20" spans="1:5" ht="26.1" customHeight="1" x14ac:dyDescent="0.25">
      <c r="A20" s="639">
        <v>2</v>
      </c>
      <c r="B20" s="640" t="s">
        <v>373</v>
      </c>
      <c r="C20" s="645">
        <v>20022</v>
      </c>
      <c r="D20" s="645">
        <v>19808</v>
      </c>
      <c r="E20" s="645">
        <v>19044</v>
      </c>
    </row>
    <row r="21" spans="1:5" ht="26.1" customHeight="1" x14ac:dyDescent="0.25">
      <c r="A21" s="639">
        <v>3</v>
      </c>
      <c r="B21" s="640" t="s">
        <v>905</v>
      </c>
      <c r="C21" s="646">
        <f>IF(C20=0,0,+C19/C20)</f>
        <v>5.3363799820197784</v>
      </c>
      <c r="D21" s="646">
        <f>IF(D20=0,0,+D19/D20)</f>
        <v>5.2302605008077547</v>
      </c>
      <c r="E21" s="646">
        <f>IF(E20=0,0,+E19/E20)</f>
        <v>5.4993173703003571</v>
      </c>
    </row>
    <row r="22" spans="1:5" ht="26.1" customHeight="1" x14ac:dyDescent="0.25">
      <c r="A22" s="639">
        <v>4</v>
      </c>
      <c r="B22" s="640" t="s">
        <v>906</v>
      </c>
      <c r="C22" s="645">
        <f>IF(C10=0,0,C19*(C12/C10))</f>
        <v>164827.94047157673</v>
      </c>
      <c r="D22" s="645">
        <f>IF(D10=0,0,D19*(D12/D10))</f>
        <v>166936.06123400081</v>
      </c>
      <c r="E22" s="645">
        <f>IF(E10=0,0,E19*(E12/E10))</f>
        <v>174483.69918816129</v>
      </c>
    </row>
    <row r="23" spans="1:5" ht="26.1" customHeight="1" x14ac:dyDescent="0.25">
      <c r="A23" s="639">
        <v>0</v>
      </c>
      <c r="B23" s="640" t="s">
        <v>907</v>
      </c>
      <c r="C23" s="645">
        <f>IF(C10=0,0,C20*(C12/C10))</f>
        <v>30887.594404248295</v>
      </c>
      <c r="D23" s="645">
        <f>IF(D10=0,0,D20*(D12/D10))</f>
        <v>31917.351192778911</v>
      </c>
      <c r="E23" s="645">
        <f>IF(E10=0,0,E20*(E12/E10))</f>
        <v>31728.246878508755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1.2687761911896913</v>
      </c>
      <c r="D26" s="647">
        <v>1.2669748980210016</v>
      </c>
      <c r="E26" s="647">
        <v>1.3083808926696074</v>
      </c>
    </row>
    <row r="27" spans="1:5" ht="26.1" customHeight="1" x14ac:dyDescent="0.25">
      <c r="A27" s="639">
        <v>2</v>
      </c>
      <c r="B27" s="640" t="s">
        <v>909</v>
      </c>
      <c r="C27" s="645">
        <f>C19*C26</f>
        <v>135562.39214766255</v>
      </c>
      <c r="D27" s="645">
        <f>D19*D26</f>
        <v>131259.86640987379</v>
      </c>
      <c r="E27" s="645">
        <f>E19*E26</f>
        <v>137025.42250839531</v>
      </c>
    </row>
    <row r="28" spans="1:5" ht="26.1" customHeight="1" x14ac:dyDescent="0.25">
      <c r="A28" s="639">
        <v>3</v>
      </c>
      <c r="B28" s="640" t="s">
        <v>910</v>
      </c>
      <c r="C28" s="645">
        <f>C20*C26</f>
        <v>25403.436900000001</v>
      </c>
      <c r="D28" s="645">
        <f>D20*D26</f>
        <v>25096.23878</v>
      </c>
      <c r="E28" s="645">
        <f>E20*E26</f>
        <v>24916.805720000004</v>
      </c>
    </row>
    <row r="29" spans="1:5" ht="26.1" customHeight="1" x14ac:dyDescent="0.25">
      <c r="A29" s="639">
        <v>4</v>
      </c>
      <c r="B29" s="640" t="s">
        <v>911</v>
      </c>
      <c r="C29" s="645">
        <f>C22*C26</f>
        <v>209129.76651316829</v>
      </c>
      <c r="D29" s="645">
        <f>D22*D26</f>
        <v>211503.79915797585</v>
      </c>
      <c r="E29" s="645">
        <f>E22*E26</f>
        <v>228291.13810010173</v>
      </c>
    </row>
    <row r="30" spans="1:5" ht="26.1" customHeight="1" x14ac:dyDescent="0.25">
      <c r="A30" s="639">
        <v>5</v>
      </c>
      <c r="B30" s="640" t="s">
        <v>912</v>
      </c>
      <c r="C30" s="645">
        <f>C23*C26</f>
        <v>39189.444383234171</v>
      </c>
      <c r="D30" s="645">
        <f>D23*D26</f>
        <v>40438.482772571559</v>
      </c>
      <c r="E30" s="645">
        <f>E23*E26</f>
        <v>41512.631973744974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914</v>
      </c>
      <c r="C33" s="641">
        <f>IF(C19=0,0,C12/C19)</f>
        <v>9734.6669287285313</v>
      </c>
      <c r="D33" s="641">
        <f>IF(D19=0,0,D12/D19)</f>
        <v>10671.079458692484</v>
      </c>
      <c r="E33" s="641">
        <f>IF(E19=0,0,E12/E19)</f>
        <v>11320.548234013502</v>
      </c>
    </row>
    <row r="34" spans="1:5" ht="26.1" customHeight="1" x14ac:dyDescent="0.25">
      <c r="A34" s="639">
        <v>2</v>
      </c>
      <c r="B34" s="640" t="s">
        <v>915</v>
      </c>
      <c r="C34" s="641">
        <f>IF(C20=0,0,C12/C20)</f>
        <v>51947.881730096895</v>
      </c>
      <c r="D34" s="641">
        <f>IF(D20=0,0,D12/D20)</f>
        <v>55812.525393780292</v>
      </c>
      <c r="E34" s="641">
        <f>IF(E20=0,0,E12/E20)</f>
        <v>62255.28754463348</v>
      </c>
    </row>
    <row r="35" spans="1:5" ht="26.1" customHeight="1" x14ac:dyDescent="0.25">
      <c r="A35" s="639">
        <v>3</v>
      </c>
      <c r="B35" s="640" t="s">
        <v>916</v>
      </c>
      <c r="C35" s="641">
        <f>IF(C22=0,0,C12/C22)</f>
        <v>6310.2195236089665</v>
      </c>
      <c r="D35" s="641">
        <f>IF(D22=0,0,D12/D22)</f>
        <v>6622.5026206310749</v>
      </c>
      <c r="E35" s="641">
        <f>IF(E22=0,0,E12/E22)</f>
        <v>6794.8450285976178</v>
      </c>
    </row>
    <row r="36" spans="1:5" ht="26.1" customHeight="1" x14ac:dyDescent="0.25">
      <c r="A36" s="639">
        <v>4</v>
      </c>
      <c r="B36" s="640" t="s">
        <v>917</v>
      </c>
      <c r="C36" s="641">
        <f>IF(C23=0,0,C12/C23)</f>
        <v>33673.729147937273</v>
      </c>
      <c r="D36" s="641">
        <f>IF(D23=0,0,D12/D23)</f>
        <v>34637.413873182551</v>
      </c>
      <c r="E36" s="641">
        <f>IF(E23=0,0,E12/E23)</f>
        <v>37367.00929426591</v>
      </c>
    </row>
    <row r="37" spans="1:5" ht="26.1" customHeight="1" x14ac:dyDescent="0.25">
      <c r="A37" s="639">
        <v>5</v>
      </c>
      <c r="B37" s="640" t="s">
        <v>918</v>
      </c>
      <c r="C37" s="641">
        <f>IF(C29=0,0,C12/C29)</f>
        <v>4973.4693694812113</v>
      </c>
      <c r="D37" s="641">
        <f>IF(D29=0,0,D12/D29)</f>
        <v>5227.0195968170628</v>
      </c>
      <c r="E37" s="641">
        <f>IF(E29=0,0,E12/E29)</f>
        <v>5193.3233408304241</v>
      </c>
    </row>
    <row r="38" spans="1:5" ht="26.1" customHeight="1" x14ac:dyDescent="0.25">
      <c r="A38" s="639">
        <v>6</v>
      </c>
      <c r="B38" s="640" t="s">
        <v>919</v>
      </c>
      <c r="C38" s="641">
        <f>IF(C30=0,0,C12/C30)</f>
        <v>26540.322384488067</v>
      </c>
      <c r="D38" s="641">
        <f>IF(D30=0,0,D12/D30)</f>
        <v>27338.674134180357</v>
      </c>
      <c r="E38" s="641">
        <f>IF(E30=0,0,E12/E30)</f>
        <v>28559.733257815031</v>
      </c>
    </row>
    <row r="39" spans="1:5" ht="26.1" customHeight="1" x14ac:dyDescent="0.25">
      <c r="A39" s="639">
        <v>7</v>
      </c>
      <c r="B39" s="640" t="s">
        <v>920</v>
      </c>
      <c r="C39" s="641">
        <f>IF(C22=0,0,C10/C22)</f>
        <v>4090.4193977735413</v>
      </c>
      <c r="D39" s="641">
        <f>IF(D22=0,0,D10/D22)</f>
        <v>4109.9441841883981</v>
      </c>
      <c r="E39" s="641">
        <f>IF(E22=0,0,E10/E22)</f>
        <v>4078.4172292942949</v>
      </c>
    </row>
    <row r="40" spans="1:5" ht="26.1" customHeight="1" x14ac:dyDescent="0.25">
      <c r="A40" s="639">
        <v>8</v>
      </c>
      <c r="B40" s="640" t="s">
        <v>921</v>
      </c>
      <c r="C40" s="641">
        <f>IF(C23=0,0,C10/C23)</f>
        <v>21828.032192344122</v>
      </c>
      <c r="D40" s="641">
        <f>IF(D23=0,0,D10/D23)</f>
        <v>21496.078727085132</v>
      </c>
      <c r="E40" s="641">
        <f>IF(E23=0,0,E10/E23)</f>
        <v>22428.510712390373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923</v>
      </c>
      <c r="C43" s="641">
        <f>IF(C19=0,0,C13/C19)</f>
        <v>3055.5851935046094</v>
      </c>
      <c r="D43" s="641">
        <f>IF(D19=0,0,D13/D19)</f>
        <v>3373.3651219582821</v>
      </c>
      <c r="E43" s="641">
        <f>IF(E19=0,0,E13/E19)</f>
        <v>3428.4868565535812</v>
      </c>
    </row>
    <row r="44" spans="1:5" ht="26.1" customHeight="1" x14ac:dyDescent="0.25">
      <c r="A44" s="639">
        <v>2</v>
      </c>
      <c r="B44" s="640" t="s">
        <v>924</v>
      </c>
      <c r="C44" s="641">
        <f>IF(C20=0,0,C13/C20)</f>
        <v>16305.763659974029</v>
      </c>
      <c r="D44" s="641">
        <f>IF(D20=0,0,D13/D20)</f>
        <v>17643.578352180935</v>
      </c>
      <c r="E44" s="641">
        <f>IF(E20=0,0,E13/E20)</f>
        <v>18854.337324091579</v>
      </c>
    </row>
    <row r="45" spans="1:5" ht="26.1" customHeight="1" x14ac:dyDescent="0.25">
      <c r="A45" s="639">
        <v>3</v>
      </c>
      <c r="B45" s="640" t="s">
        <v>925</v>
      </c>
      <c r="C45" s="641">
        <f>IF(C22=0,0,C13/C22)</f>
        <v>1980.6957428816374</v>
      </c>
      <c r="D45" s="641">
        <f>IF(D22=0,0,D13/D22)</f>
        <v>2093.5201023469376</v>
      </c>
      <c r="E45" s="641">
        <f>IF(E22=0,0,E13/E22)</f>
        <v>2057.8541243144523</v>
      </c>
    </row>
    <row r="46" spans="1:5" ht="26.1" customHeight="1" x14ac:dyDescent="0.25">
      <c r="A46" s="639">
        <v>4</v>
      </c>
      <c r="B46" s="640" t="s">
        <v>926</v>
      </c>
      <c r="C46" s="641">
        <f>IF(C23=0,0,C13/C23)</f>
        <v>10569.745112785366</v>
      </c>
      <c r="D46" s="641">
        <f>IF(D23=0,0,D13/D23)</f>
        <v>10949.655498952196</v>
      </c>
      <c r="E46" s="641">
        <f>IF(E23=0,0,E13/E23)</f>
        <v>11316.792931386699</v>
      </c>
    </row>
    <row r="47" spans="1:5" ht="26.1" customHeight="1" x14ac:dyDescent="0.25">
      <c r="A47" s="639">
        <v>5</v>
      </c>
      <c r="B47" s="640" t="s">
        <v>927</v>
      </c>
      <c r="C47" s="641">
        <f>IF(C29=0,0,C13/C29)</f>
        <v>1561.1072753693477</v>
      </c>
      <c r="D47" s="641">
        <f>IF(D29=0,0,D13/D29)</f>
        <v>1652.3769378675054</v>
      </c>
      <c r="E47" s="641">
        <f>IF(E29=0,0,E13/E29)</f>
        <v>1572.8249593401104</v>
      </c>
    </row>
    <row r="48" spans="1:5" ht="26.1" customHeight="1" x14ac:dyDescent="0.25">
      <c r="A48" s="639">
        <v>6</v>
      </c>
      <c r="B48" s="640" t="s">
        <v>928</v>
      </c>
      <c r="C48" s="641">
        <f>IF(C30=0,0,C13/C30)</f>
        <v>8330.6616140664264</v>
      </c>
      <c r="D48" s="641">
        <f>IF(D30=0,0,D13/D30)</f>
        <v>8642.361830574082</v>
      </c>
      <c r="E48" s="641">
        <f>IF(E30=0,0,E13/E30)</f>
        <v>8649.4636193410206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930</v>
      </c>
      <c r="C51" s="641">
        <f>IF(C19=0,0,C16/C19)</f>
        <v>3121.4282371659883</v>
      </c>
      <c r="D51" s="641">
        <f>IF(D19=0,0,D16/D19)</f>
        <v>3388.5290682522368</v>
      </c>
      <c r="E51" s="641">
        <f>IF(E19=0,0,E16/E19)</f>
        <v>3344.0116873072407</v>
      </c>
    </row>
    <row r="52" spans="1:6" ht="26.1" customHeight="1" x14ac:dyDescent="0.25">
      <c r="A52" s="639">
        <v>2</v>
      </c>
      <c r="B52" s="640" t="s">
        <v>931</v>
      </c>
      <c r="C52" s="641">
        <f>IF(C20=0,0,C16/C20)</f>
        <v>16657.127160123862</v>
      </c>
      <c r="D52" s="641">
        <f>IF(D20=0,0,D16/D20)</f>
        <v>17722.889741518578</v>
      </c>
      <c r="E52" s="641">
        <f>IF(E20=0,0,E16/E20)</f>
        <v>18389.781558496114</v>
      </c>
    </row>
    <row r="53" spans="1:6" ht="26.1" customHeight="1" x14ac:dyDescent="0.25">
      <c r="A53" s="639">
        <v>3</v>
      </c>
      <c r="B53" s="640" t="s">
        <v>932</v>
      </c>
      <c r="C53" s="641">
        <f>IF(C22=0,0,C16/C22)</f>
        <v>2023.3766134905445</v>
      </c>
      <c r="D53" s="641">
        <f>IF(D22=0,0,D16/D22)</f>
        <v>2102.9308910548243</v>
      </c>
      <c r="E53" s="641">
        <f>IF(E22=0,0,E16/E22)</f>
        <v>2007.1502474413498</v>
      </c>
    </row>
    <row r="54" spans="1:6" ht="26.1" customHeight="1" x14ac:dyDescent="0.25">
      <c r="A54" s="639">
        <v>4</v>
      </c>
      <c r="B54" s="640" t="s">
        <v>933</v>
      </c>
      <c r="C54" s="641">
        <f>IF(C23=0,0,C16/C23)</f>
        <v>10797.506456317913</v>
      </c>
      <c r="D54" s="641">
        <f>IF(D23=0,0,D16/D23)</f>
        <v>10998.876375412501</v>
      </c>
      <c r="E54" s="641">
        <f>IF(E23=0,0,E16/E23)</f>
        <v>11037.956220556876</v>
      </c>
    </row>
    <row r="55" spans="1:6" ht="26.1" customHeight="1" x14ac:dyDescent="0.25">
      <c r="A55" s="639">
        <v>5</v>
      </c>
      <c r="B55" s="640" t="s">
        <v>934</v>
      </c>
      <c r="C55" s="641">
        <f>IF(C29=0,0,C16/C29)</f>
        <v>1594.7466760022414</v>
      </c>
      <c r="D55" s="641">
        <f>IF(D29=0,0,D16/D29)</f>
        <v>1659.8047004242744</v>
      </c>
      <c r="E55" s="641">
        <f>IF(E29=0,0,E16/E29)</f>
        <v>1534.0718124872494</v>
      </c>
    </row>
    <row r="56" spans="1:6" ht="26.1" customHeight="1" x14ac:dyDescent="0.25">
      <c r="A56" s="639">
        <v>6</v>
      </c>
      <c r="B56" s="640" t="s">
        <v>935</v>
      </c>
      <c r="C56" s="641">
        <f>IF(C30=0,0,C16/C30)</f>
        <v>8510.1742382109442</v>
      </c>
      <c r="D56" s="641">
        <f>IF(D30=0,0,D16/D30)</f>
        <v>8681.2109636841287</v>
      </c>
      <c r="E56" s="641">
        <f>IF(E30=0,0,E16/E30)</f>
        <v>8436.3477656992818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937</v>
      </c>
      <c r="C59" s="649">
        <v>41382100</v>
      </c>
      <c r="D59" s="649">
        <v>42767886</v>
      </c>
      <c r="E59" s="649">
        <v>48504672</v>
      </c>
    </row>
    <row r="60" spans="1:6" ht="26.1" customHeight="1" x14ac:dyDescent="0.25">
      <c r="A60" s="639">
        <v>2</v>
      </c>
      <c r="B60" s="640" t="s">
        <v>938</v>
      </c>
      <c r="C60" s="649">
        <v>9692122</v>
      </c>
      <c r="D60" s="649">
        <v>10711918</v>
      </c>
      <c r="E60" s="649">
        <v>11454118</v>
      </c>
    </row>
    <row r="61" spans="1:6" ht="26.1" customHeight="1" x14ac:dyDescent="0.25">
      <c r="A61" s="650">
        <v>3</v>
      </c>
      <c r="B61" s="651" t="s">
        <v>939</v>
      </c>
      <c r="C61" s="652">
        <f>C59+C60</f>
        <v>51074222</v>
      </c>
      <c r="D61" s="652">
        <f>D59+D60</f>
        <v>53479804</v>
      </c>
      <c r="E61" s="652">
        <f>E59+E60</f>
        <v>59958790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941</v>
      </c>
      <c r="C64" s="641">
        <v>8413688</v>
      </c>
      <c r="D64" s="641">
        <v>8311122</v>
      </c>
      <c r="E64" s="649">
        <v>9466788</v>
      </c>
      <c r="F64" s="653"/>
    </row>
    <row r="65" spans="1:6" ht="26.1" customHeight="1" x14ac:dyDescent="0.25">
      <c r="A65" s="639">
        <v>2</v>
      </c>
      <c r="B65" s="640" t="s">
        <v>942</v>
      </c>
      <c r="C65" s="649">
        <v>2243039</v>
      </c>
      <c r="D65" s="649">
        <v>2452306</v>
      </c>
      <c r="E65" s="649">
        <v>2213435</v>
      </c>
      <c r="F65" s="653"/>
    </row>
    <row r="66" spans="1:6" ht="26.1" customHeight="1" x14ac:dyDescent="0.25">
      <c r="A66" s="650">
        <v>3</v>
      </c>
      <c r="B66" s="651" t="s">
        <v>943</v>
      </c>
      <c r="C66" s="654">
        <f>C64+C65</f>
        <v>10656727</v>
      </c>
      <c r="D66" s="654">
        <f>D64+D65</f>
        <v>10763428</v>
      </c>
      <c r="E66" s="654">
        <f>E64+E65</f>
        <v>11680223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945</v>
      </c>
      <c r="C69" s="649">
        <v>65423212</v>
      </c>
      <c r="D69" s="649">
        <v>79408992</v>
      </c>
      <c r="E69" s="649">
        <v>70911540</v>
      </c>
    </row>
    <row r="70" spans="1:6" ht="26.1" customHeight="1" x14ac:dyDescent="0.25">
      <c r="A70" s="639">
        <v>2</v>
      </c>
      <c r="B70" s="640" t="s">
        <v>946</v>
      </c>
      <c r="C70" s="649">
        <v>24240839</v>
      </c>
      <c r="D70" s="649">
        <v>25392776</v>
      </c>
      <c r="E70" s="649">
        <v>28140447</v>
      </c>
    </row>
    <row r="71" spans="1:6" ht="26.1" customHeight="1" x14ac:dyDescent="0.25">
      <c r="A71" s="650">
        <v>3</v>
      </c>
      <c r="B71" s="651" t="s">
        <v>947</v>
      </c>
      <c r="C71" s="652">
        <f>C69+C70</f>
        <v>89664051</v>
      </c>
      <c r="D71" s="652">
        <f>D69+D70</f>
        <v>104801768</v>
      </c>
      <c r="E71" s="652">
        <f>E69+E70</f>
        <v>99051987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949</v>
      </c>
      <c r="C75" s="641">
        <f t="shared" ref="C75:E76" si="0">+C59+C64+C69</f>
        <v>115219000</v>
      </c>
      <c r="D75" s="641">
        <f t="shared" si="0"/>
        <v>130488000</v>
      </c>
      <c r="E75" s="641">
        <f t="shared" si="0"/>
        <v>128883000</v>
      </c>
    </row>
    <row r="76" spans="1:6" ht="26.1" customHeight="1" x14ac:dyDescent="0.25">
      <c r="A76" s="639">
        <v>2</v>
      </c>
      <c r="B76" s="640" t="s">
        <v>950</v>
      </c>
      <c r="C76" s="641">
        <f t="shared" si="0"/>
        <v>36176000</v>
      </c>
      <c r="D76" s="641">
        <f t="shared" si="0"/>
        <v>38557000</v>
      </c>
      <c r="E76" s="641">
        <f t="shared" si="0"/>
        <v>41808000</v>
      </c>
    </row>
    <row r="77" spans="1:6" ht="26.1" customHeight="1" x14ac:dyDescent="0.25">
      <c r="A77" s="650">
        <v>3</v>
      </c>
      <c r="B77" s="651" t="s">
        <v>948</v>
      </c>
      <c r="C77" s="654">
        <f>C75+C76</f>
        <v>151395000</v>
      </c>
      <c r="D77" s="654">
        <f>D75+D76</f>
        <v>169045000</v>
      </c>
      <c r="E77" s="654">
        <f>E75+E76</f>
        <v>170691000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557.20000000000005</v>
      </c>
      <c r="D80" s="646">
        <v>566.6</v>
      </c>
      <c r="E80" s="646">
        <v>571.6</v>
      </c>
    </row>
    <row r="81" spans="1:5" ht="26.1" customHeight="1" x14ac:dyDescent="0.25">
      <c r="A81" s="639">
        <v>2</v>
      </c>
      <c r="B81" s="640" t="s">
        <v>579</v>
      </c>
      <c r="C81" s="646">
        <v>129</v>
      </c>
      <c r="D81" s="646">
        <v>129.69999999999999</v>
      </c>
      <c r="E81" s="646">
        <v>139.80000000000001</v>
      </c>
    </row>
    <row r="82" spans="1:5" ht="26.1" customHeight="1" x14ac:dyDescent="0.25">
      <c r="A82" s="639">
        <v>3</v>
      </c>
      <c r="B82" s="640" t="s">
        <v>952</v>
      </c>
      <c r="C82" s="646">
        <v>1393.6</v>
      </c>
      <c r="D82" s="646">
        <v>1343.2</v>
      </c>
      <c r="E82" s="646">
        <v>1304</v>
      </c>
    </row>
    <row r="83" spans="1:5" ht="26.1" customHeight="1" x14ac:dyDescent="0.25">
      <c r="A83" s="650">
        <v>4</v>
      </c>
      <c r="B83" s="651" t="s">
        <v>951</v>
      </c>
      <c r="C83" s="656">
        <f>C80+C81+C82</f>
        <v>2079.8000000000002</v>
      </c>
      <c r="D83" s="656">
        <f>D80+D81+D82</f>
        <v>2039.5</v>
      </c>
      <c r="E83" s="656">
        <f>E80+E81+E82</f>
        <v>2015.4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954</v>
      </c>
      <c r="C86" s="649">
        <f>IF(C80=0,0,C59/C80)</f>
        <v>74267.946877243347</v>
      </c>
      <c r="D86" s="649">
        <f>IF(D80=0,0,D59/D80)</f>
        <v>75481.620190610658</v>
      </c>
      <c r="E86" s="649">
        <f>IF(E80=0,0,E59/E80)</f>
        <v>84857.718684394684</v>
      </c>
    </row>
    <row r="87" spans="1:5" ht="26.1" customHeight="1" x14ac:dyDescent="0.25">
      <c r="A87" s="639">
        <v>2</v>
      </c>
      <c r="B87" s="640" t="s">
        <v>955</v>
      </c>
      <c r="C87" s="649">
        <f>IF(C80=0,0,C60/C80)</f>
        <v>17394.332376166545</v>
      </c>
      <c r="D87" s="649">
        <f>IF(D80=0,0,D60/D80)</f>
        <v>18905.608895164136</v>
      </c>
      <c r="E87" s="649">
        <f>IF(E80=0,0,E60/E80)</f>
        <v>20038.694891532541</v>
      </c>
    </row>
    <row r="88" spans="1:5" ht="26.1" customHeight="1" x14ac:dyDescent="0.25">
      <c r="A88" s="650">
        <v>3</v>
      </c>
      <c r="B88" s="651" t="s">
        <v>956</v>
      </c>
      <c r="C88" s="652">
        <f>+C86+C87</f>
        <v>91662.279253409884</v>
      </c>
      <c r="D88" s="652">
        <f>+D86+D87</f>
        <v>94387.229085774801</v>
      </c>
      <c r="E88" s="652">
        <f>+E86+E87</f>
        <v>104896.41357592723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957</v>
      </c>
    </row>
    <row r="91" spans="1:5" ht="26.1" customHeight="1" x14ac:dyDescent="0.25">
      <c r="A91" s="639">
        <v>1</v>
      </c>
      <c r="B91" s="640" t="s">
        <v>958</v>
      </c>
      <c r="C91" s="641">
        <f>IF(C81=0,0,C64/C81)</f>
        <v>65222.387596899222</v>
      </c>
      <c r="D91" s="641">
        <f>IF(D81=0,0,D64/D81)</f>
        <v>64079.583654587514</v>
      </c>
      <c r="E91" s="641">
        <f>IF(E81=0,0,E64/E81)</f>
        <v>67716.652360515014</v>
      </c>
    </row>
    <row r="92" spans="1:5" ht="26.1" customHeight="1" x14ac:dyDescent="0.25">
      <c r="A92" s="639">
        <v>2</v>
      </c>
      <c r="B92" s="640" t="s">
        <v>959</v>
      </c>
      <c r="C92" s="641">
        <f>IF(C81=0,0,C65/C81)</f>
        <v>17387.899224806202</v>
      </c>
      <c r="D92" s="641">
        <f>IF(D81=0,0,D65/D81)</f>
        <v>18907.525057825755</v>
      </c>
      <c r="E92" s="641">
        <f>IF(E81=0,0,E65/E81)</f>
        <v>15832.868383404862</v>
      </c>
    </row>
    <row r="93" spans="1:5" ht="26.1" customHeight="1" x14ac:dyDescent="0.25">
      <c r="A93" s="650">
        <v>3</v>
      </c>
      <c r="B93" s="651" t="s">
        <v>960</v>
      </c>
      <c r="C93" s="654">
        <f>+C91+C92</f>
        <v>82610.28682170542</v>
      </c>
      <c r="D93" s="654">
        <f>+D91+D92</f>
        <v>82987.108712413261</v>
      </c>
      <c r="E93" s="654">
        <f>+E91+E92</f>
        <v>83549.520743919871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961</v>
      </c>
      <c r="B95" s="642" t="s">
        <v>962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963</v>
      </c>
      <c r="C96" s="649">
        <f>IF(C82=0,0,C69/C82)</f>
        <v>46945.473593570612</v>
      </c>
      <c r="D96" s="649">
        <f>IF(D82=0,0,D69/D82)</f>
        <v>59119.261465157833</v>
      </c>
      <c r="E96" s="649">
        <f>IF(E82=0,0,E69/E82)</f>
        <v>54380.015337423312</v>
      </c>
    </row>
    <row r="97" spans="1:5" ht="26.1" customHeight="1" x14ac:dyDescent="0.25">
      <c r="A97" s="639">
        <v>2</v>
      </c>
      <c r="B97" s="640" t="s">
        <v>964</v>
      </c>
      <c r="C97" s="649">
        <f>IF(C82=0,0,C70/C82)</f>
        <v>17394.402267508613</v>
      </c>
      <c r="D97" s="649">
        <f>IF(D82=0,0,D70/D82)</f>
        <v>18904.687313877308</v>
      </c>
      <c r="E97" s="649">
        <f>IF(E82=0,0,E70/E82)</f>
        <v>21580.097392638036</v>
      </c>
    </row>
    <row r="98" spans="1:5" ht="26.1" customHeight="1" x14ac:dyDescent="0.25">
      <c r="A98" s="650">
        <v>3</v>
      </c>
      <c r="B98" s="651" t="s">
        <v>965</v>
      </c>
      <c r="C98" s="654">
        <f>+C96+C97</f>
        <v>64339.875861079228</v>
      </c>
      <c r="D98" s="654">
        <f>+D96+D97</f>
        <v>78023.948779035141</v>
      </c>
      <c r="E98" s="654">
        <f>+E96+E97</f>
        <v>75960.112730061344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966</v>
      </c>
      <c r="B100" s="642" t="s">
        <v>967</v>
      </c>
    </row>
    <row r="101" spans="1:5" ht="26.1" customHeight="1" x14ac:dyDescent="0.25">
      <c r="A101" s="639">
        <v>1</v>
      </c>
      <c r="B101" s="640" t="s">
        <v>968</v>
      </c>
      <c r="C101" s="641">
        <f>IF(C83=0,0,C75/C83)</f>
        <v>55399.076834310988</v>
      </c>
      <c r="D101" s="641">
        <f>IF(D83=0,0,D75/D83)</f>
        <v>63980.387349840646</v>
      </c>
      <c r="E101" s="641">
        <f>IF(E83=0,0,E75/E83)</f>
        <v>63949.09199166418</v>
      </c>
    </row>
    <row r="102" spans="1:5" ht="26.1" customHeight="1" x14ac:dyDescent="0.25">
      <c r="A102" s="639">
        <v>2</v>
      </c>
      <c r="B102" s="640" t="s">
        <v>969</v>
      </c>
      <c r="C102" s="658">
        <f>IF(C83=0,0,C76/C83)</f>
        <v>17393.980190402923</v>
      </c>
      <c r="D102" s="658">
        <f>IF(D83=0,0,D76/D83)</f>
        <v>18905.123804854131</v>
      </c>
      <c r="E102" s="658">
        <f>IF(E83=0,0,E76/E83)</f>
        <v>20744.269127716583</v>
      </c>
    </row>
    <row r="103" spans="1:5" ht="26.1" customHeight="1" x14ac:dyDescent="0.25">
      <c r="A103" s="650">
        <v>3</v>
      </c>
      <c r="B103" s="651" t="s">
        <v>967</v>
      </c>
      <c r="C103" s="654">
        <f>+C101+C102</f>
        <v>72793.057024713911</v>
      </c>
      <c r="D103" s="654">
        <f>+D101+D102</f>
        <v>82885.511154694774</v>
      </c>
      <c r="E103" s="654">
        <f>+E101+E102</f>
        <v>84693.361119380759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970</v>
      </c>
      <c r="B107" s="634" t="s">
        <v>971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972</v>
      </c>
      <c r="C108" s="641">
        <f>IF(C19=0,0,C77/C19)</f>
        <v>1416.9591464270673</v>
      </c>
      <c r="D108" s="641">
        <f>IF(D19=0,0,D77/D19)</f>
        <v>1631.6927442785302</v>
      </c>
      <c r="E108" s="641">
        <f>IF(E19=0,0,E77/E19)</f>
        <v>1629.8350982058455</v>
      </c>
    </row>
    <row r="109" spans="1:5" ht="26.1" customHeight="1" x14ac:dyDescent="0.25">
      <c r="A109" s="639">
        <v>2</v>
      </c>
      <c r="B109" s="640" t="s">
        <v>973</v>
      </c>
      <c r="C109" s="641">
        <f>IF(C20=0,0,C77/C20)</f>
        <v>7561.432424333233</v>
      </c>
      <c r="D109" s="641">
        <f>IF(D20=0,0,D77/D20)</f>
        <v>8534.1781098546035</v>
      </c>
      <c r="E109" s="641">
        <f>IF(E20=0,0,E77/E20)</f>
        <v>8962.9804662885945</v>
      </c>
    </row>
    <row r="110" spans="1:5" ht="26.1" customHeight="1" x14ac:dyDescent="0.25">
      <c r="A110" s="639">
        <v>3</v>
      </c>
      <c r="B110" s="640" t="s">
        <v>974</v>
      </c>
      <c r="C110" s="641">
        <f>IF(C22=0,0,C77/C22)</f>
        <v>918.50325598230029</v>
      </c>
      <c r="D110" s="641">
        <f>IF(D22=0,0,D77/D22)</f>
        <v>1012.6332126828069</v>
      </c>
      <c r="E110" s="641">
        <f>IF(E22=0,0,E77/E22)</f>
        <v>978.26330364493651</v>
      </c>
    </row>
    <row r="111" spans="1:5" ht="26.1" customHeight="1" x14ac:dyDescent="0.25">
      <c r="A111" s="639">
        <v>4</v>
      </c>
      <c r="B111" s="640" t="s">
        <v>975</v>
      </c>
      <c r="C111" s="641">
        <f>IF(C23=0,0,C77/C23)</f>
        <v>4901.4823886439362</v>
      </c>
      <c r="D111" s="641">
        <f>IF(D23=0,0,D77/D23)</f>
        <v>5296.335494100942</v>
      </c>
      <c r="E111" s="641">
        <f>IF(E23=0,0,E77/E23)</f>
        <v>5379.7803784620128</v>
      </c>
    </row>
    <row r="112" spans="1:5" ht="26.1" customHeight="1" x14ac:dyDescent="0.25">
      <c r="A112" s="639">
        <v>5</v>
      </c>
      <c r="B112" s="640" t="s">
        <v>976</v>
      </c>
      <c r="C112" s="641">
        <f>IF(C29=0,0,C77/C29)</f>
        <v>723.92850871598478</v>
      </c>
      <c r="D112" s="641">
        <f>IF(D29=0,0,D77/D29)</f>
        <v>799.2527825646165</v>
      </c>
      <c r="E112" s="641">
        <f>IF(E29=0,0,E77/E29)</f>
        <v>747.68999541784638</v>
      </c>
    </row>
    <row r="113" spans="1:7" ht="25.5" customHeight="1" x14ac:dyDescent="0.25">
      <c r="A113" s="639">
        <v>6</v>
      </c>
      <c r="B113" s="640" t="s">
        <v>977</v>
      </c>
      <c r="C113" s="641">
        <f>IF(C30=0,0,C77/C30)</f>
        <v>3863.157602325412</v>
      </c>
      <c r="D113" s="641">
        <f>IF(D30=0,0,D77/D30)</f>
        <v>4180.3002588084018</v>
      </c>
      <c r="E113" s="641">
        <f>IF(E30=0,0,E77/E30)</f>
        <v>4111.7845794011573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FILING&amp;R&amp;12BRIDGEPORT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C1" sqref="C1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1105535000</v>
      </c>
      <c r="D12" s="51">
        <v>1185590000</v>
      </c>
      <c r="E12" s="51">
        <f t="shared" ref="E12:E19" si="0">D12-C12</f>
        <v>80055000</v>
      </c>
      <c r="F12" s="70">
        <f t="shared" ref="F12:F19" si="1">IF(C12=0,0,E12/C12)</f>
        <v>7.2412904159524574E-2</v>
      </c>
    </row>
    <row r="13" spans="1:8" ht="23.1" customHeight="1" x14ac:dyDescent="0.2">
      <c r="A13" s="25">
        <v>2</v>
      </c>
      <c r="B13" s="48" t="s">
        <v>72</v>
      </c>
      <c r="C13" s="51">
        <v>720998000</v>
      </c>
      <c r="D13" s="51">
        <v>802426000</v>
      </c>
      <c r="E13" s="51">
        <f t="shared" si="0"/>
        <v>81428000</v>
      </c>
      <c r="F13" s="70">
        <f t="shared" si="1"/>
        <v>0.11293789996643541</v>
      </c>
    </row>
    <row r="14" spans="1:8" ht="23.1" customHeight="1" x14ac:dyDescent="0.2">
      <c r="A14" s="25">
        <v>3</v>
      </c>
      <c r="B14" s="48" t="s">
        <v>73</v>
      </c>
      <c r="C14" s="51">
        <v>35053000</v>
      </c>
      <c r="D14" s="51">
        <v>24102000</v>
      </c>
      <c r="E14" s="51">
        <f t="shared" si="0"/>
        <v>-10951000</v>
      </c>
      <c r="F14" s="70">
        <f t="shared" si="1"/>
        <v>-0.31241263229966049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349484000</v>
      </c>
      <c r="D16" s="27">
        <f>D12-D13-D14-D15</f>
        <v>359062000</v>
      </c>
      <c r="E16" s="27">
        <f t="shared" si="0"/>
        <v>9578000</v>
      </c>
      <c r="F16" s="28">
        <f t="shared" si="1"/>
        <v>2.7406118735049386E-2</v>
      </c>
    </row>
    <row r="17" spans="1:7" ht="23.1" customHeight="1" x14ac:dyDescent="0.2">
      <c r="A17" s="25">
        <v>5</v>
      </c>
      <c r="B17" s="48" t="s">
        <v>76</v>
      </c>
      <c r="C17" s="51">
        <v>4458000</v>
      </c>
      <c r="D17" s="51">
        <v>5877000</v>
      </c>
      <c r="E17" s="51">
        <f t="shared" si="0"/>
        <v>1419000</v>
      </c>
      <c r="F17" s="70">
        <f t="shared" si="1"/>
        <v>0.31830417227456259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1853000</v>
      </c>
      <c r="D18" s="51">
        <v>1077000</v>
      </c>
      <c r="E18" s="51">
        <f t="shared" si="0"/>
        <v>-776000</v>
      </c>
      <c r="F18" s="70">
        <f t="shared" si="1"/>
        <v>-0.41878035617916892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355795000</v>
      </c>
      <c r="D19" s="27">
        <f>SUM(D16:D18)</f>
        <v>366016000</v>
      </c>
      <c r="E19" s="27">
        <f t="shared" si="0"/>
        <v>10221000</v>
      </c>
      <c r="F19" s="28">
        <f t="shared" si="1"/>
        <v>2.8727216515128093E-2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130488000</v>
      </c>
      <c r="D22" s="51">
        <v>128883000</v>
      </c>
      <c r="E22" s="51">
        <f t="shared" ref="E22:E31" si="2">D22-C22</f>
        <v>-1605000</v>
      </c>
      <c r="F22" s="70">
        <f t="shared" ref="F22:F31" si="3">IF(C22=0,0,E22/C22)</f>
        <v>-1.2299981607504139E-2</v>
      </c>
    </row>
    <row r="23" spans="1:7" ht="23.1" customHeight="1" x14ac:dyDescent="0.2">
      <c r="A23" s="25">
        <v>2</v>
      </c>
      <c r="B23" s="48" t="s">
        <v>81</v>
      </c>
      <c r="C23" s="51">
        <v>38557000</v>
      </c>
      <c r="D23" s="51">
        <v>41808000</v>
      </c>
      <c r="E23" s="51">
        <f t="shared" si="2"/>
        <v>3251000</v>
      </c>
      <c r="F23" s="70">
        <f t="shared" si="3"/>
        <v>8.4316725886350086E-2</v>
      </c>
    </row>
    <row r="24" spans="1:7" ht="23.1" customHeight="1" x14ac:dyDescent="0.2">
      <c r="A24" s="25">
        <v>3</v>
      </c>
      <c r="B24" s="48" t="s">
        <v>82</v>
      </c>
      <c r="C24" s="51">
        <v>15538000</v>
      </c>
      <c r="D24" s="51">
        <v>14462000</v>
      </c>
      <c r="E24" s="51">
        <f t="shared" si="2"/>
        <v>-1076000</v>
      </c>
      <c r="F24" s="70">
        <f t="shared" si="3"/>
        <v>-6.9249581670742702E-2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45415000</v>
      </c>
      <c r="D25" s="51">
        <v>45672000</v>
      </c>
      <c r="E25" s="51">
        <f t="shared" si="2"/>
        <v>257000</v>
      </c>
      <c r="F25" s="70">
        <f t="shared" si="3"/>
        <v>5.658923263239018E-3</v>
      </c>
    </row>
    <row r="26" spans="1:7" ht="23.1" customHeight="1" x14ac:dyDescent="0.2">
      <c r="A26" s="25">
        <v>5</v>
      </c>
      <c r="B26" s="48" t="s">
        <v>84</v>
      </c>
      <c r="C26" s="51">
        <v>18962000</v>
      </c>
      <c r="D26" s="51">
        <v>17768000</v>
      </c>
      <c r="E26" s="51">
        <f t="shared" si="2"/>
        <v>-1194000</v>
      </c>
      <c r="F26" s="70">
        <f t="shared" si="3"/>
        <v>-6.2968041345849587E-2</v>
      </c>
    </row>
    <row r="27" spans="1:7" ht="23.1" customHeight="1" x14ac:dyDescent="0.2">
      <c r="A27" s="25">
        <v>6</v>
      </c>
      <c r="B27" s="48" t="s">
        <v>85</v>
      </c>
      <c r="C27" s="51">
        <v>13240000</v>
      </c>
      <c r="D27" s="51">
        <v>13505000</v>
      </c>
      <c r="E27" s="51">
        <f t="shared" si="2"/>
        <v>265000</v>
      </c>
      <c r="F27" s="70">
        <f t="shared" si="3"/>
        <v>2.0015105740181269E-2</v>
      </c>
    </row>
    <row r="28" spans="1:7" ht="23.1" customHeight="1" x14ac:dyDescent="0.2">
      <c r="A28" s="25">
        <v>7</v>
      </c>
      <c r="B28" s="48" t="s">
        <v>86</v>
      </c>
      <c r="C28" s="51">
        <v>3200000</v>
      </c>
      <c r="D28" s="51">
        <v>3059000</v>
      </c>
      <c r="E28" s="51">
        <f t="shared" si="2"/>
        <v>-141000</v>
      </c>
      <c r="F28" s="70">
        <f t="shared" si="3"/>
        <v>-4.4062499999999998E-2</v>
      </c>
    </row>
    <row r="29" spans="1:7" ht="23.1" customHeight="1" x14ac:dyDescent="0.2">
      <c r="A29" s="25">
        <v>8</v>
      </c>
      <c r="B29" s="48" t="s">
        <v>87</v>
      </c>
      <c r="C29" s="51">
        <v>12652000</v>
      </c>
      <c r="D29" s="51">
        <v>8342000</v>
      </c>
      <c r="E29" s="51">
        <f t="shared" si="2"/>
        <v>-4310000</v>
      </c>
      <c r="F29" s="70">
        <f t="shared" si="3"/>
        <v>-0.34065760354094216</v>
      </c>
    </row>
    <row r="30" spans="1:7" ht="23.1" customHeight="1" x14ac:dyDescent="0.2">
      <c r="A30" s="25">
        <v>9</v>
      </c>
      <c r="B30" s="48" t="s">
        <v>88</v>
      </c>
      <c r="C30" s="51">
        <v>73003000</v>
      </c>
      <c r="D30" s="51">
        <v>76716000</v>
      </c>
      <c r="E30" s="51">
        <f t="shared" si="2"/>
        <v>3713000</v>
      </c>
      <c r="F30" s="70">
        <f t="shared" si="3"/>
        <v>5.0860923523690808E-2</v>
      </c>
    </row>
    <row r="31" spans="1:7" ht="23.1" customHeight="1" x14ac:dyDescent="0.25">
      <c r="A31" s="29"/>
      <c r="B31" s="71" t="s">
        <v>89</v>
      </c>
      <c r="C31" s="27">
        <f>SUM(C22:C30)</f>
        <v>351055000</v>
      </c>
      <c r="D31" s="27">
        <f>SUM(D22:D30)</f>
        <v>350215000</v>
      </c>
      <c r="E31" s="27">
        <f t="shared" si="2"/>
        <v>-840000</v>
      </c>
      <c r="F31" s="28">
        <f t="shared" si="3"/>
        <v>-2.3927874549572003E-3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4740000</v>
      </c>
      <c r="D33" s="27">
        <f>+D19-D31</f>
        <v>15801000</v>
      </c>
      <c r="E33" s="27">
        <f>D33-C33</f>
        <v>11061000</v>
      </c>
      <c r="F33" s="28">
        <f>IF(C33=0,0,E33/C33)</f>
        <v>2.3335443037974684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-3535000</v>
      </c>
      <c r="D38" s="51">
        <v>1226000</v>
      </c>
      <c r="E38" s="51">
        <f>D38-C38</f>
        <v>4761000</v>
      </c>
      <c r="F38" s="70">
        <f>IF(C38=0,0,E38/C38)</f>
        <v>-1.3468175388967467</v>
      </c>
    </row>
    <row r="39" spans="1:6" ht="23.1" customHeight="1" x14ac:dyDescent="0.25">
      <c r="A39" s="20"/>
      <c r="B39" s="71" t="s">
        <v>95</v>
      </c>
      <c r="C39" s="27">
        <f>SUM(C36:C38)</f>
        <v>-3535000</v>
      </c>
      <c r="D39" s="27">
        <f>SUM(D36:D38)</f>
        <v>1226000</v>
      </c>
      <c r="E39" s="27">
        <f>D39-C39</f>
        <v>4761000</v>
      </c>
      <c r="F39" s="28">
        <f>IF(C39=0,0,E39/C39)</f>
        <v>-1.3468175388967467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1205000</v>
      </c>
      <c r="D41" s="27">
        <f>D33+D39</f>
        <v>17027000</v>
      </c>
      <c r="E41" s="27">
        <f>D41-C41</f>
        <v>15822000</v>
      </c>
      <c r="F41" s="28">
        <f>IF(C41=0,0,E41/C41)</f>
        <v>13.130290456431535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385000</v>
      </c>
      <c r="D44" s="51">
        <v>540000</v>
      </c>
      <c r="E44" s="51">
        <f>D44-C44</f>
        <v>155000</v>
      </c>
      <c r="F44" s="70">
        <f>IF(C44=0,0,E44/C44)</f>
        <v>0.40259740259740262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385000</v>
      </c>
      <c r="D46" s="27">
        <f>SUM(D44:D45)</f>
        <v>540000</v>
      </c>
      <c r="E46" s="27">
        <f>D46-C46</f>
        <v>155000</v>
      </c>
      <c r="F46" s="28">
        <f>IF(C46=0,0,E46/C46)</f>
        <v>0.40259740259740262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1590000</v>
      </c>
      <c r="D48" s="27">
        <f>D41+D46</f>
        <v>17567000</v>
      </c>
      <c r="E48" s="27">
        <f>D48-C48</f>
        <v>15977000</v>
      </c>
      <c r="F48" s="28">
        <f>IF(C48=0,0,E48/C48)</f>
        <v>10.048427672955976</v>
      </c>
    </row>
    <row r="49" spans="1:6" ht="23.1" customHeight="1" x14ac:dyDescent="0.2">
      <c r="A49" s="44"/>
      <c r="B49" s="48" t="s">
        <v>102</v>
      </c>
      <c r="C49" s="51">
        <v>2795000</v>
      </c>
      <c r="D49" s="51">
        <v>2785000</v>
      </c>
      <c r="E49" s="51">
        <f>D49-C49</f>
        <v>-10000</v>
      </c>
      <c r="F49" s="70">
        <f>IF(C49=0,0,E49/C49)</f>
        <v>-3.5778175313059034E-3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FILING&amp;RBRIDGEPORT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A3" sqref="A3:F3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2" style="75" bestFit="1" customWidth="1"/>
    <col min="5" max="5" width="20" style="75" bestFit="1" customWidth="1"/>
    <col min="6" max="6" width="18.5703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226475519</v>
      </c>
      <c r="D14" s="97">
        <v>244031637</v>
      </c>
      <c r="E14" s="97">
        <f t="shared" ref="E14:E25" si="0">D14-C14</f>
        <v>17556118</v>
      </c>
      <c r="F14" s="98">
        <f t="shared" ref="F14:F25" si="1">IF(C14=0,0,E14/C14)</f>
        <v>7.7518833282815003E-2</v>
      </c>
    </row>
    <row r="15" spans="1:6" ht="18" customHeight="1" x14ac:dyDescent="0.25">
      <c r="A15" s="99">
        <v>2</v>
      </c>
      <c r="B15" s="100" t="s">
        <v>113</v>
      </c>
      <c r="C15" s="97">
        <v>98347270</v>
      </c>
      <c r="D15" s="97">
        <v>103587801</v>
      </c>
      <c r="E15" s="97">
        <f t="shared" si="0"/>
        <v>5240531</v>
      </c>
      <c r="F15" s="98">
        <f t="shared" si="1"/>
        <v>5.3285983434008893E-2</v>
      </c>
    </row>
    <row r="16" spans="1:6" ht="18" customHeight="1" x14ac:dyDescent="0.25">
      <c r="A16" s="99">
        <v>3</v>
      </c>
      <c r="B16" s="100" t="s">
        <v>114</v>
      </c>
      <c r="C16" s="97">
        <v>76995271</v>
      </c>
      <c r="D16" s="97">
        <v>90725755</v>
      </c>
      <c r="E16" s="97">
        <f t="shared" si="0"/>
        <v>13730484</v>
      </c>
      <c r="F16" s="98">
        <f t="shared" si="1"/>
        <v>0.17832892620119487</v>
      </c>
    </row>
    <row r="17" spans="1:6" ht="18" customHeight="1" x14ac:dyDescent="0.25">
      <c r="A17" s="99">
        <v>4</v>
      </c>
      <c r="B17" s="100" t="s">
        <v>115</v>
      </c>
      <c r="C17" s="97">
        <v>52059570</v>
      </c>
      <c r="D17" s="97">
        <v>61214692</v>
      </c>
      <c r="E17" s="97">
        <f t="shared" si="0"/>
        <v>9155122</v>
      </c>
      <c r="F17" s="98">
        <f t="shared" si="1"/>
        <v>0.17585857893178911</v>
      </c>
    </row>
    <row r="18" spans="1:6" ht="18" customHeight="1" x14ac:dyDescent="0.25">
      <c r="A18" s="99">
        <v>5</v>
      </c>
      <c r="B18" s="100" t="s">
        <v>116</v>
      </c>
      <c r="C18" s="97">
        <v>1196962</v>
      </c>
      <c r="D18" s="97">
        <v>780040</v>
      </c>
      <c r="E18" s="97">
        <f t="shared" si="0"/>
        <v>-416922</v>
      </c>
      <c r="F18" s="98">
        <f t="shared" si="1"/>
        <v>-0.34831682208791925</v>
      </c>
    </row>
    <row r="19" spans="1:6" ht="18" customHeight="1" x14ac:dyDescent="0.25">
      <c r="A19" s="99">
        <v>6</v>
      </c>
      <c r="B19" s="100" t="s">
        <v>117</v>
      </c>
      <c r="C19" s="97">
        <v>74600114</v>
      </c>
      <c r="D19" s="97">
        <v>78896744</v>
      </c>
      <c r="E19" s="97">
        <f t="shared" si="0"/>
        <v>4296630</v>
      </c>
      <c r="F19" s="98">
        <f t="shared" si="1"/>
        <v>5.7595488392953392E-2</v>
      </c>
    </row>
    <row r="20" spans="1:6" ht="18" customHeight="1" x14ac:dyDescent="0.25">
      <c r="A20" s="99">
        <v>7</v>
      </c>
      <c r="B20" s="100" t="s">
        <v>118</v>
      </c>
      <c r="C20" s="97">
        <v>106239595</v>
      </c>
      <c r="D20" s="97">
        <v>98728081</v>
      </c>
      <c r="E20" s="97">
        <f t="shared" si="0"/>
        <v>-7511514</v>
      </c>
      <c r="F20" s="98">
        <f t="shared" si="1"/>
        <v>-7.0703526307682174E-2</v>
      </c>
    </row>
    <row r="21" spans="1:6" ht="18" customHeight="1" x14ac:dyDescent="0.25">
      <c r="A21" s="99">
        <v>8</v>
      </c>
      <c r="B21" s="100" t="s">
        <v>119</v>
      </c>
      <c r="C21" s="97">
        <v>10783647</v>
      </c>
      <c r="D21" s="97">
        <v>8832931</v>
      </c>
      <c r="E21" s="97">
        <f t="shared" si="0"/>
        <v>-1950716</v>
      </c>
      <c r="F21" s="98">
        <f t="shared" si="1"/>
        <v>-0.18089575817902792</v>
      </c>
    </row>
    <row r="22" spans="1:6" ht="18" customHeight="1" x14ac:dyDescent="0.25">
      <c r="A22" s="99">
        <v>9</v>
      </c>
      <c r="B22" s="100" t="s">
        <v>120</v>
      </c>
      <c r="C22" s="97">
        <v>13809812</v>
      </c>
      <c r="D22" s="97">
        <v>9670822</v>
      </c>
      <c r="E22" s="97">
        <f t="shared" si="0"/>
        <v>-4138990</v>
      </c>
      <c r="F22" s="98">
        <f t="shared" si="1"/>
        <v>-0.29971371080214559</v>
      </c>
    </row>
    <row r="23" spans="1:6" ht="18" customHeight="1" x14ac:dyDescent="0.25">
      <c r="A23" s="99">
        <v>10</v>
      </c>
      <c r="B23" s="100" t="s">
        <v>121</v>
      </c>
      <c r="C23" s="97">
        <v>25590134</v>
      </c>
      <c r="D23" s="97">
        <v>15148822</v>
      </c>
      <c r="E23" s="97">
        <f t="shared" si="0"/>
        <v>-10441312</v>
      </c>
      <c r="F23" s="98">
        <f t="shared" si="1"/>
        <v>-0.40802099746722703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686097894</v>
      </c>
      <c r="D25" s="103">
        <f>SUM(D14:D24)</f>
        <v>711617325</v>
      </c>
      <c r="E25" s="103">
        <f t="shared" si="0"/>
        <v>25519431</v>
      </c>
      <c r="F25" s="104">
        <f t="shared" si="1"/>
        <v>3.7195028906472638E-2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67032799</v>
      </c>
      <c r="D27" s="97">
        <v>82290563</v>
      </c>
      <c r="E27" s="97">
        <f t="shared" ref="E27:E38" si="2">D27-C27</f>
        <v>15257764</v>
      </c>
      <c r="F27" s="98">
        <f t="shared" ref="F27:F38" si="3">IF(C27=0,0,E27/C27)</f>
        <v>0.22761639417742349</v>
      </c>
    </row>
    <row r="28" spans="1:6" ht="18" customHeight="1" x14ac:dyDescent="0.25">
      <c r="A28" s="99">
        <v>2</v>
      </c>
      <c r="B28" s="100" t="s">
        <v>113</v>
      </c>
      <c r="C28" s="97">
        <v>31596002</v>
      </c>
      <c r="D28" s="97">
        <v>37622903</v>
      </c>
      <c r="E28" s="97">
        <f t="shared" si="2"/>
        <v>6026901</v>
      </c>
      <c r="F28" s="98">
        <f t="shared" si="3"/>
        <v>0.19074884854102744</v>
      </c>
    </row>
    <row r="29" spans="1:6" ht="18" customHeight="1" x14ac:dyDescent="0.25">
      <c r="A29" s="99">
        <v>3</v>
      </c>
      <c r="B29" s="100" t="s">
        <v>114</v>
      </c>
      <c r="C29" s="97">
        <v>35384392</v>
      </c>
      <c r="D29" s="97">
        <v>48101663</v>
      </c>
      <c r="E29" s="97">
        <f t="shared" si="2"/>
        <v>12717271</v>
      </c>
      <c r="F29" s="98">
        <f t="shared" si="3"/>
        <v>0.35940340588584935</v>
      </c>
    </row>
    <row r="30" spans="1:6" ht="18" customHeight="1" x14ac:dyDescent="0.25">
      <c r="A30" s="99">
        <v>4</v>
      </c>
      <c r="B30" s="100" t="s">
        <v>115</v>
      </c>
      <c r="C30" s="97">
        <v>64409193</v>
      </c>
      <c r="D30" s="97">
        <v>81346080</v>
      </c>
      <c r="E30" s="97">
        <f t="shared" si="2"/>
        <v>16936887</v>
      </c>
      <c r="F30" s="98">
        <f t="shared" si="3"/>
        <v>0.26295760296204923</v>
      </c>
    </row>
    <row r="31" spans="1:6" ht="18" customHeight="1" x14ac:dyDescent="0.25">
      <c r="A31" s="99">
        <v>5</v>
      </c>
      <c r="B31" s="100" t="s">
        <v>116</v>
      </c>
      <c r="C31" s="97">
        <v>495806</v>
      </c>
      <c r="D31" s="97">
        <v>680630</v>
      </c>
      <c r="E31" s="97">
        <f t="shared" si="2"/>
        <v>184824</v>
      </c>
      <c r="F31" s="98">
        <f t="shared" si="3"/>
        <v>0.37277483531865285</v>
      </c>
    </row>
    <row r="32" spans="1:6" ht="18" customHeight="1" x14ac:dyDescent="0.25">
      <c r="A32" s="99">
        <v>6</v>
      </c>
      <c r="B32" s="100" t="s">
        <v>117</v>
      </c>
      <c r="C32" s="97">
        <v>69685147</v>
      </c>
      <c r="D32" s="97">
        <v>75891004</v>
      </c>
      <c r="E32" s="97">
        <f t="shared" si="2"/>
        <v>6205857</v>
      </c>
      <c r="F32" s="98">
        <f t="shared" si="3"/>
        <v>8.9055663468715934E-2</v>
      </c>
    </row>
    <row r="33" spans="1:6" ht="18" customHeight="1" x14ac:dyDescent="0.25">
      <c r="A33" s="99">
        <v>7</v>
      </c>
      <c r="B33" s="100" t="s">
        <v>118</v>
      </c>
      <c r="C33" s="97">
        <v>90899692</v>
      </c>
      <c r="D33" s="97">
        <v>97677450</v>
      </c>
      <c r="E33" s="97">
        <f t="shared" si="2"/>
        <v>6777758</v>
      </c>
      <c r="F33" s="98">
        <f t="shared" si="3"/>
        <v>7.4563046924295412E-2</v>
      </c>
    </row>
    <row r="34" spans="1:6" ht="18" customHeight="1" x14ac:dyDescent="0.25">
      <c r="A34" s="99">
        <v>8</v>
      </c>
      <c r="B34" s="100" t="s">
        <v>119</v>
      </c>
      <c r="C34" s="97">
        <v>5311165</v>
      </c>
      <c r="D34" s="97">
        <v>4618967</v>
      </c>
      <c r="E34" s="97">
        <f t="shared" si="2"/>
        <v>-692198</v>
      </c>
      <c r="F34" s="98">
        <f t="shared" si="3"/>
        <v>-0.13032884498975272</v>
      </c>
    </row>
    <row r="35" spans="1:6" ht="18" customHeight="1" x14ac:dyDescent="0.25">
      <c r="A35" s="99">
        <v>9</v>
      </c>
      <c r="B35" s="100" t="s">
        <v>120</v>
      </c>
      <c r="C35" s="97">
        <v>30854209</v>
      </c>
      <c r="D35" s="97">
        <v>30889642</v>
      </c>
      <c r="E35" s="97">
        <f t="shared" si="2"/>
        <v>35433</v>
      </c>
      <c r="F35" s="98">
        <f t="shared" si="3"/>
        <v>1.1484008551313047E-3</v>
      </c>
    </row>
    <row r="36" spans="1:6" ht="18" customHeight="1" x14ac:dyDescent="0.25">
      <c r="A36" s="99">
        <v>10</v>
      </c>
      <c r="B36" s="100" t="s">
        <v>121</v>
      </c>
      <c r="C36" s="97">
        <v>23768204</v>
      </c>
      <c r="D36" s="97">
        <v>14853469</v>
      </c>
      <c r="E36" s="97">
        <f t="shared" si="2"/>
        <v>-8914735</v>
      </c>
      <c r="F36" s="98">
        <f t="shared" si="3"/>
        <v>-0.37506977809513919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419436609</v>
      </c>
      <c r="D38" s="103">
        <f>SUM(D27:D37)</f>
        <v>473972371</v>
      </c>
      <c r="E38" s="103">
        <f t="shared" si="2"/>
        <v>54535762</v>
      </c>
      <c r="F38" s="104">
        <f t="shared" si="3"/>
        <v>0.13002146410162305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293508318</v>
      </c>
      <c r="D41" s="103">
        <f t="shared" si="4"/>
        <v>326322200</v>
      </c>
      <c r="E41" s="107">
        <f t="shared" ref="E41:E52" si="5">D41-C41</f>
        <v>32813882</v>
      </c>
      <c r="F41" s="108">
        <f t="shared" ref="F41:F52" si="6">IF(C41=0,0,E41/C41)</f>
        <v>0.11179881450582944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129943272</v>
      </c>
      <c r="D42" s="103">
        <f t="shared" si="4"/>
        <v>141210704</v>
      </c>
      <c r="E42" s="107">
        <f t="shared" si="5"/>
        <v>11267432</v>
      </c>
      <c r="F42" s="108">
        <f t="shared" si="6"/>
        <v>8.6710391593032995E-2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112379663</v>
      </c>
      <c r="D43" s="103">
        <f t="shared" si="4"/>
        <v>138827418</v>
      </c>
      <c r="E43" s="107">
        <f t="shared" si="5"/>
        <v>26447755</v>
      </c>
      <c r="F43" s="108">
        <f t="shared" si="6"/>
        <v>0.23534289295742059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116468763</v>
      </c>
      <c r="D44" s="103">
        <f t="shared" si="4"/>
        <v>142560772</v>
      </c>
      <c r="E44" s="107">
        <f t="shared" si="5"/>
        <v>26092009</v>
      </c>
      <c r="F44" s="108">
        <f t="shared" si="6"/>
        <v>0.22402581025094256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1692768</v>
      </c>
      <c r="D45" s="103">
        <f t="shared" si="4"/>
        <v>1460670</v>
      </c>
      <c r="E45" s="107">
        <f t="shared" si="5"/>
        <v>-232098</v>
      </c>
      <c r="F45" s="108">
        <f t="shared" si="6"/>
        <v>-0.13711152384733172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144285261</v>
      </c>
      <c r="D46" s="103">
        <f t="shared" si="4"/>
        <v>154787748</v>
      </c>
      <c r="E46" s="107">
        <f t="shared" si="5"/>
        <v>10502487</v>
      </c>
      <c r="F46" s="108">
        <f t="shared" si="6"/>
        <v>7.2789742536488192E-2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197139287</v>
      </c>
      <c r="D47" s="103">
        <f t="shared" si="4"/>
        <v>196405531</v>
      </c>
      <c r="E47" s="107">
        <f t="shared" si="5"/>
        <v>-733756</v>
      </c>
      <c r="F47" s="108">
        <f t="shared" si="6"/>
        <v>-3.7220181282282918E-3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16094812</v>
      </c>
      <c r="D48" s="103">
        <f t="shared" si="4"/>
        <v>13451898</v>
      </c>
      <c r="E48" s="107">
        <f t="shared" si="5"/>
        <v>-2642914</v>
      </c>
      <c r="F48" s="108">
        <f t="shared" si="6"/>
        <v>-0.16420906314407399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44664021</v>
      </c>
      <c r="D49" s="103">
        <f t="shared" si="4"/>
        <v>40560464</v>
      </c>
      <c r="E49" s="107">
        <f t="shared" si="5"/>
        <v>-4103557</v>
      </c>
      <c r="F49" s="108">
        <f t="shared" si="6"/>
        <v>-9.1876121050543116E-2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49358338</v>
      </c>
      <c r="D50" s="103">
        <f t="shared" si="4"/>
        <v>30002291</v>
      </c>
      <c r="E50" s="107">
        <f t="shared" si="5"/>
        <v>-19356047</v>
      </c>
      <c r="F50" s="108">
        <f t="shared" si="6"/>
        <v>-0.39215354050211332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1105534503</v>
      </c>
      <c r="D52" s="112">
        <f>SUM(D41:D51)</f>
        <v>1185589696</v>
      </c>
      <c r="E52" s="111">
        <f t="shared" si="5"/>
        <v>80055193</v>
      </c>
      <c r="F52" s="113">
        <f t="shared" si="6"/>
        <v>7.2413111289390486E-2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84031667</v>
      </c>
      <c r="D57" s="97">
        <v>78311274</v>
      </c>
      <c r="E57" s="97">
        <f t="shared" ref="E57:E68" si="7">D57-C57</f>
        <v>-5720393</v>
      </c>
      <c r="F57" s="98">
        <f t="shared" ref="F57:F68" si="8">IF(C57=0,0,E57/C57)</f>
        <v>-6.8074253483511163E-2</v>
      </c>
    </row>
    <row r="58" spans="1:6" ht="18" customHeight="1" x14ac:dyDescent="0.25">
      <c r="A58" s="99">
        <v>2</v>
      </c>
      <c r="B58" s="100" t="s">
        <v>113</v>
      </c>
      <c r="C58" s="97">
        <v>31258582</v>
      </c>
      <c r="D58" s="97">
        <v>30728337</v>
      </c>
      <c r="E58" s="97">
        <f t="shared" si="7"/>
        <v>-530245</v>
      </c>
      <c r="F58" s="98">
        <f t="shared" si="8"/>
        <v>-1.6963181503242854E-2</v>
      </c>
    </row>
    <row r="59" spans="1:6" ht="18" customHeight="1" x14ac:dyDescent="0.25">
      <c r="A59" s="99">
        <v>3</v>
      </c>
      <c r="B59" s="100" t="s">
        <v>114</v>
      </c>
      <c r="C59" s="97">
        <v>21156066</v>
      </c>
      <c r="D59" s="97">
        <v>23730071</v>
      </c>
      <c r="E59" s="97">
        <f t="shared" si="7"/>
        <v>2574005</v>
      </c>
      <c r="F59" s="98">
        <f t="shared" si="8"/>
        <v>0.121667468800674</v>
      </c>
    </row>
    <row r="60" spans="1:6" ht="18" customHeight="1" x14ac:dyDescent="0.25">
      <c r="A60" s="99">
        <v>4</v>
      </c>
      <c r="B60" s="100" t="s">
        <v>115</v>
      </c>
      <c r="C60" s="97">
        <v>12709030</v>
      </c>
      <c r="D60" s="97">
        <v>13020809</v>
      </c>
      <c r="E60" s="97">
        <f t="shared" si="7"/>
        <v>311779</v>
      </c>
      <c r="F60" s="98">
        <f t="shared" si="8"/>
        <v>2.4532084667358563E-2</v>
      </c>
    </row>
    <row r="61" spans="1:6" ht="18" customHeight="1" x14ac:dyDescent="0.25">
      <c r="A61" s="99">
        <v>5</v>
      </c>
      <c r="B61" s="100" t="s">
        <v>116</v>
      </c>
      <c r="C61" s="97">
        <v>347123</v>
      </c>
      <c r="D61" s="97">
        <v>83456</v>
      </c>
      <c r="E61" s="97">
        <f t="shared" si="7"/>
        <v>-263667</v>
      </c>
      <c r="F61" s="98">
        <f t="shared" si="8"/>
        <v>-0.75957801701414196</v>
      </c>
    </row>
    <row r="62" spans="1:6" ht="18" customHeight="1" x14ac:dyDescent="0.25">
      <c r="A62" s="99">
        <v>6</v>
      </c>
      <c r="B62" s="100" t="s">
        <v>117</v>
      </c>
      <c r="C62" s="97">
        <v>28254555</v>
      </c>
      <c r="D62" s="97">
        <v>34200650</v>
      </c>
      <c r="E62" s="97">
        <f t="shared" si="7"/>
        <v>5946095</v>
      </c>
      <c r="F62" s="98">
        <f t="shared" si="8"/>
        <v>0.21044730663781469</v>
      </c>
    </row>
    <row r="63" spans="1:6" ht="18" customHeight="1" x14ac:dyDescent="0.25">
      <c r="A63" s="99">
        <v>7</v>
      </c>
      <c r="B63" s="100" t="s">
        <v>118</v>
      </c>
      <c r="C63" s="97">
        <v>41384792</v>
      </c>
      <c r="D63" s="97">
        <v>42146897</v>
      </c>
      <c r="E63" s="97">
        <f t="shared" si="7"/>
        <v>762105</v>
      </c>
      <c r="F63" s="98">
        <f t="shared" si="8"/>
        <v>1.8415097990585529E-2</v>
      </c>
    </row>
    <row r="64" spans="1:6" ht="18" customHeight="1" x14ac:dyDescent="0.25">
      <c r="A64" s="99">
        <v>8</v>
      </c>
      <c r="B64" s="100" t="s">
        <v>119</v>
      </c>
      <c r="C64" s="97">
        <v>10496030</v>
      </c>
      <c r="D64" s="97">
        <v>8837793</v>
      </c>
      <c r="E64" s="97">
        <f t="shared" si="7"/>
        <v>-1658237</v>
      </c>
      <c r="F64" s="98">
        <f t="shared" si="8"/>
        <v>-0.1579870674912324</v>
      </c>
    </row>
    <row r="65" spans="1:6" ht="18" customHeight="1" x14ac:dyDescent="0.25">
      <c r="A65" s="99">
        <v>9</v>
      </c>
      <c r="B65" s="100" t="s">
        <v>120</v>
      </c>
      <c r="C65" s="97">
        <v>1020113</v>
      </c>
      <c r="D65" s="97">
        <v>952380</v>
      </c>
      <c r="E65" s="97">
        <f t="shared" si="7"/>
        <v>-67733</v>
      </c>
      <c r="F65" s="98">
        <f t="shared" si="8"/>
        <v>-6.6397546154200571E-2</v>
      </c>
    </row>
    <row r="66" spans="1:6" ht="18" customHeight="1" x14ac:dyDescent="0.25">
      <c r="A66" s="99">
        <v>10</v>
      </c>
      <c r="B66" s="100" t="s">
        <v>121</v>
      </c>
      <c r="C66" s="97">
        <v>3255583</v>
      </c>
      <c r="D66" s="97">
        <v>1559167</v>
      </c>
      <c r="E66" s="97">
        <f t="shared" si="7"/>
        <v>-1696416</v>
      </c>
      <c r="F66" s="98">
        <f t="shared" si="8"/>
        <v>-0.52107902025535824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233913541</v>
      </c>
      <c r="D68" s="103">
        <f>SUM(D57:D67)</f>
        <v>233570834</v>
      </c>
      <c r="E68" s="103">
        <f t="shared" si="7"/>
        <v>-342707</v>
      </c>
      <c r="F68" s="104">
        <f t="shared" si="8"/>
        <v>-1.4651011588935759E-3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13545525</v>
      </c>
      <c r="D70" s="97">
        <v>13964942</v>
      </c>
      <c r="E70" s="97">
        <f t="shared" ref="E70:E81" si="9">D70-C70</f>
        <v>419417</v>
      </c>
      <c r="F70" s="98">
        <f t="shared" ref="F70:F81" si="10">IF(C70=0,0,E70/C70)</f>
        <v>3.0963510089125377E-2</v>
      </c>
    </row>
    <row r="71" spans="1:6" ht="18" customHeight="1" x14ac:dyDescent="0.25">
      <c r="A71" s="99">
        <v>2</v>
      </c>
      <c r="B71" s="100" t="s">
        <v>113</v>
      </c>
      <c r="C71" s="97">
        <v>7979855</v>
      </c>
      <c r="D71" s="97">
        <v>8042380</v>
      </c>
      <c r="E71" s="97">
        <f t="shared" si="9"/>
        <v>62525</v>
      </c>
      <c r="F71" s="98">
        <f t="shared" si="10"/>
        <v>7.8353554043275216E-3</v>
      </c>
    </row>
    <row r="72" spans="1:6" ht="18" customHeight="1" x14ac:dyDescent="0.25">
      <c r="A72" s="99">
        <v>3</v>
      </c>
      <c r="B72" s="100" t="s">
        <v>114</v>
      </c>
      <c r="C72" s="97">
        <v>7492810</v>
      </c>
      <c r="D72" s="97">
        <v>8223627</v>
      </c>
      <c r="E72" s="97">
        <f t="shared" si="9"/>
        <v>730817</v>
      </c>
      <c r="F72" s="98">
        <f t="shared" si="10"/>
        <v>9.7535770959092785E-2</v>
      </c>
    </row>
    <row r="73" spans="1:6" ht="18" customHeight="1" x14ac:dyDescent="0.25">
      <c r="A73" s="99">
        <v>4</v>
      </c>
      <c r="B73" s="100" t="s">
        <v>115</v>
      </c>
      <c r="C73" s="97">
        <v>14503033</v>
      </c>
      <c r="D73" s="97">
        <v>14389691</v>
      </c>
      <c r="E73" s="97">
        <f t="shared" si="9"/>
        <v>-113342</v>
      </c>
      <c r="F73" s="98">
        <f t="shared" si="10"/>
        <v>-7.81505496126224E-3</v>
      </c>
    </row>
    <row r="74" spans="1:6" ht="18" customHeight="1" x14ac:dyDescent="0.25">
      <c r="A74" s="99">
        <v>5</v>
      </c>
      <c r="B74" s="100" t="s">
        <v>116</v>
      </c>
      <c r="C74" s="97">
        <v>131600</v>
      </c>
      <c r="D74" s="97">
        <v>169111</v>
      </c>
      <c r="E74" s="97">
        <f t="shared" si="9"/>
        <v>37511</v>
      </c>
      <c r="F74" s="98">
        <f t="shared" si="10"/>
        <v>0.28503799392097262</v>
      </c>
    </row>
    <row r="75" spans="1:6" ht="18" customHeight="1" x14ac:dyDescent="0.25">
      <c r="A75" s="99">
        <v>6</v>
      </c>
      <c r="B75" s="100" t="s">
        <v>117</v>
      </c>
      <c r="C75" s="97">
        <v>23024444</v>
      </c>
      <c r="D75" s="97">
        <v>27749054</v>
      </c>
      <c r="E75" s="97">
        <f t="shared" si="9"/>
        <v>4724610</v>
      </c>
      <c r="F75" s="98">
        <f t="shared" si="10"/>
        <v>0.20519974336839578</v>
      </c>
    </row>
    <row r="76" spans="1:6" ht="18" customHeight="1" x14ac:dyDescent="0.25">
      <c r="A76" s="99">
        <v>7</v>
      </c>
      <c r="B76" s="100" t="s">
        <v>118</v>
      </c>
      <c r="C76" s="97">
        <v>29417205</v>
      </c>
      <c r="D76" s="97">
        <v>31825158</v>
      </c>
      <c r="E76" s="97">
        <f t="shared" si="9"/>
        <v>2407953</v>
      </c>
      <c r="F76" s="98">
        <f t="shared" si="10"/>
        <v>8.1855261232329862E-2</v>
      </c>
    </row>
    <row r="77" spans="1:6" ht="18" customHeight="1" x14ac:dyDescent="0.25">
      <c r="A77" s="99">
        <v>8</v>
      </c>
      <c r="B77" s="100" t="s">
        <v>119</v>
      </c>
      <c r="C77" s="97">
        <v>5174894</v>
      </c>
      <c r="D77" s="97">
        <v>4623531</v>
      </c>
      <c r="E77" s="97">
        <f t="shared" si="9"/>
        <v>-551363</v>
      </c>
      <c r="F77" s="98">
        <f t="shared" si="10"/>
        <v>-0.10654575726575269</v>
      </c>
    </row>
    <row r="78" spans="1:6" ht="18" customHeight="1" x14ac:dyDescent="0.25">
      <c r="A78" s="99">
        <v>9</v>
      </c>
      <c r="B78" s="100" t="s">
        <v>120</v>
      </c>
      <c r="C78" s="97">
        <v>1755156</v>
      </c>
      <c r="D78" s="97">
        <v>2336439</v>
      </c>
      <c r="E78" s="97">
        <f t="shared" si="9"/>
        <v>581283</v>
      </c>
      <c r="F78" s="98">
        <f t="shared" si="10"/>
        <v>0.33118594586464112</v>
      </c>
    </row>
    <row r="79" spans="1:6" ht="18" customHeight="1" x14ac:dyDescent="0.25">
      <c r="A79" s="99">
        <v>10</v>
      </c>
      <c r="B79" s="100" t="s">
        <v>121</v>
      </c>
      <c r="C79" s="97">
        <v>2985307</v>
      </c>
      <c r="D79" s="97">
        <v>1456241</v>
      </c>
      <c r="E79" s="97">
        <f t="shared" si="9"/>
        <v>-1529066</v>
      </c>
      <c r="F79" s="98">
        <f t="shared" si="10"/>
        <v>-0.51219723800600747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106009829</v>
      </c>
      <c r="D81" s="103">
        <f>SUM(D70:D80)</f>
        <v>112780174</v>
      </c>
      <c r="E81" s="103">
        <f t="shared" si="9"/>
        <v>6770345</v>
      </c>
      <c r="F81" s="104">
        <f t="shared" si="10"/>
        <v>6.3865257248929247E-2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97577192</v>
      </c>
      <c r="D84" s="103">
        <f t="shared" si="11"/>
        <v>92276216</v>
      </c>
      <c r="E84" s="103">
        <f t="shared" ref="E84:E95" si="12">D84-C84</f>
        <v>-5300976</v>
      </c>
      <c r="F84" s="104">
        <f t="shared" ref="F84:F95" si="13">IF(C84=0,0,E84/C84)</f>
        <v>-5.4325974045246146E-2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39238437</v>
      </c>
      <c r="D85" s="103">
        <f t="shared" si="11"/>
        <v>38770717</v>
      </c>
      <c r="E85" s="103">
        <f t="shared" si="12"/>
        <v>-467720</v>
      </c>
      <c r="F85" s="104">
        <f t="shared" si="13"/>
        <v>-1.1919944721549433E-2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28648876</v>
      </c>
      <c r="D86" s="103">
        <f t="shared" si="11"/>
        <v>31953698</v>
      </c>
      <c r="E86" s="103">
        <f t="shared" si="12"/>
        <v>3304822</v>
      </c>
      <c r="F86" s="104">
        <f t="shared" si="13"/>
        <v>0.1153560788911928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27212063</v>
      </c>
      <c r="D87" s="103">
        <f t="shared" si="11"/>
        <v>27410500</v>
      </c>
      <c r="E87" s="103">
        <f t="shared" si="12"/>
        <v>198437</v>
      </c>
      <c r="F87" s="104">
        <f t="shared" si="13"/>
        <v>7.2922438846330763E-3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478723</v>
      </c>
      <c r="D88" s="103">
        <f t="shared" si="11"/>
        <v>252567</v>
      </c>
      <c r="E88" s="103">
        <f t="shared" si="12"/>
        <v>-226156</v>
      </c>
      <c r="F88" s="104">
        <f t="shared" si="13"/>
        <v>-0.47241515448390825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51278999</v>
      </c>
      <c r="D89" s="103">
        <f t="shared" si="11"/>
        <v>61949704</v>
      </c>
      <c r="E89" s="103">
        <f t="shared" si="12"/>
        <v>10670705</v>
      </c>
      <c r="F89" s="104">
        <f t="shared" si="13"/>
        <v>0.20809113298018941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70801997</v>
      </c>
      <c r="D90" s="103">
        <f t="shared" si="11"/>
        <v>73972055</v>
      </c>
      <c r="E90" s="103">
        <f t="shared" si="12"/>
        <v>3170058</v>
      </c>
      <c r="F90" s="104">
        <f t="shared" si="13"/>
        <v>4.4773567615614004E-2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15670924</v>
      </c>
      <c r="D91" s="103">
        <f t="shared" si="11"/>
        <v>13461324</v>
      </c>
      <c r="E91" s="103">
        <f t="shared" si="12"/>
        <v>-2209600</v>
      </c>
      <c r="F91" s="104">
        <f t="shared" si="13"/>
        <v>-0.14099998187726517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2775269</v>
      </c>
      <c r="D92" s="103">
        <f t="shared" si="11"/>
        <v>3288819</v>
      </c>
      <c r="E92" s="103">
        <f t="shared" si="12"/>
        <v>513550</v>
      </c>
      <c r="F92" s="104">
        <f t="shared" si="13"/>
        <v>0.18504512535541601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6240890</v>
      </c>
      <c r="D93" s="103">
        <f t="shared" si="11"/>
        <v>3015408</v>
      </c>
      <c r="E93" s="103">
        <f t="shared" si="12"/>
        <v>-3225482</v>
      </c>
      <c r="F93" s="104">
        <f t="shared" si="13"/>
        <v>-0.51683045206693279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339923370</v>
      </c>
      <c r="D95" s="112">
        <f>SUM(D84:D94)</f>
        <v>346351008</v>
      </c>
      <c r="E95" s="112">
        <f t="shared" si="12"/>
        <v>6427638</v>
      </c>
      <c r="F95" s="113">
        <f t="shared" si="13"/>
        <v>1.8909079419870425E-2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4976</v>
      </c>
      <c r="D100" s="117">
        <v>4868</v>
      </c>
      <c r="E100" s="117">
        <f t="shared" ref="E100:E111" si="14">D100-C100</f>
        <v>-108</v>
      </c>
      <c r="F100" s="98">
        <f t="shared" ref="F100:F111" si="15">IF(C100=0,0,E100/C100)</f>
        <v>-2.1704180064308683E-2</v>
      </c>
    </row>
    <row r="101" spans="1:6" ht="18" customHeight="1" x14ac:dyDescent="0.25">
      <c r="A101" s="99">
        <v>2</v>
      </c>
      <c r="B101" s="100" t="s">
        <v>113</v>
      </c>
      <c r="C101" s="117">
        <v>2131</v>
      </c>
      <c r="D101" s="117">
        <v>2069</v>
      </c>
      <c r="E101" s="117">
        <f t="shared" si="14"/>
        <v>-62</v>
      </c>
      <c r="F101" s="98">
        <f t="shared" si="15"/>
        <v>-2.9094321914594087E-2</v>
      </c>
    </row>
    <row r="102" spans="1:6" ht="18" customHeight="1" x14ac:dyDescent="0.25">
      <c r="A102" s="99">
        <v>3</v>
      </c>
      <c r="B102" s="100" t="s">
        <v>114</v>
      </c>
      <c r="C102" s="117">
        <v>2402</v>
      </c>
      <c r="D102" s="117">
        <v>2370</v>
      </c>
      <c r="E102" s="117">
        <f t="shared" si="14"/>
        <v>-32</v>
      </c>
      <c r="F102" s="98">
        <f t="shared" si="15"/>
        <v>-1.3322231473771857E-2</v>
      </c>
    </row>
    <row r="103" spans="1:6" ht="18" customHeight="1" x14ac:dyDescent="0.25">
      <c r="A103" s="99">
        <v>4</v>
      </c>
      <c r="B103" s="100" t="s">
        <v>115</v>
      </c>
      <c r="C103" s="117">
        <v>2560</v>
      </c>
      <c r="D103" s="117">
        <v>2896</v>
      </c>
      <c r="E103" s="117">
        <f t="shared" si="14"/>
        <v>336</v>
      </c>
      <c r="F103" s="98">
        <f t="shared" si="15"/>
        <v>0.13125000000000001</v>
      </c>
    </row>
    <row r="104" spans="1:6" ht="18" customHeight="1" x14ac:dyDescent="0.25">
      <c r="A104" s="99">
        <v>5</v>
      </c>
      <c r="B104" s="100" t="s">
        <v>116</v>
      </c>
      <c r="C104" s="117">
        <v>23</v>
      </c>
      <c r="D104" s="117">
        <v>28</v>
      </c>
      <c r="E104" s="117">
        <f t="shared" si="14"/>
        <v>5</v>
      </c>
      <c r="F104" s="98">
        <f t="shared" si="15"/>
        <v>0.21739130434782608</v>
      </c>
    </row>
    <row r="105" spans="1:6" ht="18" customHeight="1" x14ac:dyDescent="0.25">
      <c r="A105" s="99">
        <v>6</v>
      </c>
      <c r="B105" s="100" t="s">
        <v>117</v>
      </c>
      <c r="C105" s="117">
        <v>2778</v>
      </c>
      <c r="D105" s="117">
        <v>2624</v>
      </c>
      <c r="E105" s="117">
        <f t="shared" si="14"/>
        <v>-154</v>
      </c>
      <c r="F105" s="98">
        <f t="shared" si="15"/>
        <v>-5.5435565154787619E-2</v>
      </c>
    </row>
    <row r="106" spans="1:6" ht="18" customHeight="1" x14ac:dyDescent="0.25">
      <c r="A106" s="99">
        <v>7</v>
      </c>
      <c r="B106" s="100" t="s">
        <v>118</v>
      </c>
      <c r="C106" s="117">
        <v>3650</v>
      </c>
      <c r="D106" s="117">
        <v>3305</v>
      </c>
      <c r="E106" s="117">
        <f t="shared" si="14"/>
        <v>-345</v>
      </c>
      <c r="F106" s="98">
        <f t="shared" si="15"/>
        <v>-9.452054794520548E-2</v>
      </c>
    </row>
    <row r="107" spans="1:6" ht="18" customHeight="1" x14ac:dyDescent="0.25">
      <c r="A107" s="99">
        <v>8</v>
      </c>
      <c r="B107" s="100" t="s">
        <v>119</v>
      </c>
      <c r="C107" s="117">
        <v>190</v>
      </c>
      <c r="D107" s="117">
        <v>167</v>
      </c>
      <c r="E107" s="117">
        <f t="shared" si="14"/>
        <v>-23</v>
      </c>
      <c r="F107" s="98">
        <f t="shared" si="15"/>
        <v>-0.12105263157894737</v>
      </c>
    </row>
    <row r="108" spans="1:6" ht="18" customHeight="1" x14ac:dyDescent="0.25">
      <c r="A108" s="99">
        <v>9</v>
      </c>
      <c r="B108" s="100" t="s">
        <v>120</v>
      </c>
      <c r="C108" s="117">
        <v>398</v>
      </c>
      <c r="D108" s="117">
        <v>311</v>
      </c>
      <c r="E108" s="117">
        <f t="shared" si="14"/>
        <v>-87</v>
      </c>
      <c r="F108" s="98">
        <f t="shared" si="15"/>
        <v>-0.21859296482412061</v>
      </c>
    </row>
    <row r="109" spans="1:6" ht="18" customHeight="1" x14ac:dyDescent="0.25">
      <c r="A109" s="99">
        <v>10</v>
      </c>
      <c r="B109" s="100" t="s">
        <v>121</v>
      </c>
      <c r="C109" s="117">
        <v>700</v>
      </c>
      <c r="D109" s="117">
        <v>406</v>
      </c>
      <c r="E109" s="117">
        <f t="shared" si="14"/>
        <v>-294</v>
      </c>
      <c r="F109" s="98">
        <f t="shared" si="15"/>
        <v>-0.42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19808</v>
      </c>
      <c r="D111" s="118">
        <f>SUM(D100:D110)</f>
        <v>19044</v>
      </c>
      <c r="E111" s="118">
        <f t="shared" si="14"/>
        <v>-764</v>
      </c>
      <c r="F111" s="104">
        <f t="shared" si="15"/>
        <v>-3.8570274636510499E-2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34795</v>
      </c>
      <c r="D113" s="117">
        <v>37857</v>
      </c>
      <c r="E113" s="117">
        <f t="shared" ref="E113:E124" si="16">D113-C113</f>
        <v>3062</v>
      </c>
      <c r="F113" s="98">
        <f t="shared" ref="F113:F124" si="17">IF(C113=0,0,E113/C113)</f>
        <v>8.8001149590458405E-2</v>
      </c>
    </row>
    <row r="114" spans="1:6" ht="18" customHeight="1" x14ac:dyDescent="0.25">
      <c r="A114" s="99">
        <v>2</v>
      </c>
      <c r="B114" s="100" t="s">
        <v>113</v>
      </c>
      <c r="C114" s="117">
        <v>14929</v>
      </c>
      <c r="D114" s="117">
        <v>14522</v>
      </c>
      <c r="E114" s="117">
        <f t="shared" si="16"/>
        <v>-407</v>
      </c>
      <c r="F114" s="98">
        <f t="shared" si="17"/>
        <v>-2.7262375242815995E-2</v>
      </c>
    </row>
    <row r="115" spans="1:6" ht="18" customHeight="1" x14ac:dyDescent="0.25">
      <c r="A115" s="99">
        <v>3</v>
      </c>
      <c r="B115" s="100" t="s">
        <v>114</v>
      </c>
      <c r="C115" s="117">
        <v>13728</v>
      </c>
      <c r="D115" s="117">
        <v>15060</v>
      </c>
      <c r="E115" s="117">
        <f t="shared" si="16"/>
        <v>1332</v>
      </c>
      <c r="F115" s="98">
        <f t="shared" si="17"/>
        <v>9.7027972027972031E-2</v>
      </c>
    </row>
    <row r="116" spans="1:6" ht="18" customHeight="1" x14ac:dyDescent="0.25">
      <c r="A116" s="99">
        <v>4</v>
      </c>
      <c r="B116" s="100" t="s">
        <v>115</v>
      </c>
      <c r="C116" s="117">
        <v>8763</v>
      </c>
      <c r="D116" s="117">
        <v>10093</v>
      </c>
      <c r="E116" s="117">
        <f t="shared" si="16"/>
        <v>1330</v>
      </c>
      <c r="F116" s="98">
        <f t="shared" si="17"/>
        <v>0.15177450644756363</v>
      </c>
    </row>
    <row r="117" spans="1:6" ht="18" customHeight="1" x14ac:dyDescent="0.25">
      <c r="A117" s="99">
        <v>5</v>
      </c>
      <c r="B117" s="100" t="s">
        <v>116</v>
      </c>
      <c r="C117" s="117">
        <v>161</v>
      </c>
      <c r="D117" s="117">
        <v>116</v>
      </c>
      <c r="E117" s="117">
        <f t="shared" si="16"/>
        <v>-45</v>
      </c>
      <c r="F117" s="98">
        <f t="shared" si="17"/>
        <v>-0.27950310559006208</v>
      </c>
    </row>
    <row r="118" spans="1:6" ht="18" customHeight="1" x14ac:dyDescent="0.25">
      <c r="A118" s="99">
        <v>6</v>
      </c>
      <c r="B118" s="100" t="s">
        <v>117</v>
      </c>
      <c r="C118" s="117">
        <v>10146</v>
      </c>
      <c r="D118" s="117">
        <v>10212</v>
      </c>
      <c r="E118" s="117">
        <f t="shared" si="16"/>
        <v>66</v>
      </c>
      <c r="F118" s="98">
        <f t="shared" si="17"/>
        <v>6.5050266114725017E-3</v>
      </c>
    </row>
    <row r="119" spans="1:6" ht="18" customHeight="1" x14ac:dyDescent="0.25">
      <c r="A119" s="99">
        <v>7</v>
      </c>
      <c r="B119" s="100" t="s">
        <v>118</v>
      </c>
      <c r="C119" s="117">
        <v>14407</v>
      </c>
      <c r="D119" s="117">
        <v>12773</v>
      </c>
      <c r="E119" s="117">
        <f t="shared" si="16"/>
        <v>-1634</v>
      </c>
      <c r="F119" s="98">
        <f t="shared" si="17"/>
        <v>-0.11341708891511071</v>
      </c>
    </row>
    <row r="120" spans="1:6" ht="18" customHeight="1" x14ac:dyDescent="0.25">
      <c r="A120" s="99">
        <v>8</v>
      </c>
      <c r="B120" s="100" t="s">
        <v>119</v>
      </c>
      <c r="C120" s="117">
        <v>854</v>
      </c>
      <c r="D120" s="117">
        <v>636</v>
      </c>
      <c r="E120" s="117">
        <f t="shared" si="16"/>
        <v>-218</v>
      </c>
      <c r="F120" s="98">
        <f t="shared" si="17"/>
        <v>-0.25526932084309134</v>
      </c>
    </row>
    <row r="121" spans="1:6" ht="18" customHeight="1" x14ac:dyDescent="0.25">
      <c r="A121" s="99">
        <v>9</v>
      </c>
      <c r="B121" s="100" t="s">
        <v>120</v>
      </c>
      <c r="C121" s="117">
        <v>1724</v>
      </c>
      <c r="D121" s="117">
        <v>1212</v>
      </c>
      <c r="E121" s="117">
        <f t="shared" si="16"/>
        <v>-512</v>
      </c>
      <c r="F121" s="98">
        <f t="shared" si="17"/>
        <v>-0.29698375870069604</v>
      </c>
    </row>
    <row r="122" spans="1:6" ht="18" customHeight="1" x14ac:dyDescent="0.25">
      <c r="A122" s="99">
        <v>10</v>
      </c>
      <c r="B122" s="100" t="s">
        <v>121</v>
      </c>
      <c r="C122" s="117">
        <v>4094</v>
      </c>
      <c r="D122" s="117">
        <v>2248</v>
      </c>
      <c r="E122" s="117">
        <f t="shared" si="16"/>
        <v>-1846</v>
      </c>
      <c r="F122" s="98">
        <f t="shared" si="17"/>
        <v>-0.45090376160234491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103601</v>
      </c>
      <c r="D124" s="118">
        <f>SUM(D113:D123)</f>
        <v>104729</v>
      </c>
      <c r="E124" s="118">
        <f t="shared" si="16"/>
        <v>1128</v>
      </c>
      <c r="F124" s="104">
        <f t="shared" si="17"/>
        <v>1.0887925792222083E-2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22957</v>
      </c>
      <c r="D126" s="117">
        <v>24459</v>
      </c>
      <c r="E126" s="117">
        <f t="shared" ref="E126:E137" si="18">D126-C126</f>
        <v>1502</v>
      </c>
      <c r="F126" s="98">
        <f t="shared" ref="F126:F137" si="19">IF(C126=0,0,E126/C126)</f>
        <v>6.5426667247462642E-2</v>
      </c>
    </row>
    <row r="127" spans="1:6" ht="18" customHeight="1" x14ac:dyDescent="0.25">
      <c r="A127" s="99">
        <v>2</v>
      </c>
      <c r="B127" s="100" t="s">
        <v>113</v>
      </c>
      <c r="C127" s="117">
        <v>9290</v>
      </c>
      <c r="D127" s="117">
        <v>9862</v>
      </c>
      <c r="E127" s="117">
        <f t="shared" si="18"/>
        <v>572</v>
      </c>
      <c r="F127" s="98">
        <f t="shared" si="19"/>
        <v>6.1571582346609255E-2</v>
      </c>
    </row>
    <row r="128" spans="1:6" ht="18" customHeight="1" x14ac:dyDescent="0.25">
      <c r="A128" s="99">
        <v>3</v>
      </c>
      <c r="B128" s="100" t="s">
        <v>114</v>
      </c>
      <c r="C128" s="117">
        <v>19565</v>
      </c>
      <c r="D128" s="117">
        <v>22793</v>
      </c>
      <c r="E128" s="117">
        <f t="shared" si="18"/>
        <v>3228</v>
      </c>
      <c r="F128" s="98">
        <f t="shared" si="19"/>
        <v>0.16498849987222081</v>
      </c>
    </row>
    <row r="129" spans="1:6" ht="18" customHeight="1" x14ac:dyDescent="0.25">
      <c r="A129" s="99">
        <v>4</v>
      </c>
      <c r="B129" s="100" t="s">
        <v>115</v>
      </c>
      <c r="C129" s="117">
        <v>44946</v>
      </c>
      <c r="D129" s="117">
        <v>50374</v>
      </c>
      <c r="E129" s="117">
        <f t="shared" si="18"/>
        <v>5428</v>
      </c>
      <c r="F129" s="98">
        <f t="shared" si="19"/>
        <v>0.12076714279357451</v>
      </c>
    </row>
    <row r="130" spans="1:6" ht="18" customHeight="1" x14ac:dyDescent="0.25">
      <c r="A130" s="99">
        <v>5</v>
      </c>
      <c r="B130" s="100" t="s">
        <v>116</v>
      </c>
      <c r="C130" s="117">
        <v>307</v>
      </c>
      <c r="D130" s="117">
        <v>374</v>
      </c>
      <c r="E130" s="117">
        <f t="shared" si="18"/>
        <v>67</v>
      </c>
      <c r="F130" s="98">
        <f t="shared" si="19"/>
        <v>0.21824104234527689</v>
      </c>
    </row>
    <row r="131" spans="1:6" ht="18" customHeight="1" x14ac:dyDescent="0.25">
      <c r="A131" s="99">
        <v>6</v>
      </c>
      <c r="B131" s="100" t="s">
        <v>117</v>
      </c>
      <c r="C131" s="117">
        <v>28117</v>
      </c>
      <c r="D131" s="117">
        <v>29209</v>
      </c>
      <c r="E131" s="117">
        <f t="shared" si="18"/>
        <v>1092</v>
      </c>
      <c r="F131" s="98">
        <f t="shared" si="19"/>
        <v>3.8837713838602982E-2</v>
      </c>
    </row>
    <row r="132" spans="1:6" ht="18" customHeight="1" x14ac:dyDescent="0.25">
      <c r="A132" s="99">
        <v>7</v>
      </c>
      <c r="B132" s="100" t="s">
        <v>118</v>
      </c>
      <c r="C132" s="117">
        <v>35138</v>
      </c>
      <c r="D132" s="117">
        <v>34404</v>
      </c>
      <c r="E132" s="117">
        <f t="shared" si="18"/>
        <v>-734</v>
      </c>
      <c r="F132" s="98">
        <f t="shared" si="19"/>
        <v>-2.0889065968467187E-2</v>
      </c>
    </row>
    <row r="133" spans="1:6" ht="18" customHeight="1" x14ac:dyDescent="0.25">
      <c r="A133" s="99">
        <v>8</v>
      </c>
      <c r="B133" s="100" t="s">
        <v>119</v>
      </c>
      <c r="C133" s="117">
        <v>1663</v>
      </c>
      <c r="D133" s="117">
        <v>1553</v>
      </c>
      <c r="E133" s="117">
        <f t="shared" si="18"/>
        <v>-110</v>
      </c>
      <c r="F133" s="98">
        <f t="shared" si="19"/>
        <v>-6.6145520144317502E-2</v>
      </c>
    </row>
    <row r="134" spans="1:6" ht="18" customHeight="1" x14ac:dyDescent="0.25">
      <c r="A134" s="99">
        <v>9</v>
      </c>
      <c r="B134" s="100" t="s">
        <v>120</v>
      </c>
      <c r="C134" s="117">
        <v>16944</v>
      </c>
      <c r="D134" s="117">
        <v>15803</v>
      </c>
      <c r="E134" s="117">
        <f t="shared" si="18"/>
        <v>-1141</v>
      </c>
      <c r="F134" s="98">
        <f t="shared" si="19"/>
        <v>-6.7339471199244577E-2</v>
      </c>
    </row>
    <row r="135" spans="1:6" ht="18" customHeight="1" x14ac:dyDescent="0.25">
      <c r="A135" s="99">
        <v>10</v>
      </c>
      <c r="B135" s="100" t="s">
        <v>121</v>
      </c>
      <c r="C135" s="117">
        <v>12921</v>
      </c>
      <c r="D135" s="117">
        <v>7396</v>
      </c>
      <c r="E135" s="117">
        <f t="shared" si="18"/>
        <v>-5525</v>
      </c>
      <c r="F135" s="98">
        <f t="shared" si="19"/>
        <v>-0.42759848308954418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191848</v>
      </c>
      <c r="D137" s="118">
        <f>SUM(D126:D136)</f>
        <v>196227</v>
      </c>
      <c r="E137" s="118">
        <f t="shared" si="18"/>
        <v>4379</v>
      </c>
      <c r="F137" s="104">
        <f t="shared" si="19"/>
        <v>2.2825361744714567E-2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15535687</v>
      </c>
      <c r="D142" s="97">
        <v>17789653</v>
      </c>
      <c r="E142" s="97">
        <f t="shared" ref="E142:E153" si="20">D142-C142</f>
        <v>2253966</v>
      </c>
      <c r="F142" s="98">
        <f t="shared" ref="F142:F153" si="21">IF(C142=0,0,E142/C142)</f>
        <v>0.145083123778176</v>
      </c>
    </row>
    <row r="143" spans="1:6" ht="18" customHeight="1" x14ac:dyDescent="0.25">
      <c r="A143" s="99">
        <v>2</v>
      </c>
      <c r="B143" s="100" t="s">
        <v>113</v>
      </c>
      <c r="C143" s="97">
        <v>6015830</v>
      </c>
      <c r="D143" s="97">
        <v>6719722</v>
      </c>
      <c r="E143" s="97">
        <f t="shared" si="20"/>
        <v>703892</v>
      </c>
      <c r="F143" s="98">
        <f t="shared" si="21"/>
        <v>0.11700663083896985</v>
      </c>
    </row>
    <row r="144" spans="1:6" ht="18" customHeight="1" x14ac:dyDescent="0.25">
      <c r="A144" s="99">
        <v>3</v>
      </c>
      <c r="B144" s="100" t="s">
        <v>114</v>
      </c>
      <c r="C144" s="97">
        <v>13375671</v>
      </c>
      <c r="D144" s="97">
        <v>18838089</v>
      </c>
      <c r="E144" s="97">
        <f t="shared" si="20"/>
        <v>5462418</v>
      </c>
      <c r="F144" s="98">
        <f t="shared" si="21"/>
        <v>0.40838459618212797</v>
      </c>
    </row>
    <row r="145" spans="1:6" ht="18" customHeight="1" x14ac:dyDescent="0.25">
      <c r="A145" s="99">
        <v>4</v>
      </c>
      <c r="B145" s="100" t="s">
        <v>115</v>
      </c>
      <c r="C145" s="97">
        <v>30597908</v>
      </c>
      <c r="D145" s="97">
        <v>34626028</v>
      </c>
      <c r="E145" s="97">
        <f t="shared" si="20"/>
        <v>4028120</v>
      </c>
      <c r="F145" s="98">
        <f t="shared" si="21"/>
        <v>0.13164690867101111</v>
      </c>
    </row>
    <row r="146" spans="1:6" ht="18" customHeight="1" x14ac:dyDescent="0.25">
      <c r="A146" s="99">
        <v>5</v>
      </c>
      <c r="B146" s="100" t="s">
        <v>116</v>
      </c>
      <c r="C146" s="97">
        <v>227654</v>
      </c>
      <c r="D146" s="97">
        <v>284135</v>
      </c>
      <c r="E146" s="97">
        <f t="shared" si="20"/>
        <v>56481</v>
      </c>
      <c r="F146" s="98">
        <f t="shared" si="21"/>
        <v>0.24810018712607729</v>
      </c>
    </row>
    <row r="147" spans="1:6" ht="18" customHeight="1" x14ac:dyDescent="0.25">
      <c r="A147" s="99">
        <v>6</v>
      </c>
      <c r="B147" s="100" t="s">
        <v>117</v>
      </c>
      <c r="C147" s="97">
        <v>16715928</v>
      </c>
      <c r="D147" s="97">
        <v>17002207</v>
      </c>
      <c r="E147" s="97">
        <f t="shared" si="20"/>
        <v>286279</v>
      </c>
      <c r="F147" s="98">
        <f t="shared" si="21"/>
        <v>1.7126120667664994E-2</v>
      </c>
    </row>
    <row r="148" spans="1:6" ht="18" customHeight="1" x14ac:dyDescent="0.25">
      <c r="A148" s="99">
        <v>7</v>
      </c>
      <c r="B148" s="100" t="s">
        <v>118</v>
      </c>
      <c r="C148" s="97">
        <v>21081519</v>
      </c>
      <c r="D148" s="97">
        <v>20912229</v>
      </c>
      <c r="E148" s="97">
        <f t="shared" si="20"/>
        <v>-169290</v>
      </c>
      <c r="F148" s="98">
        <f t="shared" si="21"/>
        <v>-8.0302562637919964E-3</v>
      </c>
    </row>
    <row r="149" spans="1:6" ht="18" customHeight="1" x14ac:dyDescent="0.25">
      <c r="A149" s="99">
        <v>8</v>
      </c>
      <c r="B149" s="100" t="s">
        <v>119</v>
      </c>
      <c r="C149" s="97">
        <v>1082253</v>
      </c>
      <c r="D149" s="97">
        <v>1203800</v>
      </c>
      <c r="E149" s="97">
        <f t="shared" si="20"/>
        <v>121547</v>
      </c>
      <c r="F149" s="98">
        <f t="shared" si="21"/>
        <v>0.11230922898804624</v>
      </c>
    </row>
    <row r="150" spans="1:6" ht="18" customHeight="1" x14ac:dyDescent="0.25">
      <c r="A150" s="99">
        <v>9</v>
      </c>
      <c r="B150" s="100" t="s">
        <v>120</v>
      </c>
      <c r="C150" s="97">
        <v>20954690</v>
      </c>
      <c r="D150" s="97">
        <v>20310905</v>
      </c>
      <c r="E150" s="97">
        <f t="shared" si="20"/>
        <v>-643785</v>
      </c>
      <c r="F150" s="98">
        <f t="shared" si="21"/>
        <v>-3.0722716489721393E-2</v>
      </c>
    </row>
    <row r="151" spans="1:6" ht="18" customHeight="1" x14ac:dyDescent="0.25">
      <c r="A151" s="99">
        <v>10</v>
      </c>
      <c r="B151" s="100" t="s">
        <v>121</v>
      </c>
      <c r="C151" s="97">
        <v>11426870</v>
      </c>
      <c r="D151" s="97">
        <v>7330349</v>
      </c>
      <c r="E151" s="97">
        <f t="shared" si="20"/>
        <v>-4096521</v>
      </c>
      <c r="F151" s="98">
        <f t="shared" si="21"/>
        <v>-0.35849895903252599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137014010</v>
      </c>
      <c r="D153" s="103">
        <f>SUM(D142:D152)</f>
        <v>145017117</v>
      </c>
      <c r="E153" s="103">
        <f t="shared" si="20"/>
        <v>8003107</v>
      </c>
      <c r="F153" s="104">
        <f t="shared" si="21"/>
        <v>5.8410866158869444E-2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5198214</v>
      </c>
      <c r="D155" s="97">
        <v>3316113</v>
      </c>
      <c r="E155" s="97">
        <f t="shared" ref="E155:E166" si="22">D155-C155</f>
        <v>-1882101</v>
      </c>
      <c r="F155" s="98">
        <f t="shared" ref="F155:F166" si="23">IF(C155=0,0,E155/C155)</f>
        <v>-0.36206685603940125</v>
      </c>
    </row>
    <row r="156" spans="1:6" ht="18" customHeight="1" x14ac:dyDescent="0.25">
      <c r="A156" s="99">
        <v>2</v>
      </c>
      <c r="B156" s="100" t="s">
        <v>113</v>
      </c>
      <c r="C156" s="97">
        <v>1455372</v>
      </c>
      <c r="D156" s="97">
        <v>1464913</v>
      </c>
      <c r="E156" s="97">
        <f t="shared" si="22"/>
        <v>9541</v>
      </c>
      <c r="F156" s="98">
        <f t="shared" si="23"/>
        <v>6.5557122165329548E-3</v>
      </c>
    </row>
    <row r="157" spans="1:6" ht="18" customHeight="1" x14ac:dyDescent="0.25">
      <c r="A157" s="99">
        <v>3</v>
      </c>
      <c r="B157" s="100" t="s">
        <v>114</v>
      </c>
      <c r="C157" s="97">
        <v>2411263</v>
      </c>
      <c r="D157" s="97">
        <v>2845746</v>
      </c>
      <c r="E157" s="97">
        <f t="shared" si="22"/>
        <v>434483</v>
      </c>
      <c r="F157" s="98">
        <f t="shared" si="23"/>
        <v>0.18018897150580421</v>
      </c>
    </row>
    <row r="158" spans="1:6" ht="18" customHeight="1" x14ac:dyDescent="0.25">
      <c r="A158" s="99">
        <v>4</v>
      </c>
      <c r="B158" s="100" t="s">
        <v>115</v>
      </c>
      <c r="C158" s="97">
        <v>5723780</v>
      </c>
      <c r="D158" s="97">
        <v>5688330</v>
      </c>
      <c r="E158" s="97">
        <f t="shared" si="22"/>
        <v>-35450</v>
      </c>
      <c r="F158" s="98">
        <f t="shared" si="23"/>
        <v>-6.1934595669295468E-3</v>
      </c>
    </row>
    <row r="159" spans="1:6" ht="18" customHeight="1" x14ac:dyDescent="0.25">
      <c r="A159" s="99">
        <v>5</v>
      </c>
      <c r="B159" s="100" t="s">
        <v>116</v>
      </c>
      <c r="C159" s="97">
        <v>70314</v>
      </c>
      <c r="D159" s="97">
        <v>88084</v>
      </c>
      <c r="E159" s="97">
        <f t="shared" si="22"/>
        <v>17770</v>
      </c>
      <c r="F159" s="98">
        <f t="shared" si="23"/>
        <v>0.25272349745427652</v>
      </c>
    </row>
    <row r="160" spans="1:6" ht="18" customHeight="1" x14ac:dyDescent="0.25">
      <c r="A160" s="99">
        <v>6</v>
      </c>
      <c r="B160" s="100" t="s">
        <v>117</v>
      </c>
      <c r="C160" s="97">
        <v>6238455</v>
      </c>
      <c r="D160" s="97">
        <v>6156536</v>
      </c>
      <c r="E160" s="97">
        <f t="shared" si="22"/>
        <v>-81919</v>
      </c>
      <c r="F160" s="98">
        <f t="shared" si="23"/>
        <v>-1.3131296130211727E-2</v>
      </c>
    </row>
    <row r="161" spans="1:6" ht="18" customHeight="1" x14ac:dyDescent="0.25">
      <c r="A161" s="99">
        <v>7</v>
      </c>
      <c r="B161" s="100" t="s">
        <v>118</v>
      </c>
      <c r="C161" s="97">
        <v>7577315</v>
      </c>
      <c r="D161" s="97">
        <v>7380352</v>
      </c>
      <c r="E161" s="97">
        <f t="shared" si="22"/>
        <v>-196963</v>
      </c>
      <c r="F161" s="98">
        <f t="shared" si="23"/>
        <v>-2.5993772200311061E-2</v>
      </c>
    </row>
    <row r="162" spans="1:6" ht="18" customHeight="1" x14ac:dyDescent="0.25">
      <c r="A162" s="99">
        <v>8</v>
      </c>
      <c r="B162" s="100" t="s">
        <v>119</v>
      </c>
      <c r="C162" s="97">
        <v>670508</v>
      </c>
      <c r="D162" s="97">
        <v>772778</v>
      </c>
      <c r="E162" s="97">
        <f t="shared" si="22"/>
        <v>102270</v>
      </c>
      <c r="F162" s="98">
        <f t="shared" si="23"/>
        <v>0.15252614435621947</v>
      </c>
    </row>
    <row r="163" spans="1:6" ht="18" customHeight="1" x14ac:dyDescent="0.25">
      <c r="A163" s="99">
        <v>9</v>
      </c>
      <c r="B163" s="100" t="s">
        <v>120</v>
      </c>
      <c r="C163" s="97">
        <v>20772002</v>
      </c>
      <c r="D163" s="97">
        <v>20140318</v>
      </c>
      <c r="E163" s="97">
        <f t="shared" si="22"/>
        <v>-631684</v>
      </c>
      <c r="F163" s="98">
        <f t="shared" si="23"/>
        <v>-3.0410357172120435E-2</v>
      </c>
    </row>
    <row r="164" spans="1:6" ht="18" customHeight="1" x14ac:dyDescent="0.25">
      <c r="A164" s="99">
        <v>10</v>
      </c>
      <c r="B164" s="100" t="s">
        <v>121</v>
      </c>
      <c r="C164" s="97">
        <v>1351334</v>
      </c>
      <c r="D164" s="97">
        <v>786338</v>
      </c>
      <c r="E164" s="97">
        <f t="shared" si="22"/>
        <v>-564996</v>
      </c>
      <c r="F164" s="98">
        <f t="shared" si="23"/>
        <v>-0.4181024084349243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51468557</v>
      </c>
      <c r="D166" s="103">
        <f>SUM(D155:D165)</f>
        <v>48639508</v>
      </c>
      <c r="E166" s="103">
        <f t="shared" si="22"/>
        <v>-2829049</v>
      </c>
      <c r="F166" s="104">
        <f t="shared" si="23"/>
        <v>-5.4966549771348745E-2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5522</v>
      </c>
      <c r="D168" s="117">
        <v>5647</v>
      </c>
      <c r="E168" s="117">
        <f t="shared" ref="E168:E179" si="24">D168-C168</f>
        <v>125</v>
      </c>
      <c r="F168" s="98">
        <f t="shared" ref="F168:F179" si="25">IF(C168=0,0,E168/C168)</f>
        <v>2.2636725823976821E-2</v>
      </c>
    </row>
    <row r="169" spans="1:6" ht="18" customHeight="1" x14ac:dyDescent="0.25">
      <c r="A169" s="99">
        <v>2</v>
      </c>
      <c r="B169" s="100" t="s">
        <v>113</v>
      </c>
      <c r="C169" s="117">
        <v>1913</v>
      </c>
      <c r="D169" s="117">
        <v>1905</v>
      </c>
      <c r="E169" s="117">
        <f t="shared" si="24"/>
        <v>-8</v>
      </c>
      <c r="F169" s="98">
        <f t="shared" si="25"/>
        <v>-4.1819132253005748E-3</v>
      </c>
    </row>
    <row r="170" spans="1:6" ht="18" customHeight="1" x14ac:dyDescent="0.25">
      <c r="A170" s="99">
        <v>3</v>
      </c>
      <c r="B170" s="100" t="s">
        <v>114</v>
      </c>
      <c r="C170" s="117">
        <v>6965</v>
      </c>
      <c r="D170" s="117">
        <v>8558</v>
      </c>
      <c r="E170" s="117">
        <f t="shared" si="24"/>
        <v>1593</v>
      </c>
      <c r="F170" s="98">
        <f t="shared" si="25"/>
        <v>0.22871500358937544</v>
      </c>
    </row>
    <row r="171" spans="1:6" ht="18" customHeight="1" x14ac:dyDescent="0.25">
      <c r="A171" s="99">
        <v>4</v>
      </c>
      <c r="B171" s="100" t="s">
        <v>115</v>
      </c>
      <c r="C171" s="117">
        <v>19534</v>
      </c>
      <c r="D171" s="117">
        <v>20600</v>
      </c>
      <c r="E171" s="117">
        <f t="shared" si="24"/>
        <v>1066</v>
      </c>
      <c r="F171" s="98">
        <f t="shared" si="25"/>
        <v>5.4571516330500669E-2</v>
      </c>
    </row>
    <row r="172" spans="1:6" ht="18" customHeight="1" x14ac:dyDescent="0.25">
      <c r="A172" s="99">
        <v>5</v>
      </c>
      <c r="B172" s="100" t="s">
        <v>116</v>
      </c>
      <c r="C172" s="117">
        <v>136</v>
      </c>
      <c r="D172" s="117">
        <v>148</v>
      </c>
      <c r="E172" s="117">
        <f t="shared" si="24"/>
        <v>12</v>
      </c>
      <c r="F172" s="98">
        <f t="shared" si="25"/>
        <v>8.8235294117647065E-2</v>
      </c>
    </row>
    <row r="173" spans="1:6" ht="18" customHeight="1" x14ac:dyDescent="0.25">
      <c r="A173" s="99">
        <v>6</v>
      </c>
      <c r="B173" s="100" t="s">
        <v>117</v>
      </c>
      <c r="C173" s="117">
        <v>7093</v>
      </c>
      <c r="D173" s="117">
        <v>6750</v>
      </c>
      <c r="E173" s="117">
        <f t="shared" si="24"/>
        <v>-343</v>
      </c>
      <c r="F173" s="98">
        <f t="shared" si="25"/>
        <v>-4.8357535598477372E-2</v>
      </c>
    </row>
    <row r="174" spans="1:6" ht="18" customHeight="1" x14ac:dyDescent="0.25">
      <c r="A174" s="99">
        <v>7</v>
      </c>
      <c r="B174" s="100" t="s">
        <v>118</v>
      </c>
      <c r="C174" s="117">
        <v>9052</v>
      </c>
      <c r="D174" s="117">
        <v>8231</v>
      </c>
      <c r="E174" s="117">
        <f t="shared" si="24"/>
        <v>-821</v>
      </c>
      <c r="F174" s="98">
        <f t="shared" si="25"/>
        <v>-9.0698188245691563E-2</v>
      </c>
    </row>
    <row r="175" spans="1:6" ht="18" customHeight="1" x14ac:dyDescent="0.25">
      <c r="A175" s="99">
        <v>8</v>
      </c>
      <c r="B175" s="100" t="s">
        <v>119</v>
      </c>
      <c r="C175" s="117">
        <v>529</v>
      </c>
      <c r="D175" s="117">
        <v>527</v>
      </c>
      <c r="E175" s="117">
        <f t="shared" si="24"/>
        <v>-2</v>
      </c>
      <c r="F175" s="98">
        <f t="shared" si="25"/>
        <v>-3.780718336483932E-3</v>
      </c>
    </row>
    <row r="176" spans="1:6" ht="18" customHeight="1" x14ac:dyDescent="0.25">
      <c r="A176" s="99">
        <v>9</v>
      </c>
      <c r="B176" s="100" t="s">
        <v>120</v>
      </c>
      <c r="C176" s="117">
        <v>10274</v>
      </c>
      <c r="D176" s="117">
        <v>9342</v>
      </c>
      <c r="E176" s="117">
        <f t="shared" si="24"/>
        <v>-932</v>
      </c>
      <c r="F176" s="98">
        <f t="shared" si="25"/>
        <v>-9.0714424761533963E-2</v>
      </c>
    </row>
    <row r="177" spans="1:6" ht="18" customHeight="1" x14ac:dyDescent="0.25">
      <c r="A177" s="99">
        <v>10</v>
      </c>
      <c r="B177" s="100" t="s">
        <v>121</v>
      </c>
      <c r="C177" s="117">
        <v>5794</v>
      </c>
      <c r="D177" s="117">
        <v>3304</v>
      </c>
      <c r="E177" s="117">
        <f t="shared" si="24"/>
        <v>-2490</v>
      </c>
      <c r="F177" s="98">
        <f t="shared" si="25"/>
        <v>-0.42975491888160167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66812</v>
      </c>
      <c r="D179" s="118">
        <f>SUM(D168:D178)</f>
        <v>65012</v>
      </c>
      <c r="E179" s="118">
        <f t="shared" si="24"/>
        <v>-1800</v>
      </c>
      <c r="F179" s="104">
        <f t="shared" si="25"/>
        <v>-2.6941268035682212E-2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4" fitToHeight="0" orientation="portrait" horizontalDpi="1200" verticalDpi="1200" r:id="rId1"/>
  <headerFooter>
    <oddHeader>&amp;LOFFICE OF HEALTH CARE ACCESS&amp;CTWELVE MONTHS ACTUAL FILING&amp;RBRIDGEPORT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>
      <selection activeCell="F18" sqref="F18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42767886</v>
      </c>
      <c r="D15" s="146">
        <v>48504672</v>
      </c>
      <c r="E15" s="146">
        <f>+D15-C15</f>
        <v>5736786</v>
      </c>
      <c r="F15" s="150">
        <f>IF(C15=0,0,E15/C15)</f>
        <v>0.13413770322900692</v>
      </c>
    </row>
    <row r="16" spans="1:7" ht="15" customHeight="1" x14ac:dyDescent="0.2">
      <c r="A16" s="141">
        <v>2</v>
      </c>
      <c r="B16" s="149" t="s">
        <v>158</v>
      </c>
      <c r="C16" s="146">
        <v>8311122</v>
      </c>
      <c r="D16" s="146">
        <v>9466788</v>
      </c>
      <c r="E16" s="146">
        <f>+D16-C16</f>
        <v>1155666</v>
      </c>
      <c r="F16" s="150">
        <f>IF(C16=0,0,E16/C16)</f>
        <v>0.13905053974661905</v>
      </c>
    </row>
    <row r="17" spans="1:7" ht="15" customHeight="1" x14ac:dyDescent="0.2">
      <c r="A17" s="141">
        <v>3</v>
      </c>
      <c r="B17" s="149" t="s">
        <v>159</v>
      </c>
      <c r="C17" s="146">
        <v>79408992</v>
      </c>
      <c r="D17" s="146">
        <v>70911540</v>
      </c>
      <c r="E17" s="146">
        <f>+D17-C17</f>
        <v>-8497452</v>
      </c>
      <c r="F17" s="150">
        <f>IF(C17=0,0,E17/C17)</f>
        <v>-0.10700868737888021</v>
      </c>
    </row>
    <row r="18" spans="1:7" ht="15.75" customHeight="1" x14ac:dyDescent="0.25">
      <c r="A18" s="141"/>
      <c r="B18" s="151" t="s">
        <v>160</v>
      </c>
      <c r="C18" s="147">
        <f>SUM(C15:C17)</f>
        <v>130488000</v>
      </c>
      <c r="D18" s="147">
        <f>SUM(D15:D17)</f>
        <v>128883000</v>
      </c>
      <c r="E18" s="147">
        <f>+D18-C18</f>
        <v>-1605000</v>
      </c>
      <c r="F18" s="148">
        <f>IF(C18=0,0,E18/C18)</f>
        <v>-1.2299981607504139E-2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10711918</v>
      </c>
      <c r="D21" s="146">
        <v>11454118</v>
      </c>
      <c r="E21" s="146">
        <f>+D21-C21</f>
        <v>742200</v>
      </c>
      <c r="F21" s="150">
        <f>IF(C21=0,0,E21/C21)</f>
        <v>6.9287311572026597E-2</v>
      </c>
    </row>
    <row r="22" spans="1:7" ht="15" customHeight="1" x14ac:dyDescent="0.2">
      <c r="A22" s="141">
        <v>2</v>
      </c>
      <c r="B22" s="149" t="s">
        <v>163</v>
      </c>
      <c r="C22" s="146">
        <v>2452306</v>
      </c>
      <c r="D22" s="146">
        <v>2213435</v>
      </c>
      <c r="E22" s="146">
        <f>+D22-C22</f>
        <v>-238871</v>
      </c>
      <c r="F22" s="150">
        <f>IF(C22=0,0,E22/C22)</f>
        <v>-9.7406685788804501E-2</v>
      </c>
    </row>
    <row r="23" spans="1:7" ht="15" customHeight="1" x14ac:dyDescent="0.2">
      <c r="A23" s="141">
        <v>3</v>
      </c>
      <c r="B23" s="149" t="s">
        <v>164</v>
      </c>
      <c r="C23" s="146">
        <v>25392776</v>
      </c>
      <c r="D23" s="146">
        <v>28140447</v>
      </c>
      <c r="E23" s="146">
        <f>+D23-C23</f>
        <v>2747671</v>
      </c>
      <c r="F23" s="150">
        <f>IF(C23=0,0,E23/C23)</f>
        <v>0.10820679865801203</v>
      </c>
    </row>
    <row r="24" spans="1:7" ht="15.75" customHeight="1" x14ac:dyDescent="0.25">
      <c r="A24" s="141"/>
      <c r="B24" s="151" t="s">
        <v>165</v>
      </c>
      <c r="C24" s="147">
        <f>SUM(C21:C23)</f>
        <v>38557000</v>
      </c>
      <c r="D24" s="147">
        <f>SUM(D21:D23)</f>
        <v>41808000</v>
      </c>
      <c r="E24" s="147">
        <f>+D24-C24</f>
        <v>3251000</v>
      </c>
      <c r="F24" s="148">
        <f>IF(C24=0,0,E24/C24)</f>
        <v>8.4316725886350086E-2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2744248</v>
      </c>
      <c r="D27" s="146">
        <v>1993281</v>
      </c>
      <c r="E27" s="146">
        <f>+D27-C27</f>
        <v>-750967</v>
      </c>
      <c r="F27" s="150">
        <f>IF(C27=0,0,E27/C27)</f>
        <v>-0.27365128807600481</v>
      </c>
    </row>
    <row r="28" spans="1:7" ht="15" customHeight="1" x14ac:dyDescent="0.2">
      <c r="A28" s="141">
        <v>2</v>
      </c>
      <c r="B28" s="149" t="s">
        <v>168</v>
      </c>
      <c r="C28" s="146">
        <v>15538000</v>
      </c>
      <c r="D28" s="146">
        <v>14462000</v>
      </c>
      <c r="E28" s="146">
        <f>+D28-C28</f>
        <v>-1076000</v>
      </c>
      <c r="F28" s="150">
        <f>IF(C28=0,0,E28/C28)</f>
        <v>-6.9249581670742702E-2</v>
      </c>
    </row>
    <row r="29" spans="1:7" ht="15" customHeight="1" x14ac:dyDescent="0.2">
      <c r="A29" s="141">
        <v>3</v>
      </c>
      <c r="B29" s="149" t="s">
        <v>169</v>
      </c>
      <c r="C29" s="146">
        <v>20347594</v>
      </c>
      <c r="D29" s="146">
        <v>22402736</v>
      </c>
      <c r="E29" s="146">
        <f>+D29-C29</f>
        <v>2055142</v>
      </c>
      <c r="F29" s="150">
        <f>IF(C29=0,0,E29/C29)</f>
        <v>0.10100172039996473</v>
      </c>
    </row>
    <row r="30" spans="1:7" ht="15.75" customHeight="1" x14ac:dyDescent="0.25">
      <c r="A30" s="141"/>
      <c r="B30" s="151" t="s">
        <v>170</v>
      </c>
      <c r="C30" s="147">
        <f>SUM(C27:C29)</f>
        <v>38629842</v>
      </c>
      <c r="D30" s="147">
        <f>SUM(D27:D29)</f>
        <v>38858017</v>
      </c>
      <c r="E30" s="147">
        <f>+D30-C30</f>
        <v>228175</v>
      </c>
      <c r="F30" s="148">
        <f>IF(C30=0,0,E30/C30)</f>
        <v>5.9067029060072265E-3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35569000</v>
      </c>
      <c r="D33" s="146">
        <v>35893000</v>
      </c>
      <c r="E33" s="146">
        <f>+D33-C33</f>
        <v>324000</v>
      </c>
      <c r="F33" s="150">
        <f>IF(C33=0,0,E33/C33)</f>
        <v>9.1090556383367546E-3</v>
      </c>
    </row>
    <row r="34" spans="1:7" ht="15" customHeight="1" x14ac:dyDescent="0.2">
      <c r="A34" s="141">
        <v>2</v>
      </c>
      <c r="B34" s="149" t="s">
        <v>174</v>
      </c>
      <c r="C34" s="146">
        <v>9846000</v>
      </c>
      <c r="D34" s="146">
        <v>9779000</v>
      </c>
      <c r="E34" s="146">
        <f>+D34-C34</f>
        <v>-67000</v>
      </c>
      <c r="F34" s="150">
        <f>IF(C34=0,0,E34/C34)</f>
        <v>-6.8047938249035144E-3</v>
      </c>
    </row>
    <row r="35" spans="1:7" ht="15.75" customHeight="1" x14ac:dyDescent="0.25">
      <c r="A35" s="141"/>
      <c r="B35" s="151" t="s">
        <v>175</v>
      </c>
      <c r="C35" s="147">
        <f>SUM(C33:C34)</f>
        <v>45415000</v>
      </c>
      <c r="D35" s="147">
        <f>SUM(D33:D34)</f>
        <v>45672000</v>
      </c>
      <c r="E35" s="147">
        <f>+D35-C35</f>
        <v>257000</v>
      </c>
      <c r="F35" s="148">
        <f>IF(C35=0,0,E35/C35)</f>
        <v>5.658923263239018E-3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9866000</v>
      </c>
      <c r="D38" s="146">
        <v>9244000</v>
      </c>
      <c r="E38" s="146">
        <f>+D38-C38</f>
        <v>-622000</v>
      </c>
      <c r="F38" s="150">
        <f>IF(C38=0,0,E38/C38)</f>
        <v>-6.3044800324346242E-2</v>
      </c>
    </row>
    <row r="39" spans="1:7" ht="15" customHeight="1" x14ac:dyDescent="0.2">
      <c r="A39" s="141">
        <v>2</v>
      </c>
      <c r="B39" s="149" t="s">
        <v>179</v>
      </c>
      <c r="C39" s="146">
        <v>9096000</v>
      </c>
      <c r="D39" s="146">
        <v>8524000</v>
      </c>
      <c r="E39" s="146">
        <f>+D39-C39</f>
        <v>-572000</v>
      </c>
      <c r="F39" s="150">
        <f>IF(C39=0,0,E39/C39)</f>
        <v>-6.2884784520668424E-2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18962000</v>
      </c>
      <c r="D41" s="147">
        <f>SUM(D38:D40)</f>
        <v>17768000</v>
      </c>
      <c r="E41" s="147">
        <f>+D41-C41</f>
        <v>-1194000</v>
      </c>
      <c r="F41" s="148">
        <f>IF(C41=0,0,E41/C41)</f>
        <v>-6.2968041345849587E-2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13240000</v>
      </c>
      <c r="D44" s="146">
        <v>13505000</v>
      </c>
      <c r="E44" s="146">
        <f>+D44-C44</f>
        <v>265000</v>
      </c>
      <c r="F44" s="150">
        <f>IF(C44=0,0,E44/C44)</f>
        <v>2.0015105740181269E-2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3200000</v>
      </c>
      <c r="D47" s="146">
        <v>3059000</v>
      </c>
      <c r="E47" s="146">
        <f>+D47-C47</f>
        <v>-141000</v>
      </c>
      <c r="F47" s="150">
        <f>IF(C47=0,0,E47/C47)</f>
        <v>-4.4062499999999998E-2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12652000</v>
      </c>
      <c r="D50" s="146">
        <v>8342000</v>
      </c>
      <c r="E50" s="146">
        <f>+D50-C50</f>
        <v>-4310000</v>
      </c>
      <c r="F50" s="150">
        <f>IF(C50=0,0,E50/C50)</f>
        <v>-0.34065760354094216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199502</v>
      </c>
      <c r="D53" s="146">
        <v>287513</v>
      </c>
      <c r="E53" s="146">
        <f t="shared" ref="E53:E59" si="0">+D53-C53</f>
        <v>88011</v>
      </c>
      <c r="F53" s="150">
        <f t="shared" ref="F53:F59" si="1">IF(C53=0,0,E53/C53)</f>
        <v>0.44115347214564266</v>
      </c>
    </row>
    <row r="54" spans="1:7" ht="15" customHeight="1" x14ac:dyDescent="0.2">
      <c r="A54" s="141">
        <v>2</v>
      </c>
      <c r="B54" s="149" t="s">
        <v>193</v>
      </c>
      <c r="C54" s="146">
        <v>2197040</v>
      </c>
      <c r="D54" s="146">
        <v>1531639</v>
      </c>
      <c r="E54" s="146">
        <f t="shared" si="0"/>
        <v>-665401</v>
      </c>
      <c r="F54" s="150">
        <f t="shared" si="1"/>
        <v>-0.30286248771073809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0</v>
      </c>
      <c r="E55" s="146">
        <f t="shared" si="0"/>
        <v>0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3805879</v>
      </c>
      <c r="D56" s="146">
        <v>3762757</v>
      </c>
      <c r="E56" s="146">
        <f t="shared" si="0"/>
        <v>-43122</v>
      </c>
      <c r="F56" s="150">
        <f t="shared" si="1"/>
        <v>-1.1330365468791835E-2</v>
      </c>
    </row>
    <row r="57" spans="1:7" ht="15" customHeight="1" x14ac:dyDescent="0.2">
      <c r="A57" s="141">
        <v>5</v>
      </c>
      <c r="B57" s="149" t="s">
        <v>196</v>
      </c>
      <c r="C57" s="146">
        <v>468581</v>
      </c>
      <c r="D57" s="146">
        <v>487180</v>
      </c>
      <c r="E57" s="146">
        <f t="shared" si="0"/>
        <v>18599</v>
      </c>
      <c r="F57" s="150">
        <f t="shared" si="1"/>
        <v>3.9692177019554784E-2</v>
      </c>
    </row>
    <row r="58" spans="1:7" ht="15" customHeight="1" x14ac:dyDescent="0.2">
      <c r="A58" s="141">
        <v>6</v>
      </c>
      <c r="B58" s="149" t="s">
        <v>197</v>
      </c>
      <c r="C58" s="146">
        <v>123225</v>
      </c>
      <c r="D58" s="146">
        <v>19436</v>
      </c>
      <c r="E58" s="146">
        <f t="shared" si="0"/>
        <v>-103789</v>
      </c>
      <c r="F58" s="150">
        <f t="shared" si="1"/>
        <v>-0.84227226617975248</v>
      </c>
    </row>
    <row r="59" spans="1:7" ht="15.75" customHeight="1" x14ac:dyDescent="0.25">
      <c r="A59" s="141"/>
      <c r="B59" s="151" t="s">
        <v>198</v>
      </c>
      <c r="C59" s="147">
        <f>SUM(C53:C58)</f>
        <v>6794227</v>
      </c>
      <c r="D59" s="147">
        <f>SUM(D53:D58)</f>
        <v>6088525</v>
      </c>
      <c r="E59" s="147">
        <f t="shared" si="0"/>
        <v>-705702</v>
      </c>
      <c r="F59" s="148">
        <f t="shared" si="1"/>
        <v>-0.10386788666319215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324796</v>
      </c>
      <c r="D62" s="146">
        <v>344693</v>
      </c>
      <c r="E62" s="146">
        <f t="shared" ref="E62:E78" si="2">+D62-C62</f>
        <v>19897</v>
      </c>
      <c r="F62" s="150">
        <f t="shared" ref="F62:F78" si="3">IF(C62=0,0,E62/C62)</f>
        <v>6.1259990886587276E-2</v>
      </c>
    </row>
    <row r="63" spans="1:7" ht="15" customHeight="1" x14ac:dyDescent="0.2">
      <c r="A63" s="141">
        <v>2</v>
      </c>
      <c r="B63" s="149" t="s">
        <v>202</v>
      </c>
      <c r="C63" s="146">
        <v>1084214</v>
      </c>
      <c r="D63" s="146">
        <v>1454019</v>
      </c>
      <c r="E63" s="146">
        <f t="shared" si="2"/>
        <v>369805</v>
      </c>
      <c r="F63" s="150">
        <f t="shared" si="3"/>
        <v>0.34108118876900684</v>
      </c>
    </row>
    <row r="64" spans="1:7" ht="15" customHeight="1" x14ac:dyDescent="0.2">
      <c r="A64" s="141">
        <v>3</v>
      </c>
      <c r="B64" s="149" t="s">
        <v>203</v>
      </c>
      <c r="C64" s="146">
        <v>3219951</v>
      </c>
      <c r="D64" s="146">
        <v>1302117</v>
      </c>
      <c r="E64" s="146">
        <f t="shared" si="2"/>
        <v>-1917834</v>
      </c>
      <c r="F64" s="150">
        <f t="shared" si="3"/>
        <v>-0.59560968474364984</v>
      </c>
    </row>
    <row r="65" spans="1:7" ht="15" customHeight="1" x14ac:dyDescent="0.2">
      <c r="A65" s="141">
        <v>4</v>
      </c>
      <c r="B65" s="149" t="s">
        <v>204</v>
      </c>
      <c r="C65" s="146">
        <v>493501</v>
      </c>
      <c r="D65" s="146">
        <v>669740</v>
      </c>
      <c r="E65" s="146">
        <f t="shared" si="2"/>
        <v>176239</v>
      </c>
      <c r="F65" s="150">
        <f t="shared" si="3"/>
        <v>0.35711984372878675</v>
      </c>
    </row>
    <row r="66" spans="1:7" ht="15" customHeight="1" x14ac:dyDescent="0.2">
      <c r="A66" s="141">
        <v>5</v>
      </c>
      <c r="B66" s="149" t="s">
        <v>205</v>
      </c>
      <c r="C66" s="146">
        <v>72592</v>
      </c>
      <c r="D66" s="146">
        <v>129773</v>
      </c>
      <c r="E66" s="146">
        <f t="shared" si="2"/>
        <v>57181</v>
      </c>
      <c r="F66" s="150">
        <f t="shared" si="3"/>
        <v>0.78770387921534057</v>
      </c>
    </row>
    <row r="67" spans="1:7" ht="15" customHeight="1" x14ac:dyDescent="0.2">
      <c r="A67" s="141">
        <v>6</v>
      </c>
      <c r="B67" s="149" t="s">
        <v>206</v>
      </c>
      <c r="C67" s="146">
        <v>1345951</v>
      </c>
      <c r="D67" s="146">
        <v>1468896</v>
      </c>
      <c r="E67" s="146">
        <f t="shared" si="2"/>
        <v>122945</v>
      </c>
      <c r="F67" s="150">
        <f t="shared" si="3"/>
        <v>9.1344335715044606E-2</v>
      </c>
    </row>
    <row r="68" spans="1:7" ht="15" customHeight="1" x14ac:dyDescent="0.2">
      <c r="A68" s="141">
        <v>7</v>
      </c>
      <c r="B68" s="149" t="s">
        <v>207</v>
      </c>
      <c r="C68" s="146">
        <v>7181156</v>
      </c>
      <c r="D68" s="146">
        <v>8535506</v>
      </c>
      <c r="E68" s="146">
        <f t="shared" si="2"/>
        <v>1354350</v>
      </c>
      <c r="F68" s="150">
        <f t="shared" si="3"/>
        <v>0.18859776893859428</v>
      </c>
    </row>
    <row r="69" spans="1:7" ht="15" customHeight="1" x14ac:dyDescent="0.2">
      <c r="A69" s="141">
        <v>8</v>
      </c>
      <c r="B69" s="149" t="s">
        <v>208</v>
      </c>
      <c r="C69" s="146">
        <v>983845</v>
      </c>
      <c r="D69" s="146">
        <v>763709</v>
      </c>
      <c r="E69" s="146">
        <f t="shared" si="2"/>
        <v>-220136</v>
      </c>
      <c r="F69" s="150">
        <f t="shared" si="3"/>
        <v>-0.22375069243630857</v>
      </c>
    </row>
    <row r="70" spans="1:7" ht="15" customHeight="1" x14ac:dyDescent="0.2">
      <c r="A70" s="141">
        <v>9</v>
      </c>
      <c r="B70" s="149" t="s">
        <v>209</v>
      </c>
      <c r="C70" s="146">
        <v>279211</v>
      </c>
      <c r="D70" s="146">
        <v>250647</v>
      </c>
      <c r="E70" s="146">
        <f t="shared" si="2"/>
        <v>-28564</v>
      </c>
      <c r="F70" s="150">
        <f t="shared" si="3"/>
        <v>-0.10230255971290529</v>
      </c>
    </row>
    <row r="71" spans="1:7" ht="15" customHeight="1" x14ac:dyDescent="0.2">
      <c r="A71" s="141">
        <v>10</v>
      </c>
      <c r="B71" s="149" t="s">
        <v>210</v>
      </c>
      <c r="C71" s="146">
        <v>9706</v>
      </c>
      <c r="D71" s="146">
        <v>11419</v>
      </c>
      <c r="E71" s="146">
        <f t="shared" si="2"/>
        <v>1713</v>
      </c>
      <c r="F71" s="150">
        <f t="shared" si="3"/>
        <v>0.17648876983309295</v>
      </c>
    </row>
    <row r="72" spans="1:7" ht="15" customHeight="1" x14ac:dyDescent="0.2">
      <c r="A72" s="141">
        <v>11</v>
      </c>
      <c r="B72" s="149" t="s">
        <v>211</v>
      </c>
      <c r="C72" s="146">
        <v>184336</v>
      </c>
      <c r="D72" s="146">
        <v>179547</v>
      </c>
      <c r="E72" s="146">
        <f t="shared" si="2"/>
        <v>-4789</v>
      </c>
      <c r="F72" s="150">
        <f t="shared" si="3"/>
        <v>-2.5979732662095304E-2</v>
      </c>
    </row>
    <row r="73" spans="1:7" ht="15" customHeight="1" x14ac:dyDescent="0.2">
      <c r="A73" s="141">
        <v>12</v>
      </c>
      <c r="B73" s="149" t="s">
        <v>212</v>
      </c>
      <c r="C73" s="146">
        <v>6288319</v>
      </c>
      <c r="D73" s="146">
        <v>6601591</v>
      </c>
      <c r="E73" s="146">
        <f t="shared" si="2"/>
        <v>313272</v>
      </c>
      <c r="F73" s="150">
        <f t="shared" si="3"/>
        <v>4.9818083338329371E-2</v>
      </c>
    </row>
    <row r="74" spans="1:7" ht="15" customHeight="1" x14ac:dyDescent="0.2">
      <c r="A74" s="141">
        <v>13</v>
      </c>
      <c r="B74" s="149" t="s">
        <v>213</v>
      </c>
      <c r="C74" s="146">
        <v>316231</v>
      </c>
      <c r="D74" s="146">
        <v>377826</v>
      </c>
      <c r="E74" s="146">
        <f t="shared" si="2"/>
        <v>61595</v>
      </c>
      <c r="F74" s="150">
        <f t="shared" si="3"/>
        <v>0.19477850052651385</v>
      </c>
    </row>
    <row r="75" spans="1:7" ht="15" customHeight="1" x14ac:dyDescent="0.2">
      <c r="A75" s="141">
        <v>14</v>
      </c>
      <c r="B75" s="149" t="s">
        <v>214</v>
      </c>
      <c r="C75" s="146">
        <v>540066</v>
      </c>
      <c r="D75" s="146">
        <v>561611</v>
      </c>
      <c r="E75" s="146">
        <f t="shared" si="2"/>
        <v>21545</v>
      </c>
      <c r="F75" s="150">
        <f t="shared" si="3"/>
        <v>3.9893272303755466E-2</v>
      </c>
    </row>
    <row r="76" spans="1:7" ht="15" customHeight="1" x14ac:dyDescent="0.2">
      <c r="A76" s="141">
        <v>15</v>
      </c>
      <c r="B76" s="149" t="s">
        <v>215</v>
      </c>
      <c r="C76" s="146">
        <v>0</v>
      </c>
      <c r="D76" s="146">
        <v>0</v>
      </c>
      <c r="E76" s="146">
        <f t="shared" si="2"/>
        <v>0</v>
      </c>
      <c r="F76" s="150">
        <f t="shared" si="3"/>
        <v>0</v>
      </c>
    </row>
    <row r="77" spans="1:7" ht="15" customHeight="1" x14ac:dyDescent="0.2">
      <c r="A77" s="141">
        <v>16</v>
      </c>
      <c r="B77" s="149" t="s">
        <v>216</v>
      </c>
      <c r="C77" s="146">
        <v>9574624</v>
      </c>
      <c r="D77" s="146">
        <v>10928179</v>
      </c>
      <c r="E77" s="146">
        <f t="shared" si="2"/>
        <v>1353555</v>
      </c>
      <c r="F77" s="150">
        <f t="shared" si="3"/>
        <v>0.14136899788440779</v>
      </c>
    </row>
    <row r="78" spans="1:7" ht="15.75" customHeight="1" x14ac:dyDescent="0.25">
      <c r="A78" s="141"/>
      <c r="B78" s="151" t="s">
        <v>217</v>
      </c>
      <c r="C78" s="147">
        <f>SUM(C62:C77)</f>
        <v>31898499</v>
      </c>
      <c r="D78" s="147">
        <f>SUM(D62:D77)</f>
        <v>33579273</v>
      </c>
      <c r="E78" s="147">
        <f t="shared" si="2"/>
        <v>1680774</v>
      </c>
      <c r="F78" s="148">
        <f t="shared" si="3"/>
        <v>5.269131942540619E-2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11218432</v>
      </c>
      <c r="D81" s="146">
        <v>12652185</v>
      </c>
      <c r="E81" s="146">
        <f>+D81-C81</f>
        <v>1433753</v>
      </c>
      <c r="F81" s="150">
        <f>IF(C81=0,0,E81/C81)</f>
        <v>0.12780333294349869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351055000</v>
      </c>
      <c r="D83" s="147">
        <f>+D81+D78+D59+D50+D47+D44+D41+D35+D30+D24+D18</f>
        <v>350215000</v>
      </c>
      <c r="E83" s="147">
        <f>+D83-C83</f>
        <v>-840000</v>
      </c>
      <c r="F83" s="148">
        <f>IF(C83=0,0,E83/C83)</f>
        <v>-2.3927874549572003E-3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27584359</v>
      </c>
      <c r="D91" s="146">
        <v>24809451</v>
      </c>
      <c r="E91" s="146">
        <f t="shared" ref="E91:E109" si="4">D91-C91</f>
        <v>-2774908</v>
      </c>
      <c r="F91" s="150">
        <f t="shared" ref="F91:F109" si="5">IF(C91=0,0,E91/C91)</f>
        <v>-0.10059715362608208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1875546</v>
      </c>
      <c r="D92" s="146">
        <v>2309585</v>
      </c>
      <c r="E92" s="146">
        <f t="shared" si="4"/>
        <v>434039</v>
      </c>
      <c r="F92" s="150">
        <f t="shared" si="5"/>
        <v>0.23142007714020343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7213846</v>
      </c>
      <c r="D93" s="146">
        <v>7283930</v>
      </c>
      <c r="E93" s="146">
        <f t="shared" si="4"/>
        <v>70084</v>
      </c>
      <c r="F93" s="150">
        <f t="shared" si="5"/>
        <v>9.7152060080018341E-3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1102805</v>
      </c>
      <c r="D94" s="146">
        <v>1052014</v>
      </c>
      <c r="E94" s="146">
        <f t="shared" si="4"/>
        <v>-50791</v>
      </c>
      <c r="F94" s="150">
        <f t="shared" si="5"/>
        <v>-4.6056193071304534E-2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6555976</v>
      </c>
      <c r="D95" s="146">
        <v>6730447</v>
      </c>
      <c r="E95" s="146">
        <f t="shared" si="4"/>
        <v>174471</v>
      </c>
      <c r="F95" s="150">
        <f t="shared" si="5"/>
        <v>2.6612513529640742E-2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38894716</v>
      </c>
      <c r="D97" s="146">
        <v>43072329</v>
      </c>
      <c r="E97" s="146">
        <f t="shared" si="4"/>
        <v>4177613</v>
      </c>
      <c r="F97" s="150">
        <f t="shared" si="5"/>
        <v>0.10740824023499747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3469</v>
      </c>
      <c r="D98" s="146">
        <v>5278</v>
      </c>
      <c r="E98" s="146">
        <f t="shared" si="4"/>
        <v>1809</v>
      </c>
      <c r="F98" s="150">
        <f t="shared" si="5"/>
        <v>0.52147592966272704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269276</v>
      </c>
      <c r="D99" s="146">
        <v>702838</v>
      </c>
      <c r="E99" s="146">
        <f t="shared" si="4"/>
        <v>433562</v>
      </c>
      <c r="F99" s="150">
        <f t="shared" si="5"/>
        <v>1.6101026456126799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3649804</v>
      </c>
      <c r="D100" s="146">
        <v>3878840</v>
      </c>
      <c r="E100" s="146">
        <f t="shared" si="4"/>
        <v>229036</v>
      </c>
      <c r="F100" s="150">
        <f t="shared" si="5"/>
        <v>6.2752958789019903E-2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3290578</v>
      </c>
      <c r="D101" s="146">
        <v>3343629</v>
      </c>
      <c r="E101" s="146">
        <f t="shared" si="4"/>
        <v>53051</v>
      </c>
      <c r="F101" s="150">
        <f t="shared" si="5"/>
        <v>1.6122091620377938E-2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53</v>
      </c>
      <c r="D102" s="146">
        <v>0</v>
      </c>
      <c r="E102" s="146">
        <f t="shared" si="4"/>
        <v>-53</v>
      </c>
      <c r="F102" s="150">
        <f t="shared" si="5"/>
        <v>-1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6001462</v>
      </c>
      <c r="D103" s="146">
        <v>5345701</v>
      </c>
      <c r="E103" s="146">
        <f t="shared" si="4"/>
        <v>-655761</v>
      </c>
      <c r="F103" s="150">
        <f t="shared" si="5"/>
        <v>-0.10926687530471742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1652654</v>
      </c>
      <c r="D104" s="146">
        <v>1727240</v>
      </c>
      <c r="E104" s="146">
        <f t="shared" si="4"/>
        <v>74586</v>
      </c>
      <c r="F104" s="150">
        <f t="shared" si="5"/>
        <v>4.5131043763546395E-2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5147421</v>
      </c>
      <c r="D105" s="146">
        <v>5310277</v>
      </c>
      <c r="E105" s="146">
        <f t="shared" si="4"/>
        <v>162856</v>
      </c>
      <c r="F105" s="150">
        <f t="shared" si="5"/>
        <v>3.1638368029349065E-2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2706120</v>
      </c>
      <c r="D106" s="146">
        <v>2292223</v>
      </c>
      <c r="E106" s="146">
        <f t="shared" si="4"/>
        <v>-413897</v>
      </c>
      <c r="F106" s="150">
        <f t="shared" si="5"/>
        <v>-0.15294850191417972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12414482</v>
      </c>
      <c r="D107" s="146">
        <v>12697313</v>
      </c>
      <c r="E107" s="146">
        <f t="shared" si="4"/>
        <v>282831</v>
      </c>
      <c r="F107" s="150">
        <f t="shared" si="5"/>
        <v>2.2782344039807702E-2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33341690</v>
      </c>
      <c r="D108" s="146">
        <v>34831818</v>
      </c>
      <c r="E108" s="146">
        <f t="shared" si="4"/>
        <v>1490128</v>
      </c>
      <c r="F108" s="150">
        <f t="shared" si="5"/>
        <v>4.4692635556266042E-2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151704257</v>
      </c>
      <c r="D109" s="147">
        <f>SUM(D91:D108)</f>
        <v>155392913</v>
      </c>
      <c r="E109" s="147">
        <f t="shared" si="4"/>
        <v>3688656</v>
      </c>
      <c r="F109" s="148">
        <f t="shared" si="5"/>
        <v>2.4314782412467172E-2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0</v>
      </c>
      <c r="D112" s="146">
        <v>0</v>
      </c>
      <c r="E112" s="146">
        <f t="shared" ref="E112:E118" si="6">D112-C112</f>
        <v>0</v>
      </c>
      <c r="F112" s="150">
        <f t="shared" ref="F112:F118" si="7">IF(C112=0,0,E112/C112)</f>
        <v>0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2700797</v>
      </c>
      <c r="D114" s="146">
        <v>2785943</v>
      </c>
      <c r="E114" s="146">
        <f t="shared" si="6"/>
        <v>85146</v>
      </c>
      <c r="F114" s="150">
        <f t="shared" si="7"/>
        <v>3.1526249473766449E-2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2630522</v>
      </c>
      <c r="D115" s="146">
        <v>2750924</v>
      </c>
      <c r="E115" s="146">
        <f t="shared" si="6"/>
        <v>120402</v>
      </c>
      <c r="F115" s="150">
        <f t="shared" si="7"/>
        <v>4.5771143522084209E-2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2417960</v>
      </c>
      <c r="D116" s="146">
        <v>2392870</v>
      </c>
      <c r="E116" s="146">
        <f t="shared" si="6"/>
        <v>-25090</v>
      </c>
      <c r="F116" s="150">
        <f t="shared" si="7"/>
        <v>-1.0376515740541613E-2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7749279</v>
      </c>
      <c r="D118" s="147">
        <f>SUM(D112:D117)</f>
        <v>7929737</v>
      </c>
      <c r="E118" s="147">
        <f t="shared" si="6"/>
        <v>180458</v>
      </c>
      <c r="F118" s="148">
        <f t="shared" si="7"/>
        <v>2.3287069674481974E-2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22204008</v>
      </c>
      <c r="D121" s="146">
        <v>22626350</v>
      </c>
      <c r="E121" s="146">
        <f t="shared" ref="E121:E155" si="8">D121-C121</f>
        <v>422342</v>
      </c>
      <c r="F121" s="150">
        <f t="shared" ref="F121:F155" si="9">IF(C121=0,0,E121/C121)</f>
        <v>1.902098035633927E-2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1432159</v>
      </c>
      <c r="D122" s="146">
        <v>1490518</v>
      </c>
      <c r="E122" s="146">
        <f t="shared" si="8"/>
        <v>58359</v>
      </c>
      <c r="F122" s="150">
        <f t="shared" si="9"/>
        <v>4.0748967118874373E-2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2403919</v>
      </c>
      <c r="D123" s="146">
        <v>2090207</v>
      </c>
      <c r="E123" s="146">
        <f t="shared" si="8"/>
        <v>-313712</v>
      </c>
      <c r="F123" s="150">
        <f t="shared" si="9"/>
        <v>-0.13050023732080823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3873868</v>
      </c>
      <c r="D124" s="146">
        <v>3758394</v>
      </c>
      <c r="E124" s="146">
        <f t="shared" si="8"/>
        <v>-115474</v>
      </c>
      <c r="F124" s="150">
        <f t="shared" si="9"/>
        <v>-2.9808449849091399E-2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5175499</v>
      </c>
      <c r="D125" s="146">
        <v>5062625</v>
      </c>
      <c r="E125" s="146">
        <f t="shared" si="8"/>
        <v>-112874</v>
      </c>
      <c r="F125" s="150">
        <f t="shared" si="9"/>
        <v>-2.180929800198976E-2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1286104</v>
      </c>
      <c r="D126" s="146">
        <v>1181133</v>
      </c>
      <c r="E126" s="146">
        <f t="shared" si="8"/>
        <v>-104971</v>
      </c>
      <c r="F126" s="150">
        <f t="shared" si="9"/>
        <v>-8.161937137276612E-2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1477774</v>
      </c>
      <c r="D127" s="146">
        <v>3490957</v>
      </c>
      <c r="E127" s="146">
        <f t="shared" si="8"/>
        <v>2013183</v>
      </c>
      <c r="F127" s="150">
        <f t="shared" si="9"/>
        <v>1.3623077683055731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672676</v>
      </c>
      <c r="D128" s="146">
        <v>752522</v>
      </c>
      <c r="E128" s="146">
        <f t="shared" si="8"/>
        <v>79846</v>
      </c>
      <c r="F128" s="150">
        <f t="shared" si="9"/>
        <v>0.11869904679221498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1106710</v>
      </c>
      <c r="D129" s="146">
        <v>1003518</v>
      </c>
      <c r="E129" s="146">
        <f t="shared" si="8"/>
        <v>-103192</v>
      </c>
      <c r="F129" s="150">
        <f t="shared" si="9"/>
        <v>-9.324213208518943E-2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12068330</v>
      </c>
      <c r="D130" s="146">
        <v>11680412</v>
      </c>
      <c r="E130" s="146">
        <f t="shared" si="8"/>
        <v>-387918</v>
      </c>
      <c r="F130" s="150">
        <f t="shared" si="9"/>
        <v>-3.2143469726134438E-2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9527659</v>
      </c>
      <c r="D132" s="146">
        <v>9612376</v>
      </c>
      <c r="E132" s="146">
        <f t="shared" si="8"/>
        <v>84717</v>
      </c>
      <c r="F132" s="150">
        <f t="shared" si="9"/>
        <v>8.8916910229469796E-3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1407814</v>
      </c>
      <c r="D133" s="146">
        <v>1378621</v>
      </c>
      <c r="E133" s="146">
        <f t="shared" si="8"/>
        <v>-29193</v>
      </c>
      <c r="F133" s="150">
        <f t="shared" si="9"/>
        <v>-2.0736404098836921E-2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119217</v>
      </c>
      <c r="D134" s="146">
        <v>124038</v>
      </c>
      <c r="E134" s="146">
        <f t="shared" si="8"/>
        <v>4821</v>
      </c>
      <c r="F134" s="150">
        <f t="shared" si="9"/>
        <v>4.0438863584891419E-2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2654465</v>
      </c>
      <c r="D138" s="146">
        <v>2570754</v>
      </c>
      <c r="E138" s="146">
        <f t="shared" si="8"/>
        <v>-83711</v>
      </c>
      <c r="F138" s="150">
        <f t="shared" si="9"/>
        <v>-3.1535921551047008E-2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233168</v>
      </c>
      <c r="D139" s="146">
        <v>260442</v>
      </c>
      <c r="E139" s="146">
        <f t="shared" si="8"/>
        <v>27274</v>
      </c>
      <c r="F139" s="150">
        <f t="shared" si="9"/>
        <v>0.116971454058876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1482524</v>
      </c>
      <c r="D142" s="146">
        <v>1791128</v>
      </c>
      <c r="E142" s="146">
        <f t="shared" si="8"/>
        <v>308604</v>
      </c>
      <c r="F142" s="150">
        <f t="shared" si="9"/>
        <v>0.20816121695163115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631139</v>
      </c>
      <c r="D143" s="146">
        <v>640297</v>
      </c>
      <c r="E143" s="146">
        <f t="shared" si="8"/>
        <v>9158</v>
      </c>
      <c r="F143" s="150">
        <f t="shared" si="9"/>
        <v>1.4510274281893529E-2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15151233</v>
      </c>
      <c r="D144" s="146">
        <v>14689443</v>
      </c>
      <c r="E144" s="146">
        <f t="shared" si="8"/>
        <v>-461790</v>
      </c>
      <c r="F144" s="150">
        <f t="shared" si="9"/>
        <v>-3.0478707574492451E-2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0</v>
      </c>
      <c r="D145" s="146">
        <v>0</v>
      </c>
      <c r="E145" s="146">
        <f t="shared" si="8"/>
        <v>0</v>
      </c>
      <c r="F145" s="150">
        <f t="shared" si="9"/>
        <v>0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216842</v>
      </c>
      <c r="D146" s="146">
        <v>213512</v>
      </c>
      <c r="E146" s="146">
        <f t="shared" si="8"/>
        <v>-3330</v>
      </c>
      <c r="F146" s="150">
        <f t="shared" si="9"/>
        <v>-1.535680357126387E-2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2460268</v>
      </c>
      <c r="D148" s="146">
        <v>2379780</v>
      </c>
      <c r="E148" s="146">
        <f t="shared" si="8"/>
        <v>-80488</v>
      </c>
      <c r="F148" s="150">
        <f t="shared" si="9"/>
        <v>-3.2715135099103024E-2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5220667</v>
      </c>
      <c r="D152" s="146">
        <v>5228034</v>
      </c>
      <c r="E152" s="146">
        <f t="shared" si="8"/>
        <v>7367</v>
      </c>
      <c r="F152" s="150">
        <f t="shared" si="9"/>
        <v>1.4111223719114818E-3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90806043</v>
      </c>
      <c r="D155" s="147">
        <f>SUM(D121:D154)</f>
        <v>92025061</v>
      </c>
      <c r="E155" s="147">
        <f t="shared" si="8"/>
        <v>1219018</v>
      </c>
      <c r="F155" s="148">
        <f t="shared" si="9"/>
        <v>1.3424414936790054E-2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41416122</v>
      </c>
      <c r="D158" s="146">
        <v>37832678</v>
      </c>
      <c r="E158" s="146">
        <f t="shared" ref="E158:E171" si="10">D158-C158</f>
        <v>-3583444</v>
      </c>
      <c r="F158" s="150">
        <f t="shared" ref="F158:F171" si="11">IF(C158=0,0,E158/C158)</f>
        <v>-8.6522924575120772E-2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3170841</v>
      </c>
      <c r="D159" s="146">
        <v>3288620</v>
      </c>
      <c r="E159" s="146">
        <f t="shared" si="10"/>
        <v>117779</v>
      </c>
      <c r="F159" s="150">
        <f t="shared" si="11"/>
        <v>3.714440427634183E-2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2588256</v>
      </c>
      <c r="D161" s="146">
        <v>2133117</v>
      </c>
      <c r="E161" s="146">
        <f t="shared" si="10"/>
        <v>-455139</v>
      </c>
      <c r="F161" s="150">
        <f t="shared" si="11"/>
        <v>-0.17584775230889063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0</v>
      </c>
      <c r="D163" s="146">
        <v>0</v>
      </c>
      <c r="E163" s="146">
        <f t="shared" si="10"/>
        <v>0</v>
      </c>
      <c r="F163" s="150">
        <f t="shared" si="11"/>
        <v>0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2611608</v>
      </c>
      <c r="D165" s="146">
        <v>2392263</v>
      </c>
      <c r="E165" s="146">
        <f t="shared" si="10"/>
        <v>-219345</v>
      </c>
      <c r="F165" s="150">
        <f t="shared" si="11"/>
        <v>-8.3988485255061252E-2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1776814</v>
      </c>
      <c r="D166" s="146">
        <v>1422317</v>
      </c>
      <c r="E166" s="146">
        <f t="shared" si="10"/>
        <v>-354497</v>
      </c>
      <c r="F166" s="150">
        <f t="shared" si="11"/>
        <v>-0.19951272333513806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8175815</v>
      </c>
      <c r="D167" s="146">
        <v>8425936</v>
      </c>
      <c r="E167" s="146">
        <f t="shared" si="10"/>
        <v>250121</v>
      </c>
      <c r="F167" s="150">
        <f t="shared" si="11"/>
        <v>3.0592791055081357E-2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2053423</v>
      </c>
      <c r="D169" s="146">
        <v>2091121</v>
      </c>
      <c r="E169" s="146">
        <f t="shared" si="10"/>
        <v>37698</v>
      </c>
      <c r="F169" s="150">
        <f t="shared" si="11"/>
        <v>1.8358613885205339E-2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4267770</v>
      </c>
      <c r="D170" s="146">
        <v>1925662</v>
      </c>
      <c r="E170" s="146">
        <f t="shared" si="10"/>
        <v>-2342108</v>
      </c>
      <c r="F170" s="150">
        <f t="shared" si="11"/>
        <v>-0.54878964892672288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66060649</v>
      </c>
      <c r="D171" s="147">
        <f>SUM(D158:D170)</f>
        <v>59511714</v>
      </c>
      <c r="E171" s="147">
        <f t="shared" si="10"/>
        <v>-6548935</v>
      </c>
      <c r="F171" s="148">
        <f t="shared" si="11"/>
        <v>-9.9135190149282362E-2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34734772</v>
      </c>
      <c r="D174" s="146">
        <v>35355575</v>
      </c>
      <c r="E174" s="146">
        <f>D174-C174</f>
        <v>620803</v>
      </c>
      <c r="F174" s="150">
        <f>IF(C174=0,0,E174/C174)</f>
        <v>1.7872666617762743E-2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351055000</v>
      </c>
      <c r="D176" s="147">
        <f>+D174+D171+D155+D118+D109</f>
        <v>350215000</v>
      </c>
      <c r="E176" s="147">
        <f>D176-C176</f>
        <v>-840000</v>
      </c>
      <c r="F176" s="148">
        <f>IF(C176=0,0,E176/C176)</f>
        <v>-2.3927874549572003E-3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FILING&amp;RBRIDGEPORT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326474000</v>
      </c>
      <c r="D11" s="164">
        <v>349484000</v>
      </c>
      <c r="E11" s="51">
        <v>359062000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11032000</v>
      </c>
      <c r="D12" s="49">
        <v>6311000</v>
      </c>
      <c r="E12" s="49">
        <v>6954000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337506000</v>
      </c>
      <c r="D13" s="51">
        <f>+D11+D12</f>
        <v>355795000</v>
      </c>
      <c r="E13" s="51">
        <f>+E11+E12</f>
        <v>366016000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333509000</v>
      </c>
      <c r="D14" s="49">
        <v>351055000</v>
      </c>
      <c r="E14" s="49">
        <v>350215000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3997000</v>
      </c>
      <c r="D15" s="51">
        <f>+D13-D14</f>
        <v>4740000</v>
      </c>
      <c r="E15" s="51">
        <f>+E13-E14</f>
        <v>15801000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-5238000</v>
      </c>
      <c r="D16" s="49">
        <v>-3150000</v>
      </c>
      <c r="E16" s="49">
        <v>1766000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-1241000</v>
      </c>
      <c r="D17" s="51">
        <f>D15+D16</f>
        <v>1590000</v>
      </c>
      <c r="E17" s="51">
        <f>E15+E16</f>
        <v>17567000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1.2029446109766815E-2</v>
      </c>
      <c r="D20" s="169">
        <f>IF(+D27=0,0,+D24/+D27)</f>
        <v>1.3441279473691673E-2</v>
      </c>
      <c r="E20" s="169">
        <f>IF(+E27=0,0,+E24/+E27)</f>
        <v>4.296295087850955E-2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-1.5764382967965618E-2</v>
      </c>
      <c r="D21" s="169">
        <f>IF(D27=0,0,+D26/D27)</f>
        <v>-8.9324958527697822E-3</v>
      </c>
      <c r="E21" s="169">
        <f>IF(E27=0,0,+E26/E27)</f>
        <v>4.8017575629041116E-3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-3.7349368581988036E-3</v>
      </c>
      <c r="D22" s="169">
        <f>IF(D27=0,0,+D28/D27)</f>
        <v>4.50878362092189E-3</v>
      </c>
      <c r="E22" s="169">
        <f>IF(E27=0,0,+E28/E27)</f>
        <v>4.7764708441413666E-2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3997000</v>
      </c>
      <c r="D24" s="51">
        <f>+D15</f>
        <v>4740000</v>
      </c>
      <c r="E24" s="51">
        <f>+E15</f>
        <v>15801000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337506000</v>
      </c>
      <c r="D25" s="51">
        <f>+D13</f>
        <v>355795000</v>
      </c>
      <c r="E25" s="51">
        <f>+E13</f>
        <v>366016000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-5238000</v>
      </c>
      <c r="D26" s="51">
        <f>+D16</f>
        <v>-3150000</v>
      </c>
      <c r="E26" s="51">
        <f>+E16</f>
        <v>1766000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332268000</v>
      </c>
      <c r="D27" s="51">
        <f>+D25+D26</f>
        <v>352645000</v>
      </c>
      <c r="E27" s="51">
        <f>+E25+E26</f>
        <v>367782000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-1241000</v>
      </c>
      <c r="D28" s="51">
        <f>+D17</f>
        <v>1590000</v>
      </c>
      <c r="E28" s="51">
        <f>+E17</f>
        <v>17567000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108789000</v>
      </c>
      <c r="D31" s="51">
        <v>49998000</v>
      </c>
      <c r="E31" s="51">
        <v>62529000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148597000</v>
      </c>
      <c r="D32" s="51">
        <v>88852000</v>
      </c>
      <c r="E32" s="51">
        <v>103099000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1413000</v>
      </c>
      <c r="D33" s="51">
        <f>+D32-C32</f>
        <v>-59745000</v>
      </c>
      <c r="E33" s="51">
        <f>+E32-D32</f>
        <v>14247000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1.0096000000000001</v>
      </c>
      <c r="D34" s="171">
        <f>IF(C32=0,0,+D33/C32)</f>
        <v>-0.40206060687631651</v>
      </c>
      <c r="E34" s="171">
        <f>IF(D32=0,0,+E33/D32)</f>
        <v>0.16034529329671815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0.31834756375868739</v>
      </c>
      <c r="D38" s="172">
        <f>IF((D40+D41)=0,0,+D39/(D40+D41))</f>
        <v>0.31568957029967487</v>
      </c>
      <c r="E38" s="172">
        <f>IF((E40+E41)=0,0,+E39/(E40+E41))</f>
        <v>0.29394796077716007</v>
      </c>
      <c r="F38" s="5"/>
    </row>
    <row r="39" spans="1:6" ht="24" customHeight="1" x14ac:dyDescent="0.2">
      <c r="A39" s="21">
        <v>2</v>
      </c>
      <c r="B39" s="48" t="s">
        <v>324</v>
      </c>
      <c r="C39" s="51">
        <v>333443334</v>
      </c>
      <c r="D39" s="51">
        <v>351055000</v>
      </c>
      <c r="E39" s="23">
        <v>350215000</v>
      </c>
      <c r="F39" s="5"/>
    </row>
    <row r="40" spans="1:6" ht="24" customHeight="1" x14ac:dyDescent="0.2">
      <c r="A40" s="21">
        <v>3</v>
      </c>
      <c r="B40" s="48" t="s">
        <v>325</v>
      </c>
      <c r="C40" s="51">
        <v>1040100488</v>
      </c>
      <c r="D40" s="51">
        <v>1105534503</v>
      </c>
      <c r="E40" s="23">
        <v>1185589696</v>
      </c>
      <c r="F40" s="5"/>
    </row>
    <row r="41" spans="1:6" ht="24" customHeight="1" x14ac:dyDescent="0.2">
      <c r="A41" s="21">
        <v>4</v>
      </c>
      <c r="B41" s="48" t="s">
        <v>326</v>
      </c>
      <c r="C41" s="51">
        <v>7318660</v>
      </c>
      <c r="D41" s="51">
        <v>6491465</v>
      </c>
      <c r="E41" s="23">
        <v>5828673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1.1713133925170591</v>
      </c>
      <c r="D43" s="173">
        <f>IF(D38=0,0,IF((D46-D47)=0,0,((+D44-D45)/(D46-D47)/D38)))</f>
        <v>1.220500221610795</v>
      </c>
      <c r="E43" s="173">
        <f>IF(E38=0,0,IF((E46-E47)=0,0,((+E44-E45)/(E46-E47)/E38)))</f>
        <v>1.3936717370552669</v>
      </c>
      <c r="F43" s="5"/>
    </row>
    <row r="44" spans="1:6" ht="24" customHeight="1" x14ac:dyDescent="0.2">
      <c r="A44" s="21">
        <v>6</v>
      </c>
      <c r="B44" s="48" t="s">
        <v>328</v>
      </c>
      <c r="C44" s="51">
        <v>133313695</v>
      </c>
      <c r="D44" s="51">
        <v>140527189</v>
      </c>
      <c r="E44" s="23">
        <v>152671902</v>
      </c>
      <c r="F44" s="5"/>
    </row>
    <row r="45" spans="1:6" ht="24" customHeight="1" x14ac:dyDescent="0.2">
      <c r="A45" s="21">
        <v>7</v>
      </c>
      <c r="B45" s="48" t="s">
        <v>329</v>
      </c>
      <c r="C45" s="51">
        <v>4002244</v>
      </c>
      <c r="D45" s="51">
        <v>2775269</v>
      </c>
      <c r="E45" s="23">
        <v>3288819</v>
      </c>
      <c r="F45" s="5"/>
    </row>
    <row r="46" spans="1:6" ht="24" customHeight="1" x14ac:dyDescent="0.2">
      <c r="A46" s="21">
        <v>8</v>
      </c>
      <c r="B46" s="48" t="s">
        <v>330</v>
      </c>
      <c r="C46" s="51">
        <v>388780108</v>
      </c>
      <c r="D46" s="51">
        <v>402183381</v>
      </c>
      <c r="E46" s="23">
        <v>405205641</v>
      </c>
      <c r="F46" s="5"/>
    </row>
    <row r="47" spans="1:6" ht="24" customHeight="1" x14ac:dyDescent="0.2">
      <c r="A47" s="21">
        <v>9</v>
      </c>
      <c r="B47" s="48" t="s">
        <v>331</v>
      </c>
      <c r="C47" s="51">
        <v>41993478</v>
      </c>
      <c r="D47" s="51">
        <v>44664021</v>
      </c>
      <c r="E47" s="174">
        <v>40560464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1.0372206518987581</v>
      </c>
      <c r="D49" s="175">
        <f>IF(D38=0,0,IF(D51=0,0,(D50/D51)/D38))</f>
        <v>1.0234619695928417</v>
      </c>
      <c r="E49" s="175">
        <f>IF(E38=0,0,IF(E51=0,0,(E50/E51)/E38))</f>
        <v>0.95355166440023587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135279861</v>
      </c>
      <c r="D50" s="176">
        <v>136815629</v>
      </c>
      <c r="E50" s="176">
        <v>131046933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409694810</v>
      </c>
      <c r="D51" s="176">
        <v>423451590</v>
      </c>
      <c r="E51" s="176">
        <v>467532904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0.80523565805186681</v>
      </c>
      <c r="D53" s="175">
        <f>IF(D38=0,0,IF(D55=0,0,(D54/D55)/D38))</f>
        <v>0.77321463944798674</v>
      </c>
      <c r="E53" s="175">
        <f>IF(E38=0,0,IF(E55=0,0,(E54/E55)/E38))</f>
        <v>0.71770882656353041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51526264</v>
      </c>
      <c r="D54" s="176">
        <v>55860939</v>
      </c>
      <c r="E54" s="176">
        <v>59364198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201003734</v>
      </c>
      <c r="D55" s="176">
        <v>228848426</v>
      </c>
      <c r="E55" s="176">
        <v>281388190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14002199.244362107</v>
      </c>
      <c r="D57" s="53">
        <f>+D60*D38</f>
        <v>15245620.095199971</v>
      </c>
      <c r="E57" s="53">
        <f>+E60*E38</f>
        <v>11054283.145507723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11818000</v>
      </c>
      <c r="D58" s="51">
        <v>15999852</v>
      </c>
      <c r="E58" s="52">
        <v>12024692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32166000</v>
      </c>
      <c r="D59" s="51">
        <v>32293223</v>
      </c>
      <c r="E59" s="52">
        <v>25581567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43984000</v>
      </c>
      <c r="D60" s="51">
        <v>48293075</v>
      </c>
      <c r="E60" s="52">
        <v>37606259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4.1992740044886026E-2</v>
      </c>
      <c r="D62" s="178">
        <f>IF(D63=0,0,+D57/D63)</f>
        <v>4.3428010127187965E-2</v>
      </c>
      <c r="E62" s="178">
        <f>IF(E63=0,0,+E57/E63)</f>
        <v>3.1564276645796793E-2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333443334</v>
      </c>
      <c r="D63" s="176">
        <v>351055000</v>
      </c>
      <c r="E63" s="176">
        <v>350215000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1.4838377387255608</v>
      </c>
      <c r="D67" s="179">
        <f>IF(D69=0,0,D68/D69)</f>
        <v>1.6298592276895261</v>
      </c>
      <c r="E67" s="179">
        <f>IF(E69=0,0,E68/E69)</f>
        <v>1.9502528700267292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72024000</v>
      </c>
      <c r="D68" s="180">
        <v>75720000</v>
      </c>
      <c r="E68" s="180">
        <v>101419000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48539000</v>
      </c>
      <c r="D69" s="180">
        <v>46458000</v>
      </c>
      <c r="E69" s="180">
        <v>52003000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27.108187134502923</v>
      </c>
      <c r="D71" s="181">
        <f>IF((D77/365)=0,0,+D74/(D77/365))</f>
        <v>36.239186011147481</v>
      </c>
      <c r="E71" s="181">
        <f>IF((E77/365)=0,0,+E74/(E77/365))</f>
        <v>68.100644614028695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23495000</v>
      </c>
      <c r="D72" s="182">
        <v>32972000</v>
      </c>
      <c r="E72" s="182">
        <v>44477000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17550000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23495000</v>
      </c>
      <c r="D74" s="180">
        <f>+D72+D73</f>
        <v>32972000</v>
      </c>
      <c r="E74" s="180">
        <f>+E72+E73</f>
        <v>62027000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333509000</v>
      </c>
      <c r="D75" s="180">
        <f>+D14</f>
        <v>351055000</v>
      </c>
      <c r="E75" s="180">
        <f>+E14</f>
        <v>350215000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17159000</v>
      </c>
      <c r="D76" s="180">
        <v>18962000</v>
      </c>
      <c r="E76" s="180">
        <v>17768000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316350000</v>
      </c>
      <c r="D77" s="180">
        <f>+D75-D76</f>
        <v>332093000</v>
      </c>
      <c r="E77" s="180">
        <f>+E75-E76</f>
        <v>332447000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43.153926499506852</v>
      </c>
      <c r="D79" s="179">
        <f>IF((D84/365)=0,0,+D83/(D84/365))</f>
        <v>36.154931270101066</v>
      </c>
      <c r="E79" s="179">
        <f>IF((E84/365)=0,0,+E83/(E84/365))</f>
        <v>28.15808968924587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34402000</v>
      </c>
      <c r="D80" s="189">
        <v>33101000</v>
      </c>
      <c r="E80" s="189">
        <v>29146000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4197000</v>
      </c>
      <c r="D81" s="190">
        <v>1517000</v>
      </c>
      <c r="E81" s="190">
        <v>1411000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0</v>
      </c>
      <c r="E82" s="190">
        <v>2857000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38599000</v>
      </c>
      <c r="D83" s="191">
        <f>+D80+D81-D82</f>
        <v>34618000</v>
      </c>
      <c r="E83" s="191">
        <f>+E80+E81-E82</f>
        <v>27700000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326474000</v>
      </c>
      <c r="D84" s="191">
        <f>+D11</f>
        <v>349484000</v>
      </c>
      <c r="E84" s="191">
        <f>+E11</f>
        <v>359062000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56.003587798324638</v>
      </c>
      <c r="D86" s="179">
        <f>IF((D90/365)=0,0,+D87/(D90/365))</f>
        <v>51.061509878256999</v>
      </c>
      <c r="E86" s="179">
        <f>IF((E90/365)=0,0,+E87/(E90/365))</f>
        <v>57.095100873221895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48539000</v>
      </c>
      <c r="D87" s="51">
        <f>+D69</f>
        <v>46458000</v>
      </c>
      <c r="E87" s="51">
        <f>+E69</f>
        <v>52003000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333509000</v>
      </c>
      <c r="D88" s="51">
        <f t="shared" si="0"/>
        <v>351055000</v>
      </c>
      <c r="E88" s="51">
        <f t="shared" si="0"/>
        <v>350215000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17159000</v>
      </c>
      <c r="D89" s="52">
        <f t="shared" si="0"/>
        <v>18962000</v>
      </c>
      <c r="E89" s="52">
        <f t="shared" si="0"/>
        <v>17768000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316350000</v>
      </c>
      <c r="D90" s="51">
        <f>+D88-D89</f>
        <v>332093000</v>
      </c>
      <c r="E90" s="51">
        <f>+E88-E89</f>
        <v>332447000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51.509972892589481</v>
      </c>
      <c r="D94" s="192">
        <f>IF(D96=0,0,(D95/D96)*100)</f>
        <v>31.978981086577047</v>
      </c>
      <c r="E94" s="192">
        <f>IF(E96=0,0,(E95/E96)*100)</f>
        <v>34.566704999983237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148597000</v>
      </c>
      <c r="D95" s="51">
        <f>+D32</f>
        <v>88852000</v>
      </c>
      <c r="E95" s="51">
        <f>+E32</f>
        <v>103099000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288482000</v>
      </c>
      <c r="D96" s="51">
        <v>277845000</v>
      </c>
      <c r="E96" s="51">
        <v>298261000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15.696057743506813</v>
      </c>
      <c r="D98" s="192">
        <f>IF(D104=0,0,(D101/D104)*100)</f>
        <v>21.286821063098149</v>
      </c>
      <c r="E98" s="192">
        <f>IF(E104=0,0,(E101/E104)*100)</f>
        <v>35.638641223221853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-1241000</v>
      </c>
      <c r="D99" s="51">
        <f>+D28</f>
        <v>1590000</v>
      </c>
      <c r="E99" s="51">
        <f>+E28</f>
        <v>17567000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17159000</v>
      </c>
      <c r="D100" s="52">
        <f>+D76</f>
        <v>18962000</v>
      </c>
      <c r="E100" s="52">
        <f>+E76</f>
        <v>17768000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15918000</v>
      </c>
      <c r="D101" s="51">
        <f>+D99+D100</f>
        <v>20552000</v>
      </c>
      <c r="E101" s="51">
        <f>+E99+E100</f>
        <v>35335000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48539000</v>
      </c>
      <c r="D102" s="180">
        <f>+D69</f>
        <v>46458000</v>
      </c>
      <c r="E102" s="180">
        <f>+E69</f>
        <v>52003000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52875000</v>
      </c>
      <c r="D103" s="194">
        <v>50090000</v>
      </c>
      <c r="E103" s="194">
        <v>47145000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101414000</v>
      </c>
      <c r="D104" s="180">
        <f>+D102+D103</f>
        <v>96548000</v>
      </c>
      <c r="E104" s="180">
        <f>+E102+E103</f>
        <v>99148000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26.2443416454892</v>
      </c>
      <c r="D106" s="197">
        <f>IF(D109=0,0,(D107/D109)*100)</f>
        <v>36.051014092211133</v>
      </c>
      <c r="E106" s="197">
        <f>IF(E109=0,0,(E107/E109)*100)</f>
        <v>31.378956896781236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52875000</v>
      </c>
      <c r="D107" s="180">
        <f>+D103</f>
        <v>50090000</v>
      </c>
      <c r="E107" s="180">
        <f>+E103</f>
        <v>47145000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148597000</v>
      </c>
      <c r="D108" s="180">
        <f>+D32</f>
        <v>88852000</v>
      </c>
      <c r="E108" s="180">
        <f>+E32</f>
        <v>103099000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201472000</v>
      </c>
      <c r="D109" s="180">
        <f>+D107+D108</f>
        <v>138942000</v>
      </c>
      <c r="E109" s="180">
        <f>+E107+E108</f>
        <v>150244000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5.5701981050818263</v>
      </c>
      <c r="D111" s="197">
        <f>IF((+D113+D115)=0,0,((+D112+D113+D114)/(+D113+D115)))</f>
        <v>3.9619683069224352</v>
      </c>
      <c r="E111" s="197">
        <f>IF((+E113+E115)=0,0,((+E112+E113+E114)/(+E113+E115)))</f>
        <v>6.5698151950718682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-1241000</v>
      </c>
      <c r="D112" s="180">
        <f>+D17</f>
        <v>1590000</v>
      </c>
      <c r="E112" s="180">
        <f>+E17</f>
        <v>17567000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3483000</v>
      </c>
      <c r="D113" s="180">
        <v>3200000</v>
      </c>
      <c r="E113" s="180">
        <v>3059000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17159000</v>
      </c>
      <c r="D114" s="180">
        <v>18962000</v>
      </c>
      <c r="E114" s="180">
        <v>17768000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2795000</v>
      </c>
      <c r="E115" s="180">
        <v>2785000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14.125939740078094</v>
      </c>
      <c r="D119" s="197">
        <f>IF(+D121=0,0,(+D120)/(+D121))</f>
        <v>13.716802025102837</v>
      </c>
      <c r="E119" s="197">
        <f>IF(+E121=0,0,(+E120)/(+E121))</f>
        <v>14.004952723998199</v>
      </c>
    </row>
    <row r="120" spans="1:8" ht="24" customHeight="1" x14ac:dyDescent="0.25">
      <c r="A120" s="17">
        <v>21</v>
      </c>
      <c r="B120" s="48" t="s">
        <v>369</v>
      </c>
      <c r="C120" s="180">
        <v>242387000</v>
      </c>
      <c r="D120" s="180">
        <v>260098000</v>
      </c>
      <c r="E120" s="180">
        <v>248840000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17159000</v>
      </c>
      <c r="D121" s="180">
        <v>18962000</v>
      </c>
      <c r="E121" s="180">
        <v>17768000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106845</v>
      </c>
      <c r="D124" s="198">
        <v>103601</v>
      </c>
      <c r="E124" s="198">
        <v>104729</v>
      </c>
    </row>
    <row r="125" spans="1:8" ht="24" customHeight="1" x14ac:dyDescent="0.2">
      <c r="A125" s="44">
        <v>2</v>
      </c>
      <c r="B125" s="48" t="s">
        <v>373</v>
      </c>
      <c r="C125" s="198">
        <v>20022</v>
      </c>
      <c r="D125" s="198">
        <v>19808</v>
      </c>
      <c r="E125" s="198">
        <v>19044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5.3363799820197784</v>
      </c>
      <c r="D126" s="199">
        <f>IF(D125=0,0,D124/D125)</f>
        <v>5.2302605008077547</v>
      </c>
      <c r="E126" s="199">
        <f>IF(E125=0,0,E124/E125)</f>
        <v>5.4993173703003571</v>
      </c>
    </row>
    <row r="127" spans="1:8" ht="24" customHeight="1" x14ac:dyDescent="0.2">
      <c r="A127" s="44">
        <v>4</v>
      </c>
      <c r="B127" s="48" t="s">
        <v>375</v>
      </c>
      <c r="C127" s="198">
        <v>302</v>
      </c>
      <c r="D127" s="198">
        <v>288</v>
      </c>
      <c r="E127" s="198">
        <v>290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377</v>
      </c>
      <c r="E128" s="198">
        <v>397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425</v>
      </c>
      <c r="D129" s="198">
        <v>425</v>
      </c>
      <c r="E129" s="198">
        <v>425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0.96919999999999995</v>
      </c>
      <c r="D130" s="171">
        <v>0.98550000000000004</v>
      </c>
      <c r="E130" s="171">
        <v>0.98939999999999995</v>
      </c>
    </row>
    <row r="131" spans="1:8" ht="24" customHeight="1" x14ac:dyDescent="0.2">
      <c r="A131" s="44">
        <v>7</v>
      </c>
      <c r="B131" s="48" t="s">
        <v>379</v>
      </c>
      <c r="C131" s="171">
        <v>0.75249999999999995</v>
      </c>
      <c r="D131" s="171">
        <v>0.75280000000000002</v>
      </c>
      <c r="E131" s="171">
        <v>0.72270000000000001</v>
      </c>
    </row>
    <row r="132" spans="1:8" ht="24" customHeight="1" x14ac:dyDescent="0.2">
      <c r="A132" s="44">
        <v>8</v>
      </c>
      <c r="B132" s="48" t="s">
        <v>380</v>
      </c>
      <c r="C132" s="199">
        <v>2079.8000000000002</v>
      </c>
      <c r="D132" s="199">
        <v>2039.5</v>
      </c>
      <c r="E132" s="199">
        <v>2015.4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0.33341646696737248</v>
      </c>
      <c r="D135" s="203">
        <f>IF(D149=0,0,D143/D149)</f>
        <v>0.32339050389637636</v>
      </c>
      <c r="E135" s="203">
        <f>IF(E149=0,0,E143/E149)</f>
        <v>0.30756439452051376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0.39389925754943017</v>
      </c>
      <c r="D136" s="203">
        <f>IF(D149=0,0,D144/D149)</f>
        <v>0.38302883252482262</v>
      </c>
      <c r="E136" s="203">
        <f>IF(E149=0,0,E144/E149)</f>
        <v>0.39434629499344098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0.19325414834340507</v>
      </c>
      <c r="D137" s="203">
        <f>IF(D149=0,0,D145/D149)</f>
        <v>0.20700251812945905</v>
      </c>
      <c r="E137" s="203">
        <f>IF(E149=0,0,E145/E149)</f>
        <v>0.23734027965101342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3.7835823993960092E-2</v>
      </c>
      <c r="D138" s="203">
        <f>IF(D149=0,0,D146/D149)</f>
        <v>4.4646583047440173E-2</v>
      </c>
      <c r="E138" s="203">
        <f>IF(E149=0,0,E146/E149)</f>
        <v>2.530579601123659E-2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4.0374443127845161E-2</v>
      </c>
      <c r="D139" s="203">
        <f>IF(D149=0,0,D147/D149)</f>
        <v>4.0400386309788469E-2</v>
      </c>
      <c r="E139" s="203">
        <f>IF(E149=0,0,E147/E149)</f>
        <v>3.4211215007050801E-2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1.2198600179870313E-3</v>
      </c>
      <c r="D140" s="203">
        <f>IF(D149=0,0,D148/D149)</f>
        <v>1.5311760921133367E-3</v>
      </c>
      <c r="E140" s="203">
        <f>IF(E149=0,0,E148/E149)</f>
        <v>1.2320198167444262E-3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1.0000000000000002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346786630</v>
      </c>
      <c r="D143" s="205">
        <f>+D46-D147</f>
        <v>357519360</v>
      </c>
      <c r="E143" s="205">
        <f>+E46-E147</f>
        <v>364645177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409694810</v>
      </c>
      <c r="D144" s="205">
        <f>+D51</f>
        <v>423451590</v>
      </c>
      <c r="E144" s="205">
        <f>+E51</f>
        <v>467532904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201003734</v>
      </c>
      <c r="D145" s="205">
        <f>+D55</f>
        <v>228848426</v>
      </c>
      <c r="E145" s="205">
        <f>+E55</f>
        <v>281388190</v>
      </c>
    </row>
    <row r="146" spans="1:7" ht="20.100000000000001" customHeight="1" x14ac:dyDescent="0.2">
      <c r="A146" s="202">
        <v>11</v>
      </c>
      <c r="B146" s="201" t="s">
        <v>392</v>
      </c>
      <c r="C146" s="204">
        <v>39353059</v>
      </c>
      <c r="D146" s="205">
        <v>49358338</v>
      </c>
      <c r="E146" s="205">
        <v>30002291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41993478</v>
      </c>
      <c r="D147" s="205">
        <f>+D47</f>
        <v>44664021</v>
      </c>
      <c r="E147" s="205">
        <f>+E47</f>
        <v>40560464</v>
      </c>
    </row>
    <row r="148" spans="1:7" ht="20.100000000000001" customHeight="1" x14ac:dyDescent="0.2">
      <c r="A148" s="202">
        <v>13</v>
      </c>
      <c r="B148" s="201" t="s">
        <v>394</v>
      </c>
      <c r="C148" s="206">
        <v>1268777</v>
      </c>
      <c r="D148" s="205">
        <v>1692768</v>
      </c>
      <c r="E148" s="205">
        <v>1460670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1040100488</v>
      </c>
      <c r="D149" s="205">
        <f>SUM(D143:D148)</f>
        <v>1105534503</v>
      </c>
      <c r="E149" s="205">
        <f>SUM(E143:E148)</f>
        <v>1185589696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0.39709011294423024</v>
      </c>
      <c r="D152" s="203">
        <f>IF(D166=0,0,D160/D166)</f>
        <v>0.40524404192993274</v>
      </c>
      <c r="E152" s="203">
        <f>IF(E166=0,0,E160/E166)</f>
        <v>0.43130546627426014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0.41541792987513354</v>
      </c>
      <c r="D153" s="203">
        <f>IF(D166=0,0,D161/D166)</f>
        <v>0.40248962406582878</v>
      </c>
      <c r="E153" s="203">
        <f>IF(E166=0,0,E161/E166)</f>
        <v>0.37836452030767587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0.15822705439562523</v>
      </c>
      <c r="D154" s="203">
        <f>IF(D166=0,0,D162/D166)</f>
        <v>0.16433391786017512</v>
      </c>
      <c r="E154" s="203">
        <f>IF(E166=0,0,E162/E166)</f>
        <v>0.17139894681640425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1.6014746147908307E-2</v>
      </c>
      <c r="D155" s="203">
        <f>IF(D166=0,0,D163/D166)</f>
        <v>1.8359693887359654E-2</v>
      </c>
      <c r="E155" s="203">
        <f>IF(E166=0,0,E163/E166)</f>
        <v>8.706219789607195E-3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1.2290106635570642E-2</v>
      </c>
      <c r="D156" s="203">
        <f>IF(D166=0,0,D164/D166)</f>
        <v>8.1643960171505596E-3</v>
      </c>
      <c r="E156" s="203">
        <f>IF(E166=0,0,E164/E166)</f>
        <v>9.4956241617174687E-3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9.6005000153202413E-4</v>
      </c>
      <c r="D157" s="203">
        <f>IF(D166=0,0,D165/D166)</f>
        <v>1.408326239553127E-3</v>
      </c>
      <c r="E157" s="203">
        <f>IF(E166=0,0,E165/E166)</f>
        <v>7.2922265033511895E-4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129311451</v>
      </c>
      <c r="D160" s="208">
        <f>+D44-D164</f>
        <v>137751920</v>
      </c>
      <c r="E160" s="208">
        <f>+E44-E164</f>
        <v>149383083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135279861</v>
      </c>
      <c r="D161" s="208">
        <f>+D50</f>
        <v>136815629</v>
      </c>
      <c r="E161" s="208">
        <f>+E50</f>
        <v>131046933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51526264</v>
      </c>
      <c r="D162" s="208">
        <f>+D54</f>
        <v>55860939</v>
      </c>
      <c r="E162" s="208">
        <f>+E54</f>
        <v>59364198</v>
      </c>
    </row>
    <row r="163" spans="1:6" ht="20.100000000000001" customHeight="1" x14ac:dyDescent="0.2">
      <c r="A163" s="202">
        <v>11</v>
      </c>
      <c r="B163" s="201" t="s">
        <v>408</v>
      </c>
      <c r="C163" s="207">
        <v>5215164</v>
      </c>
      <c r="D163" s="208">
        <v>6240889</v>
      </c>
      <c r="E163" s="208">
        <v>3015408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4002244</v>
      </c>
      <c r="D164" s="208">
        <f>+D45</f>
        <v>2775269</v>
      </c>
      <c r="E164" s="208">
        <f>+E45</f>
        <v>3288819</v>
      </c>
    </row>
    <row r="165" spans="1:6" ht="20.100000000000001" customHeight="1" x14ac:dyDescent="0.2">
      <c r="A165" s="202">
        <v>13</v>
      </c>
      <c r="B165" s="201" t="s">
        <v>410</v>
      </c>
      <c r="C165" s="209">
        <v>312638</v>
      </c>
      <c r="D165" s="208">
        <v>478723</v>
      </c>
      <c r="E165" s="208">
        <v>252567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325647622</v>
      </c>
      <c r="D166" s="208">
        <f>SUM(D160:D165)</f>
        <v>339923369</v>
      </c>
      <c r="E166" s="208">
        <f>SUM(E160:E165)</f>
        <v>346351008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7478</v>
      </c>
      <c r="D169" s="198">
        <v>7016</v>
      </c>
      <c r="E169" s="198">
        <v>6407</v>
      </c>
    </row>
    <row r="170" spans="1:6" ht="20.100000000000001" customHeight="1" x14ac:dyDescent="0.2">
      <c r="A170" s="202">
        <v>2</v>
      </c>
      <c r="B170" s="201" t="s">
        <v>414</v>
      </c>
      <c r="C170" s="198">
        <v>7096</v>
      </c>
      <c r="D170" s="198">
        <v>7107</v>
      </c>
      <c r="E170" s="198">
        <v>6937</v>
      </c>
    </row>
    <row r="171" spans="1:6" ht="20.100000000000001" customHeight="1" x14ac:dyDescent="0.2">
      <c r="A171" s="202">
        <v>3</v>
      </c>
      <c r="B171" s="201" t="s">
        <v>415</v>
      </c>
      <c r="C171" s="198">
        <v>5415</v>
      </c>
      <c r="D171" s="198">
        <v>5662</v>
      </c>
      <c r="E171" s="198">
        <v>5672</v>
      </c>
    </row>
    <row r="172" spans="1:6" ht="20.100000000000001" customHeight="1" x14ac:dyDescent="0.2">
      <c r="A172" s="202">
        <v>4</v>
      </c>
      <c r="B172" s="201" t="s">
        <v>416</v>
      </c>
      <c r="C172" s="198">
        <v>4759</v>
      </c>
      <c r="D172" s="198">
        <v>4962</v>
      </c>
      <c r="E172" s="198">
        <v>5266</v>
      </c>
    </row>
    <row r="173" spans="1:6" ht="20.100000000000001" customHeight="1" x14ac:dyDescent="0.2">
      <c r="A173" s="202">
        <v>5</v>
      </c>
      <c r="B173" s="201" t="s">
        <v>417</v>
      </c>
      <c r="C173" s="198">
        <v>656</v>
      </c>
      <c r="D173" s="198">
        <v>700</v>
      </c>
      <c r="E173" s="198">
        <v>406</v>
      </c>
    </row>
    <row r="174" spans="1:6" ht="20.100000000000001" customHeight="1" x14ac:dyDescent="0.2">
      <c r="A174" s="202">
        <v>6</v>
      </c>
      <c r="B174" s="201" t="s">
        <v>418</v>
      </c>
      <c r="C174" s="198">
        <v>33</v>
      </c>
      <c r="D174" s="198">
        <v>23</v>
      </c>
      <c r="E174" s="198">
        <v>28</v>
      </c>
    </row>
    <row r="175" spans="1:6" ht="20.100000000000001" customHeight="1" x14ac:dyDescent="0.2">
      <c r="A175" s="202">
        <v>7</v>
      </c>
      <c r="B175" s="201" t="s">
        <v>419</v>
      </c>
      <c r="C175" s="198">
        <v>375</v>
      </c>
      <c r="D175" s="198">
        <v>398</v>
      </c>
      <c r="E175" s="198">
        <v>311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20022</v>
      </c>
      <c r="D176" s="198">
        <f>+D169+D170+D171+D174</f>
        <v>19808</v>
      </c>
      <c r="E176" s="198">
        <f>+E169+E170+E171+E174</f>
        <v>19044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1.16977</v>
      </c>
      <c r="D179" s="210">
        <v>1.13717</v>
      </c>
      <c r="E179" s="210">
        <v>1.1827700000000001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1.6122399999999999</v>
      </c>
      <c r="D180" s="210">
        <v>1.64252</v>
      </c>
      <c r="E180" s="210">
        <v>1.66225</v>
      </c>
    </row>
    <row r="181" spans="1:6" ht="20.100000000000001" customHeight="1" x14ac:dyDescent="0.2">
      <c r="A181" s="202">
        <v>3</v>
      </c>
      <c r="B181" s="201" t="s">
        <v>415</v>
      </c>
      <c r="C181" s="210">
        <v>0.95634300000000005</v>
      </c>
      <c r="D181" s="210">
        <v>0.95577900000000005</v>
      </c>
      <c r="E181" s="210">
        <v>1.0187710000000001</v>
      </c>
    </row>
    <row r="182" spans="1:6" ht="20.100000000000001" customHeight="1" x14ac:dyDescent="0.2">
      <c r="A182" s="202">
        <v>4</v>
      </c>
      <c r="B182" s="201" t="s">
        <v>416</v>
      </c>
      <c r="C182" s="210">
        <v>0.92828999999999995</v>
      </c>
      <c r="D182" s="210">
        <v>0.96157000000000004</v>
      </c>
      <c r="E182" s="210">
        <v>1.0019100000000001</v>
      </c>
    </row>
    <row r="183" spans="1:6" ht="20.100000000000001" customHeight="1" x14ac:dyDescent="0.2">
      <c r="A183" s="202">
        <v>5</v>
      </c>
      <c r="B183" s="201" t="s">
        <v>417</v>
      </c>
      <c r="C183" s="210">
        <v>1.1598599999999999</v>
      </c>
      <c r="D183" s="210">
        <v>0.91473000000000004</v>
      </c>
      <c r="E183" s="210">
        <v>1.2374700000000001</v>
      </c>
    </row>
    <row r="184" spans="1:6" ht="20.100000000000001" customHeight="1" x14ac:dyDescent="0.2">
      <c r="A184" s="202">
        <v>6</v>
      </c>
      <c r="B184" s="201" t="s">
        <v>418</v>
      </c>
      <c r="C184" s="210">
        <v>1.1164099999999999</v>
      </c>
      <c r="D184" s="210">
        <v>1.4279599999999999</v>
      </c>
      <c r="E184" s="210">
        <v>1.0464</v>
      </c>
    </row>
    <row r="185" spans="1:6" ht="20.100000000000001" customHeight="1" x14ac:dyDescent="0.2">
      <c r="A185" s="202">
        <v>7</v>
      </c>
      <c r="B185" s="201" t="s">
        <v>419</v>
      </c>
      <c r="C185" s="210">
        <v>1.27433</v>
      </c>
      <c r="D185" s="210">
        <v>1.21574</v>
      </c>
      <c r="E185" s="210">
        <v>1.18285</v>
      </c>
    </row>
    <row r="186" spans="1:6" ht="20.100000000000001" customHeight="1" x14ac:dyDescent="0.2">
      <c r="A186" s="202">
        <v>8</v>
      </c>
      <c r="B186" s="201" t="s">
        <v>423</v>
      </c>
      <c r="C186" s="210">
        <v>1.2687759999999999</v>
      </c>
      <c r="D186" s="210">
        <v>1.266974</v>
      </c>
      <c r="E186" s="210">
        <v>1.3083800000000001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10058</v>
      </c>
      <c r="D189" s="198">
        <v>10610</v>
      </c>
      <c r="E189" s="198">
        <v>10660</v>
      </c>
    </row>
    <row r="190" spans="1:6" ht="20.100000000000001" customHeight="1" x14ac:dyDescent="0.2">
      <c r="A190" s="202">
        <v>2</v>
      </c>
      <c r="B190" s="201" t="s">
        <v>427</v>
      </c>
      <c r="C190" s="198">
        <v>56580</v>
      </c>
      <c r="D190" s="198">
        <v>66812</v>
      </c>
      <c r="E190" s="198">
        <v>65012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66638</v>
      </c>
      <c r="D191" s="198">
        <f>+D190+D189</f>
        <v>77422</v>
      </c>
      <c r="E191" s="198">
        <f>+E190+E189</f>
        <v>75672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FILING&amp;RBRIDGEPORT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A6" sqref="A6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429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86"/>
      <c r="D9" s="687"/>
      <c r="E9" s="687"/>
      <c r="F9" s="688"/>
      <c r="G9" s="212"/>
    </row>
    <row r="10" spans="1:7" ht="20.25" customHeight="1" x14ac:dyDescent="0.3">
      <c r="A10" s="689" t="s">
        <v>12</v>
      </c>
      <c r="B10" s="690" t="s">
        <v>113</v>
      </c>
      <c r="C10" s="692"/>
      <c r="D10" s="693"/>
      <c r="E10" s="693"/>
      <c r="F10" s="694"/>
    </row>
    <row r="11" spans="1:7" ht="20.25" customHeight="1" x14ac:dyDescent="0.3">
      <c r="A11" s="675"/>
      <c r="B11" s="691"/>
      <c r="C11" s="681"/>
      <c r="D11" s="682"/>
      <c r="E11" s="682"/>
      <c r="F11" s="683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1179026</v>
      </c>
      <c r="D14" s="237">
        <v>2201038</v>
      </c>
      <c r="E14" s="237">
        <f t="shared" ref="E14:E24" si="0">D14-C14</f>
        <v>1022012</v>
      </c>
      <c r="F14" s="238">
        <f t="shared" ref="F14:F24" si="1">IF(C14=0,0,E14/C14)</f>
        <v>0.86682736428204299</v>
      </c>
    </row>
    <row r="15" spans="1:7" ht="20.25" customHeight="1" x14ac:dyDescent="0.3">
      <c r="A15" s="235">
        <v>2</v>
      </c>
      <c r="B15" s="236" t="s">
        <v>435</v>
      </c>
      <c r="C15" s="237">
        <v>383760</v>
      </c>
      <c r="D15" s="237">
        <v>439494</v>
      </c>
      <c r="E15" s="237">
        <f t="shared" si="0"/>
        <v>55734</v>
      </c>
      <c r="F15" s="238">
        <f t="shared" si="1"/>
        <v>0.14523139462163853</v>
      </c>
    </row>
    <row r="16" spans="1:7" ht="20.25" customHeight="1" x14ac:dyDescent="0.3">
      <c r="A16" s="235">
        <v>3</v>
      </c>
      <c r="B16" s="236" t="s">
        <v>436</v>
      </c>
      <c r="C16" s="237">
        <v>468345</v>
      </c>
      <c r="D16" s="237">
        <v>943612</v>
      </c>
      <c r="E16" s="237">
        <f t="shared" si="0"/>
        <v>475267</v>
      </c>
      <c r="F16" s="238">
        <f t="shared" si="1"/>
        <v>1.0147797029967225</v>
      </c>
    </row>
    <row r="17" spans="1:6" ht="20.25" customHeight="1" x14ac:dyDescent="0.3">
      <c r="A17" s="235">
        <v>4</v>
      </c>
      <c r="B17" s="236" t="s">
        <v>437</v>
      </c>
      <c r="C17" s="237">
        <v>162218</v>
      </c>
      <c r="D17" s="237">
        <v>327875</v>
      </c>
      <c r="E17" s="237">
        <f t="shared" si="0"/>
        <v>165657</v>
      </c>
      <c r="F17" s="238">
        <f t="shared" si="1"/>
        <v>1.0211998668458495</v>
      </c>
    </row>
    <row r="18" spans="1:6" ht="20.25" customHeight="1" x14ac:dyDescent="0.3">
      <c r="A18" s="235">
        <v>5</v>
      </c>
      <c r="B18" s="236" t="s">
        <v>373</v>
      </c>
      <c r="C18" s="239">
        <v>30</v>
      </c>
      <c r="D18" s="239">
        <v>23</v>
      </c>
      <c r="E18" s="239">
        <f t="shared" si="0"/>
        <v>-7</v>
      </c>
      <c r="F18" s="238">
        <f t="shared" si="1"/>
        <v>-0.23333333333333334</v>
      </c>
    </row>
    <row r="19" spans="1:6" ht="20.25" customHeight="1" x14ac:dyDescent="0.3">
      <c r="A19" s="235">
        <v>6</v>
      </c>
      <c r="B19" s="236" t="s">
        <v>372</v>
      </c>
      <c r="C19" s="239">
        <v>200</v>
      </c>
      <c r="D19" s="239">
        <v>227</v>
      </c>
      <c r="E19" s="239">
        <f t="shared" si="0"/>
        <v>27</v>
      </c>
      <c r="F19" s="238">
        <f t="shared" si="1"/>
        <v>0.13500000000000001</v>
      </c>
    </row>
    <row r="20" spans="1:6" ht="20.25" customHeight="1" x14ac:dyDescent="0.3">
      <c r="A20" s="235">
        <v>7</v>
      </c>
      <c r="B20" s="236" t="s">
        <v>438</v>
      </c>
      <c r="C20" s="239">
        <v>84</v>
      </c>
      <c r="D20" s="239">
        <v>151</v>
      </c>
      <c r="E20" s="239">
        <f t="shared" si="0"/>
        <v>67</v>
      </c>
      <c r="F20" s="238">
        <f t="shared" si="1"/>
        <v>0.79761904761904767</v>
      </c>
    </row>
    <row r="21" spans="1:6" ht="20.25" customHeight="1" x14ac:dyDescent="0.3">
      <c r="A21" s="235">
        <v>8</v>
      </c>
      <c r="B21" s="236" t="s">
        <v>439</v>
      </c>
      <c r="C21" s="239">
        <v>21</v>
      </c>
      <c r="D21" s="239">
        <v>23</v>
      </c>
      <c r="E21" s="239">
        <f t="shared" si="0"/>
        <v>2</v>
      </c>
      <c r="F21" s="238">
        <f t="shared" si="1"/>
        <v>9.5238095238095233E-2</v>
      </c>
    </row>
    <row r="22" spans="1:6" ht="20.25" customHeight="1" x14ac:dyDescent="0.3">
      <c r="A22" s="235">
        <v>9</v>
      </c>
      <c r="B22" s="236" t="s">
        <v>440</v>
      </c>
      <c r="C22" s="239">
        <v>21</v>
      </c>
      <c r="D22" s="239">
        <v>13</v>
      </c>
      <c r="E22" s="239">
        <f t="shared" si="0"/>
        <v>-8</v>
      </c>
      <c r="F22" s="238">
        <f t="shared" si="1"/>
        <v>-0.38095238095238093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1647371</v>
      </c>
      <c r="D23" s="243">
        <f>+D14+D16</f>
        <v>3144650</v>
      </c>
      <c r="E23" s="243">
        <f t="shared" si="0"/>
        <v>1497279</v>
      </c>
      <c r="F23" s="244">
        <f t="shared" si="1"/>
        <v>0.90888998288788625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545978</v>
      </c>
      <c r="D24" s="243">
        <f>+D15+D17</f>
        <v>767369</v>
      </c>
      <c r="E24" s="243">
        <f t="shared" si="0"/>
        <v>221391</v>
      </c>
      <c r="F24" s="244">
        <f t="shared" si="1"/>
        <v>0.40549436057863136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0</v>
      </c>
      <c r="D40" s="237">
        <v>0</v>
      </c>
      <c r="E40" s="237">
        <f t="shared" ref="E40:E50" si="4">D40-C40</f>
        <v>0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436</v>
      </c>
      <c r="C42" s="237">
        <v>0</v>
      </c>
      <c r="D42" s="237">
        <v>0</v>
      </c>
      <c r="E42" s="237">
        <f t="shared" si="4"/>
        <v>0</v>
      </c>
      <c r="F42" s="238">
        <f t="shared" si="5"/>
        <v>0</v>
      </c>
    </row>
    <row r="43" spans="1:6" ht="20.25" customHeight="1" x14ac:dyDescent="0.3">
      <c r="A43" s="235">
        <v>4</v>
      </c>
      <c r="B43" s="236" t="s">
        <v>437</v>
      </c>
      <c r="C43" s="237">
        <v>0</v>
      </c>
      <c r="D43" s="237">
        <v>0</v>
      </c>
      <c r="E43" s="237">
        <f t="shared" si="4"/>
        <v>0</v>
      </c>
      <c r="F43" s="238">
        <f t="shared" si="5"/>
        <v>0</v>
      </c>
    </row>
    <row r="44" spans="1:6" ht="20.25" customHeight="1" x14ac:dyDescent="0.3">
      <c r="A44" s="235">
        <v>5</v>
      </c>
      <c r="B44" s="236" t="s">
        <v>373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372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ht="20.25" customHeight="1" x14ac:dyDescent="0.3">
      <c r="A47" s="235">
        <v>8</v>
      </c>
      <c r="B47" s="236" t="s">
        <v>439</v>
      </c>
      <c r="C47" s="239">
        <v>0</v>
      </c>
      <c r="D47" s="239">
        <v>0</v>
      </c>
      <c r="E47" s="239">
        <f t="shared" si="4"/>
        <v>0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0</v>
      </c>
      <c r="D49" s="243">
        <f>+D40+D42</f>
        <v>0</v>
      </c>
      <c r="E49" s="243">
        <f t="shared" si="4"/>
        <v>0</v>
      </c>
      <c r="F49" s="244">
        <f t="shared" si="5"/>
        <v>0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0</v>
      </c>
      <c r="D50" s="243">
        <f>+D41+D43</f>
        <v>0</v>
      </c>
      <c r="E50" s="243">
        <f t="shared" si="4"/>
        <v>0</v>
      </c>
      <c r="F50" s="244">
        <f t="shared" si="5"/>
        <v>0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80362530</v>
      </c>
      <c r="D53" s="237">
        <v>80142154</v>
      </c>
      <c r="E53" s="237">
        <f t="shared" ref="E53:E63" si="6">D53-C53</f>
        <v>-220376</v>
      </c>
      <c r="F53" s="238">
        <f t="shared" ref="F53:F63" si="7">IF(C53=0,0,E53/C53)</f>
        <v>-2.7422730469038245E-3</v>
      </c>
    </row>
    <row r="54" spans="1:6" ht="20.25" customHeight="1" x14ac:dyDescent="0.3">
      <c r="A54" s="235">
        <v>2</v>
      </c>
      <c r="B54" s="236" t="s">
        <v>435</v>
      </c>
      <c r="C54" s="237">
        <v>25612838</v>
      </c>
      <c r="D54" s="237">
        <v>24107191</v>
      </c>
      <c r="E54" s="237">
        <f t="shared" si="6"/>
        <v>-1505647</v>
      </c>
      <c r="F54" s="238">
        <f t="shared" si="7"/>
        <v>-5.8784856250603701E-2</v>
      </c>
    </row>
    <row r="55" spans="1:6" ht="20.25" customHeight="1" x14ac:dyDescent="0.3">
      <c r="A55" s="235">
        <v>3</v>
      </c>
      <c r="B55" s="236" t="s">
        <v>436</v>
      </c>
      <c r="C55" s="237">
        <v>23371878</v>
      </c>
      <c r="D55" s="237">
        <v>28586100</v>
      </c>
      <c r="E55" s="237">
        <f t="shared" si="6"/>
        <v>5214222</v>
      </c>
      <c r="F55" s="238">
        <f t="shared" si="7"/>
        <v>0.22309811817432901</v>
      </c>
    </row>
    <row r="56" spans="1:6" ht="20.25" customHeight="1" x14ac:dyDescent="0.3">
      <c r="A56" s="235">
        <v>4</v>
      </c>
      <c r="B56" s="236" t="s">
        <v>437</v>
      </c>
      <c r="C56" s="237">
        <v>5973009</v>
      </c>
      <c r="D56" s="237">
        <v>5800111</v>
      </c>
      <c r="E56" s="237">
        <f t="shared" si="6"/>
        <v>-172898</v>
      </c>
      <c r="F56" s="238">
        <f t="shared" si="7"/>
        <v>-2.8946549385745108E-2</v>
      </c>
    </row>
    <row r="57" spans="1:6" ht="20.25" customHeight="1" x14ac:dyDescent="0.3">
      <c r="A57" s="235">
        <v>5</v>
      </c>
      <c r="B57" s="236" t="s">
        <v>373</v>
      </c>
      <c r="C57" s="239">
        <v>1714</v>
      </c>
      <c r="D57" s="239">
        <v>1623</v>
      </c>
      <c r="E57" s="239">
        <f t="shared" si="6"/>
        <v>-91</v>
      </c>
      <c r="F57" s="238">
        <f t="shared" si="7"/>
        <v>-5.3092182030338393E-2</v>
      </c>
    </row>
    <row r="58" spans="1:6" ht="20.25" customHeight="1" x14ac:dyDescent="0.3">
      <c r="A58" s="235">
        <v>6</v>
      </c>
      <c r="B58" s="236" t="s">
        <v>372</v>
      </c>
      <c r="C58" s="239">
        <v>12283</v>
      </c>
      <c r="D58" s="239">
        <v>11261</v>
      </c>
      <c r="E58" s="239">
        <f t="shared" si="6"/>
        <v>-1022</v>
      </c>
      <c r="F58" s="238">
        <f t="shared" si="7"/>
        <v>-8.3204428885451431E-2</v>
      </c>
    </row>
    <row r="59" spans="1:6" ht="20.25" customHeight="1" x14ac:dyDescent="0.3">
      <c r="A59" s="235">
        <v>7</v>
      </c>
      <c r="B59" s="236" t="s">
        <v>438</v>
      </c>
      <c r="C59" s="239">
        <v>5099</v>
      </c>
      <c r="D59" s="239">
        <v>5608</v>
      </c>
      <c r="E59" s="239">
        <f t="shared" si="6"/>
        <v>509</v>
      </c>
      <c r="F59" s="238">
        <f t="shared" si="7"/>
        <v>9.9823494802902535E-2</v>
      </c>
    </row>
    <row r="60" spans="1:6" ht="20.25" customHeight="1" x14ac:dyDescent="0.3">
      <c r="A60" s="235">
        <v>8</v>
      </c>
      <c r="B60" s="236" t="s">
        <v>439</v>
      </c>
      <c r="C60" s="239">
        <v>1180</v>
      </c>
      <c r="D60" s="239">
        <v>1199</v>
      </c>
      <c r="E60" s="239">
        <f t="shared" si="6"/>
        <v>19</v>
      </c>
      <c r="F60" s="238">
        <f t="shared" si="7"/>
        <v>1.6101694915254237E-2</v>
      </c>
    </row>
    <row r="61" spans="1:6" ht="20.25" customHeight="1" x14ac:dyDescent="0.3">
      <c r="A61" s="235">
        <v>9</v>
      </c>
      <c r="B61" s="236" t="s">
        <v>440</v>
      </c>
      <c r="C61" s="239">
        <v>1238</v>
      </c>
      <c r="D61" s="239">
        <v>1211</v>
      </c>
      <c r="E61" s="239">
        <f t="shared" si="6"/>
        <v>-27</v>
      </c>
      <c r="F61" s="238">
        <f t="shared" si="7"/>
        <v>-2.1809369951534735E-2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103734408</v>
      </c>
      <c r="D62" s="243">
        <f>+D53+D55</f>
        <v>108728254</v>
      </c>
      <c r="E62" s="243">
        <f t="shared" si="6"/>
        <v>4993846</v>
      </c>
      <c r="F62" s="244">
        <f t="shared" si="7"/>
        <v>4.8140690213415015E-2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31585847</v>
      </c>
      <c r="D63" s="243">
        <f>+D54+D56</f>
        <v>29907302</v>
      </c>
      <c r="E63" s="243">
        <f t="shared" si="6"/>
        <v>-1678545</v>
      </c>
      <c r="F63" s="244">
        <f t="shared" si="7"/>
        <v>-5.3142314024379335E-2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10961295</v>
      </c>
      <c r="D66" s="237">
        <v>16427325</v>
      </c>
      <c r="E66" s="237">
        <f t="shared" ref="E66:E76" si="8">D66-C66</f>
        <v>5466030</v>
      </c>
      <c r="F66" s="238">
        <f t="shared" ref="F66:F76" si="9">IF(C66=0,0,E66/C66)</f>
        <v>0.49866644406523136</v>
      </c>
    </row>
    <row r="67" spans="1:6" ht="20.25" customHeight="1" x14ac:dyDescent="0.3">
      <c r="A67" s="235">
        <v>2</v>
      </c>
      <c r="B67" s="236" t="s">
        <v>435</v>
      </c>
      <c r="C67" s="237">
        <v>3529537</v>
      </c>
      <c r="D67" s="237">
        <v>4777446</v>
      </c>
      <c r="E67" s="237">
        <f t="shared" si="8"/>
        <v>1247909</v>
      </c>
      <c r="F67" s="238">
        <f t="shared" si="9"/>
        <v>0.35356167112003645</v>
      </c>
    </row>
    <row r="68" spans="1:6" ht="20.25" customHeight="1" x14ac:dyDescent="0.3">
      <c r="A68" s="235">
        <v>3</v>
      </c>
      <c r="B68" s="236" t="s">
        <v>436</v>
      </c>
      <c r="C68" s="237">
        <v>4452037</v>
      </c>
      <c r="D68" s="237">
        <v>5732255</v>
      </c>
      <c r="E68" s="237">
        <f t="shared" si="8"/>
        <v>1280218</v>
      </c>
      <c r="F68" s="238">
        <f t="shared" si="9"/>
        <v>0.28755780780797646</v>
      </c>
    </row>
    <row r="69" spans="1:6" ht="20.25" customHeight="1" x14ac:dyDescent="0.3">
      <c r="A69" s="235">
        <v>4</v>
      </c>
      <c r="B69" s="236" t="s">
        <v>437</v>
      </c>
      <c r="C69" s="237">
        <v>1116167</v>
      </c>
      <c r="D69" s="237">
        <v>1390204</v>
      </c>
      <c r="E69" s="237">
        <f t="shared" si="8"/>
        <v>274037</v>
      </c>
      <c r="F69" s="238">
        <f t="shared" si="9"/>
        <v>0.24551612796293029</v>
      </c>
    </row>
    <row r="70" spans="1:6" ht="20.25" customHeight="1" x14ac:dyDescent="0.3">
      <c r="A70" s="235">
        <v>5</v>
      </c>
      <c r="B70" s="236" t="s">
        <v>373</v>
      </c>
      <c r="C70" s="239">
        <v>235</v>
      </c>
      <c r="D70" s="239">
        <v>304</v>
      </c>
      <c r="E70" s="239">
        <f t="shared" si="8"/>
        <v>69</v>
      </c>
      <c r="F70" s="238">
        <f t="shared" si="9"/>
        <v>0.29361702127659572</v>
      </c>
    </row>
    <row r="71" spans="1:6" ht="20.25" customHeight="1" x14ac:dyDescent="0.3">
      <c r="A71" s="235">
        <v>6</v>
      </c>
      <c r="B71" s="236" t="s">
        <v>372</v>
      </c>
      <c r="C71" s="239">
        <v>1585</v>
      </c>
      <c r="D71" s="239">
        <v>2201</v>
      </c>
      <c r="E71" s="239">
        <f t="shared" si="8"/>
        <v>616</v>
      </c>
      <c r="F71" s="238">
        <f t="shared" si="9"/>
        <v>0.38864353312302841</v>
      </c>
    </row>
    <row r="72" spans="1:6" ht="20.25" customHeight="1" x14ac:dyDescent="0.3">
      <c r="A72" s="235">
        <v>7</v>
      </c>
      <c r="B72" s="236" t="s">
        <v>438</v>
      </c>
      <c r="C72" s="239">
        <v>995</v>
      </c>
      <c r="D72" s="239">
        <v>1368</v>
      </c>
      <c r="E72" s="239">
        <f t="shared" si="8"/>
        <v>373</v>
      </c>
      <c r="F72" s="238">
        <f t="shared" si="9"/>
        <v>0.37487437185929651</v>
      </c>
    </row>
    <row r="73" spans="1:6" ht="20.25" customHeight="1" x14ac:dyDescent="0.3">
      <c r="A73" s="235">
        <v>8</v>
      </c>
      <c r="B73" s="236" t="s">
        <v>439</v>
      </c>
      <c r="C73" s="239">
        <v>328</v>
      </c>
      <c r="D73" s="239">
        <v>413</v>
      </c>
      <c r="E73" s="239">
        <f t="shared" si="8"/>
        <v>85</v>
      </c>
      <c r="F73" s="238">
        <f t="shared" si="9"/>
        <v>0.25914634146341464</v>
      </c>
    </row>
    <row r="74" spans="1:6" ht="20.25" customHeight="1" x14ac:dyDescent="0.3">
      <c r="A74" s="235">
        <v>9</v>
      </c>
      <c r="B74" s="236" t="s">
        <v>440</v>
      </c>
      <c r="C74" s="239">
        <v>169</v>
      </c>
      <c r="D74" s="239">
        <v>229</v>
      </c>
      <c r="E74" s="239">
        <f t="shared" si="8"/>
        <v>60</v>
      </c>
      <c r="F74" s="238">
        <f t="shared" si="9"/>
        <v>0.35502958579881655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15413332</v>
      </c>
      <c r="D75" s="243">
        <f>+D66+D68</f>
        <v>22159580</v>
      </c>
      <c r="E75" s="243">
        <f t="shared" si="8"/>
        <v>6746248</v>
      </c>
      <c r="F75" s="244">
        <f t="shared" si="9"/>
        <v>0.43768913820840294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4645704</v>
      </c>
      <c r="D76" s="243">
        <f>+D67+D69</f>
        <v>6167650</v>
      </c>
      <c r="E76" s="243">
        <f t="shared" si="8"/>
        <v>1521946</v>
      </c>
      <c r="F76" s="244">
        <f t="shared" si="9"/>
        <v>0.32760287784154996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16602</v>
      </c>
      <c r="D79" s="237">
        <v>46958</v>
      </c>
      <c r="E79" s="237">
        <f t="shared" ref="E79:E89" si="10">D79-C79</f>
        <v>30356</v>
      </c>
      <c r="F79" s="238">
        <f t="shared" ref="F79:F89" si="11">IF(C79=0,0,E79/C79)</f>
        <v>1.8284544030839658</v>
      </c>
    </row>
    <row r="80" spans="1:6" ht="20.25" customHeight="1" x14ac:dyDescent="0.3">
      <c r="A80" s="235">
        <v>2</v>
      </c>
      <c r="B80" s="236" t="s">
        <v>435</v>
      </c>
      <c r="C80" s="237">
        <v>8636</v>
      </c>
      <c r="D80" s="237">
        <v>15351</v>
      </c>
      <c r="E80" s="237">
        <f t="shared" si="10"/>
        <v>6715</v>
      </c>
      <c r="F80" s="238">
        <f t="shared" si="11"/>
        <v>0.77755905511811019</v>
      </c>
    </row>
    <row r="81" spans="1:6" ht="20.25" customHeight="1" x14ac:dyDescent="0.3">
      <c r="A81" s="235">
        <v>3</v>
      </c>
      <c r="B81" s="236" t="s">
        <v>436</v>
      </c>
      <c r="C81" s="237">
        <v>36335</v>
      </c>
      <c r="D81" s="237">
        <v>76771</v>
      </c>
      <c r="E81" s="237">
        <f t="shared" si="10"/>
        <v>40436</v>
      </c>
      <c r="F81" s="238">
        <f t="shared" si="11"/>
        <v>1.1128663822760423</v>
      </c>
    </row>
    <row r="82" spans="1:6" ht="20.25" customHeight="1" x14ac:dyDescent="0.3">
      <c r="A82" s="235">
        <v>4</v>
      </c>
      <c r="B82" s="236" t="s">
        <v>437</v>
      </c>
      <c r="C82" s="237">
        <v>12888</v>
      </c>
      <c r="D82" s="237">
        <v>24553</v>
      </c>
      <c r="E82" s="237">
        <f t="shared" si="10"/>
        <v>11665</v>
      </c>
      <c r="F82" s="238">
        <f t="shared" si="11"/>
        <v>0.90510552451893234</v>
      </c>
    </row>
    <row r="83" spans="1:6" ht="20.25" customHeight="1" x14ac:dyDescent="0.3">
      <c r="A83" s="235">
        <v>5</v>
      </c>
      <c r="B83" s="236" t="s">
        <v>373</v>
      </c>
      <c r="C83" s="239">
        <v>1</v>
      </c>
      <c r="D83" s="239">
        <v>1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1</v>
      </c>
      <c r="D84" s="239">
        <v>3</v>
      </c>
      <c r="E84" s="239">
        <f t="shared" si="10"/>
        <v>2</v>
      </c>
      <c r="F84" s="238">
        <f t="shared" si="11"/>
        <v>2</v>
      </c>
    </row>
    <row r="85" spans="1:6" ht="20.25" customHeight="1" x14ac:dyDescent="0.3">
      <c r="A85" s="235">
        <v>7</v>
      </c>
      <c r="B85" s="236" t="s">
        <v>438</v>
      </c>
      <c r="C85" s="239">
        <v>8</v>
      </c>
      <c r="D85" s="239">
        <v>11</v>
      </c>
      <c r="E85" s="239">
        <f t="shared" si="10"/>
        <v>3</v>
      </c>
      <c r="F85" s="238">
        <f t="shared" si="11"/>
        <v>0.375</v>
      </c>
    </row>
    <row r="86" spans="1:6" ht="20.25" customHeight="1" x14ac:dyDescent="0.3">
      <c r="A86" s="235">
        <v>8</v>
      </c>
      <c r="B86" s="236" t="s">
        <v>439</v>
      </c>
      <c r="C86" s="239">
        <v>2</v>
      </c>
      <c r="D86" s="239">
        <v>5</v>
      </c>
      <c r="E86" s="239">
        <f t="shared" si="10"/>
        <v>3</v>
      </c>
      <c r="F86" s="238">
        <f t="shared" si="11"/>
        <v>1.5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52937</v>
      </c>
      <c r="D88" s="243">
        <f>+D79+D81</f>
        <v>123729</v>
      </c>
      <c r="E88" s="243">
        <f t="shared" si="10"/>
        <v>70792</v>
      </c>
      <c r="F88" s="244">
        <f t="shared" si="11"/>
        <v>1.3372877193645276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21524</v>
      </c>
      <c r="D89" s="243">
        <f>+D80+D82</f>
        <v>39904</v>
      </c>
      <c r="E89" s="243">
        <f t="shared" si="10"/>
        <v>18380</v>
      </c>
      <c r="F89" s="244">
        <f t="shared" si="11"/>
        <v>0.85393049619029915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5827817</v>
      </c>
      <c r="D105" s="237">
        <v>4770326</v>
      </c>
      <c r="E105" s="237">
        <f t="shared" ref="E105:E115" si="14">D105-C105</f>
        <v>-1057491</v>
      </c>
      <c r="F105" s="238">
        <f t="shared" ref="F105:F115" si="15">IF(C105=0,0,E105/C105)</f>
        <v>-0.18145576637015198</v>
      </c>
    </row>
    <row r="106" spans="1:6" ht="20.25" customHeight="1" x14ac:dyDescent="0.3">
      <c r="A106" s="235">
        <v>2</v>
      </c>
      <c r="B106" s="236" t="s">
        <v>435</v>
      </c>
      <c r="C106" s="237">
        <v>1723811</v>
      </c>
      <c r="D106" s="237">
        <v>1388855</v>
      </c>
      <c r="E106" s="237">
        <f t="shared" si="14"/>
        <v>-334956</v>
      </c>
      <c r="F106" s="238">
        <f t="shared" si="15"/>
        <v>-0.19431132531350595</v>
      </c>
    </row>
    <row r="107" spans="1:6" ht="20.25" customHeight="1" x14ac:dyDescent="0.3">
      <c r="A107" s="235">
        <v>3</v>
      </c>
      <c r="B107" s="236" t="s">
        <v>436</v>
      </c>
      <c r="C107" s="237">
        <v>3267407</v>
      </c>
      <c r="D107" s="237">
        <v>2268827</v>
      </c>
      <c r="E107" s="237">
        <f t="shared" si="14"/>
        <v>-998580</v>
      </c>
      <c r="F107" s="238">
        <f t="shared" si="15"/>
        <v>-0.30561849197238056</v>
      </c>
    </row>
    <row r="108" spans="1:6" ht="20.25" customHeight="1" x14ac:dyDescent="0.3">
      <c r="A108" s="235">
        <v>4</v>
      </c>
      <c r="B108" s="236" t="s">
        <v>437</v>
      </c>
      <c r="C108" s="237">
        <v>715573</v>
      </c>
      <c r="D108" s="237">
        <v>497182</v>
      </c>
      <c r="E108" s="237">
        <f t="shared" si="14"/>
        <v>-218391</v>
      </c>
      <c r="F108" s="238">
        <f t="shared" si="15"/>
        <v>-0.30519737329384983</v>
      </c>
    </row>
    <row r="109" spans="1:6" ht="20.25" customHeight="1" x14ac:dyDescent="0.3">
      <c r="A109" s="235">
        <v>5</v>
      </c>
      <c r="B109" s="236" t="s">
        <v>373</v>
      </c>
      <c r="C109" s="239">
        <v>151</v>
      </c>
      <c r="D109" s="239">
        <v>118</v>
      </c>
      <c r="E109" s="239">
        <f t="shared" si="14"/>
        <v>-33</v>
      </c>
      <c r="F109" s="238">
        <f t="shared" si="15"/>
        <v>-0.2185430463576159</v>
      </c>
    </row>
    <row r="110" spans="1:6" ht="20.25" customHeight="1" x14ac:dyDescent="0.3">
      <c r="A110" s="235">
        <v>6</v>
      </c>
      <c r="B110" s="236" t="s">
        <v>372</v>
      </c>
      <c r="C110" s="239">
        <v>860</v>
      </c>
      <c r="D110" s="239">
        <v>830</v>
      </c>
      <c r="E110" s="239">
        <f t="shared" si="14"/>
        <v>-30</v>
      </c>
      <c r="F110" s="238">
        <f t="shared" si="15"/>
        <v>-3.4883720930232558E-2</v>
      </c>
    </row>
    <row r="111" spans="1:6" ht="20.25" customHeight="1" x14ac:dyDescent="0.3">
      <c r="A111" s="235">
        <v>7</v>
      </c>
      <c r="B111" s="236" t="s">
        <v>438</v>
      </c>
      <c r="C111" s="239">
        <v>1191</v>
      </c>
      <c r="D111" s="239">
        <v>811</v>
      </c>
      <c r="E111" s="239">
        <f t="shared" si="14"/>
        <v>-380</v>
      </c>
      <c r="F111" s="238">
        <f t="shared" si="15"/>
        <v>-0.31905961376994124</v>
      </c>
    </row>
    <row r="112" spans="1:6" ht="20.25" customHeight="1" x14ac:dyDescent="0.3">
      <c r="A112" s="235">
        <v>8</v>
      </c>
      <c r="B112" s="236" t="s">
        <v>439</v>
      </c>
      <c r="C112" s="239">
        <v>382</v>
      </c>
      <c r="D112" s="239">
        <v>253</v>
      </c>
      <c r="E112" s="239">
        <f t="shared" si="14"/>
        <v>-129</v>
      </c>
      <c r="F112" s="238">
        <f t="shared" si="15"/>
        <v>-0.33769633507853403</v>
      </c>
    </row>
    <row r="113" spans="1:6" ht="20.25" customHeight="1" x14ac:dyDescent="0.3">
      <c r="A113" s="235">
        <v>9</v>
      </c>
      <c r="B113" s="236" t="s">
        <v>440</v>
      </c>
      <c r="C113" s="239">
        <v>123</v>
      </c>
      <c r="D113" s="239">
        <v>102</v>
      </c>
      <c r="E113" s="239">
        <f t="shared" si="14"/>
        <v>-21</v>
      </c>
      <c r="F113" s="238">
        <f t="shared" si="15"/>
        <v>-0.17073170731707318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9095224</v>
      </c>
      <c r="D114" s="243">
        <f>+D105+D107</f>
        <v>7039153</v>
      </c>
      <c r="E114" s="243">
        <f t="shared" si="14"/>
        <v>-2056071</v>
      </c>
      <c r="F114" s="244">
        <f t="shared" si="15"/>
        <v>-0.22606051263828136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2439384</v>
      </c>
      <c r="D115" s="243">
        <f>+D106+D108</f>
        <v>1886037</v>
      </c>
      <c r="E115" s="243">
        <f t="shared" si="14"/>
        <v>-553347</v>
      </c>
      <c r="F115" s="244">
        <f t="shared" si="15"/>
        <v>-0.22683882488365914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0</v>
      </c>
      <c r="D118" s="237">
        <v>0</v>
      </c>
      <c r="E118" s="237">
        <f t="shared" ref="E118:E128" si="16">D118-C118</f>
        <v>0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435</v>
      </c>
      <c r="C119" s="237">
        <v>0</v>
      </c>
      <c r="D119" s="237">
        <v>0</v>
      </c>
      <c r="E119" s="237">
        <f t="shared" si="16"/>
        <v>0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436</v>
      </c>
      <c r="C120" s="237">
        <v>0</v>
      </c>
      <c r="D120" s="237">
        <v>15338</v>
      </c>
      <c r="E120" s="237">
        <f t="shared" si="16"/>
        <v>15338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437</v>
      </c>
      <c r="C121" s="237">
        <v>0</v>
      </c>
      <c r="D121" s="237">
        <v>2455</v>
      </c>
      <c r="E121" s="237">
        <f t="shared" si="16"/>
        <v>2455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373</v>
      </c>
      <c r="C122" s="239">
        <v>0</v>
      </c>
      <c r="D122" s="239">
        <v>0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0</v>
      </c>
      <c r="D123" s="239">
        <v>0</v>
      </c>
      <c r="E123" s="239">
        <f t="shared" si="16"/>
        <v>0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438</v>
      </c>
      <c r="C124" s="239">
        <v>0</v>
      </c>
      <c r="D124" s="239">
        <v>8</v>
      </c>
      <c r="E124" s="239">
        <f t="shared" si="16"/>
        <v>8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439</v>
      </c>
      <c r="C125" s="239">
        <v>0</v>
      </c>
      <c r="D125" s="239">
        <v>12</v>
      </c>
      <c r="E125" s="239">
        <f t="shared" si="16"/>
        <v>12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0</v>
      </c>
      <c r="D127" s="243">
        <f>+D118+D120</f>
        <v>15338</v>
      </c>
      <c r="E127" s="243">
        <f t="shared" si="16"/>
        <v>15338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0</v>
      </c>
      <c r="D128" s="243">
        <f>+D119+D121</f>
        <v>2455</v>
      </c>
      <c r="E128" s="243">
        <f t="shared" si="16"/>
        <v>2455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74" t="s">
        <v>44</v>
      </c>
      <c r="B195" s="676" t="s">
        <v>459</v>
      </c>
      <c r="C195" s="678"/>
      <c r="D195" s="679"/>
      <c r="E195" s="679"/>
      <c r="F195" s="680"/>
      <c r="G195" s="684"/>
      <c r="H195" s="684"/>
      <c r="I195" s="684"/>
    </row>
    <row r="196" spans="1:9" ht="20.25" customHeight="1" x14ac:dyDescent="0.3">
      <c r="A196" s="675"/>
      <c r="B196" s="677"/>
      <c r="C196" s="681"/>
      <c r="D196" s="682"/>
      <c r="E196" s="682"/>
      <c r="F196" s="683"/>
      <c r="G196" s="684"/>
      <c r="H196" s="684"/>
      <c r="I196" s="68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98347270</v>
      </c>
      <c r="D198" s="243">
        <f t="shared" si="28"/>
        <v>103587801</v>
      </c>
      <c r="E198" s="243">
        <f t="shared" ref="E198:E208" si="29">D198-C198</f>
        <v>5240531</v>
      </c>
      <c r="F198" s="251">
        <f t="shared" ref="F198:F208" si="30">IF(C198=0,0,E198/C198)</f>
        <v>5.3285983434008893E-2</v>
      </c>
    </row>
    <row r="199" spans="1:9" ht="20.25" customHeight="1" x14ac:dyDescent="0.3">
      <c r="A199" s="249"/>
      <c r="B199" s="250" t="s">
        <v>461</v>
      </c>
      <c r="C199" s="243">
        <f t="shared" si="28"/>
        <v>31258582</v>
      </c>
      <c r="D199" s="243">
        <f t="shared" si="28"/>
        <v>30728337</v>
      </c>
      <c r="E199" s="243">
        <f t="shared" si="29"/>
        <v>-530245</v>
      </c>
      <c r="F199" s="251">
        <f t="shared" si="30"/>
        <v>-1.6963181503242854E-2</v>
      </c>
    </row>
    <row r="200" spans="1:9" ht="20.25" customHeight="1" x14ac:dyDescent="0.3">
      <c r="A200" s="249"/>
      <c r="B200" s="250" t="s">
        <v>462</v>
      </c>
      <c r="C200" s="243">
        <f t="shared" si="28"/>
        <v>31596002</v>
      </c>
      <c r="D200" s="243">
        <f t="shared" si="28"/>
        <v>37622903</v>
      </c>
      <c r="E200" s="243">
        <f t="shared" si="29"/>
        <v>6026901</v>
      </c>
      <c r="F200" s="251">
        <f t="shared" si="30"/>
        <v>0.19074884854102744</v>
      </c>
    </row>
    <row r="201" spans="1:9" ht="20.25" customHeight="1" x14ac:dyDescent="0.3">
      <c r="A201" s="249"/>
      <c r="B201" s="250" t="s">
        <v>463</v>
      </c>
      <c r="C201" s="243">
        <f t="shared" si="28"/>
        <v>7979855</v>
      </c>
      <c r="D201" s="243">
        <f t="shared" si="28"/>
        <v>8042380</v>
      </c>
      <c r="E201" s="243">
        <f t="shared" si="29"/>
        <v>62525</v>
      </c>
      <c r="F201" s="251">
        <f t="shared" si="30"/>
        <v>7.8353554043275216E-3</v>
      </c>
    </row>
    <row r="202" spans="1:9" ht="20.25" customHeight="1" x14ac:dyDescent="0.3">
      <c r="A202" s="249"/>
      <c r="B202" s="250" t="s">
        <v>464</v>
      </c>
      <c r="C202" s="252">
        <f t="shared" si="28"/>
        <v>2131</v>
      </c>
      <c r="D202" s="252">
        <f t="shared" si="28"/>
        <v>2069</v>
      </c>
      <c r="E202" s="252">
        <f t="shared" si="29"/>
        <v>-62</v>
      </c>
      <c r="F202" s="251">
        <f t="shared" si="30"/>
        <v>-2.9094321914594087E-2</v>
      </c>
    </row>
    <row r="203" spans="1:9" ht="20.25" customHeight="1" x14ac:dyDescent="0.3">
      <c r="A203" s="249"/>
      <c r="B203" s="250" t="s">
        <v>465</v>
      </c>
      <c r="C203" s="252">
        <f t="shared" si="28"/>
        <v>14929</v>
      </c>
      <c r="D203" s="252">
        <f t="shared" si="28"/>
        <v>14522</v>
      </c>
      <c r="E203" s="252">
        <f t="shared" si="29"/>
        <v>-407</v>
      </c>
      <c r="F203" s="251">
        <f t="shared" si="30"/>
        <v>-2.7262375242815995E-2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7377</v>
      </c>
      <c r="D204" s="252">
        <f t="shared" si="28"/>
        <v>7957</v>
      </c>
      <c r="E204" s="252">
        <f t="shared" si="29"/>
        <v>580</v>
      </c>
      <c r="F204" s="251">
        <f t="shared" si="30"/>
        <v>7.862274637386471E-2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1913</v>
      </c>
      <c r="D205" s="252">
        <f t="shared" si="28"/>
        <v>1905</v>
      </c>
      <c r="E205" s="252">
        <f t="shared" si="29"/>
        <v>-8</v>
      </c>
      <c r="F205" s="251">
        <f t="shared" si="30"/>
        <v>-4.1819132253005748E-3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1551</v>
      </c>
      <c r="D206" s="252">
        <f t="shared" si="28"/>
        <v>1555</v>
      </c>
      <c r="E206" s="252">
        <f t="shared" si="29"/>
        <v>4</v>
      </c>
      <c r="F206" s="251">
        <f t="shared" si="30"/>
        <v>2.5789813023855577E-3</v>
      </c>
    </row>
    <row r="207" spans="1:9" ht="20.25" customHeight="1" x14ac:dyDescent="0.3">
      <c r="A207" s="249"/>
      <c r="B207" s="242" t="s">
        <v>469</v>
      </c>
      <c r="C207" s="243">
        <f>+C198+C200</f>
        <v>129943272</v>
      </c>
      <c r="D207" s="243">
        <f>+D198+D200</f>
        <v>141210704</v>
      </c>
      <c r="E207" s="243">
        <f t="shared" si="29"/>
        <v>11267432</v>
      </c>
      <c r="F207" s="251">
        <f t="shared" si="30"/>
        <v>8.6710391593032995E-2</v>
      </c>
    </row>
    <row r="208" spans="1:9" ht="20.25" customHeight="1" x14ac:dyDescent="0.3">
      <c r="A208" s="249"/>
      <c r="B208" s="242" t="s">
        <v>470</v>
      </c>
      <c r="C208" s="243">
        <f>+C199+C201</f>
        <v>39238437</v>
      </c>
      <c r="D208" s="243">
        <f>+D199+D201</f>
        <v>38770717</v>
      </c>
      <c r="E208" s="243">
        <f t="shared" si="29"/>
        <v>-467720</v>
      </c>
      <c r="F208" s="251">
        <f t="shared" si="30"/>
        <v>-1.1919944721549433E-2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FILING&amp;RBRIDGEPORT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B13" sqref="B13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471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74" t="s">
        <v>12</v>
      </c>
      <c r="B10" s="676" t="s">
        <v>115</v>
      </c>
      <c r="C10" s="678"/>
      <c r="D10" s="679"/>
      <c r="E10" s="679"/>
      <c r="F10" s="680"/>
    </row>
    <row r="11" spans="1:7" ht="20.25" customHeight="1" x14ac:dyDescent="0.3">
      <c r="A11" s="675"/>
      <c r="B11" s="677"/>
      <c r="C11" s="681"/>
      <c r="D11" s="682"/>
      <c r="E11" s="682"/>
      <c r="F11" s="683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4084707</v>
      </c>
      <c r="D14" s="237">
        <v>0</v>
      </c>
      <c r="E14" s="237">
        <f t="shared" ref="E14:E24" si="0">D14-C14</f>
        <v>-4084707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988180</v>
      </c>
      <c r="D15" s="237">
        <v>0</v>
      </c>
      <c r="E15" s="237">
        <f t="shared" si="0"/>
        <v>-988180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5545166</v>
      </c>
      <c r="D16" s="237">
        <v>0</v>
      </c>
      <c r="E16" s="237">
        <f t="shared" si="0"/>
        <v>-5545166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1304410</v>
      </c>
      <c r="D17" s="237">
        <v>0</v>
      </c>
      <c r="E17" s="237">
        <f t="shared" si="0"/>
        <v>-1304410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242</v>
      </c>
      <c r="D18" s="239">
        <v>0</v>
      </c>
      <c r="E18" s="239">
        <f t="shared" si="0"/>
        <v>-242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724</v>
      </c>
      <c r="D19" s="239">
        <v>0</v>
      </c>
      <c r="E19" s="239">
        <f t="shared" si="0"/>
        <v>-724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2175</v>
      </c>
      <c r="D20" s="239">
        <v>0</v>
      </c>
      <c r="E20" s="239">
        <f t="shared" si="0"/>
        <v>-2175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1720</v>
      </c>
      <c r="D21" s="239">
        <v>0</v>
      </c>
      <c r="E21" s="239">
        <f t="shared" si="0"/>
        <v>-1720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71</v>
      </c>
      <c r="D22" s="239">
        <v>0</v>
      </c>
      <c r="E22" s="239">
        <f t="shared" si="0"/>
        <v>-71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9629873</v>
      </c>
      <c r="D23" s="243">
        <f>+D14+D16</f>
        <v>0</v>
      </c>
      <c r="E23" s="243">
        <f t="shared" si="0"/>
        <v>-9629873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2292590</v>
      </c>
      <c r="D24" s="243">
        <f>+D15+D17</f>
        <v>0</v>
      </c>
      <c r="E24" s="243">
        <f t="shared" si="0"/>
        <v>-2292590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30373454</v>
      </c>
      <c r="D26" s="237">
        <v>37186015</v>
      </c>
      <c r="E26" s="237">
        <f t="shared" ref="E26:E36" si="2">D26-C26</f>
        <v>6812561</v>
      </c>
      <c r="F26" s="238">
        <f t="shared" ref="F26:F36" si="3">IF(C26=0,0,E26/C26)</f>
        <v>0.22429325950219556</v>
      </c>
    </row>
    <row r="27" spans="1:6" ht="20.25" customHeight="1" x14ac:dyDescent="0.3">
      <c r="A27" s="235">
        <v>2</v>
      </c>
      <c r="B27" s="236" t="s">
        <v>435</v>
      </c>
      <c r="C27" s="237">
        <v>7460545</v>
      </c>
      <c r="D27" s="237">
        <v>8029726</v>
      </c>
      <c r="E27" s="237">
        <f t="shared" si="2"/>
        <v>569181</v>
      </c>
      <c r="F27" s="238">
        <f t="shared" si="3"/>
        <v>7.6292147557584594E-2</v>
      </c>
    </row>
    <row r="28" spans="1:6" ht="20.25" customHeight="1" x14ac:dyDescent="0.3">
      <c r="A28" s="235">
        <v>3</v>
      </c>
      <c r="B28" s="236" t="s">
        <v>436</v>
      </c>
      <c r="C28" s="237">
        <v>40377210</v>
      </c>
      <c r="D28" s="237">
        <v>49587736</v>
      </c>
      <c r="E28" s="237">
        <f t="shared" si="2"/>
        <v>9210526</v>
      </c>
      <c r="F28" s="238">
        <f t="shared" si="3"/>
        <v>0.22811199684178277</v>
      </c>
    </row>
    <row r="29" spans="1:6" ht="20.25" customHeight="1" x14ac:dyDescent="0.3">
      <c r="A29" s="235">
        <v>4</v>
      </c>
      <c r="B29" s="236" t="s">
        <v>437</v>
      </c>
      <c r="C29" s="237">
        <v>9098203</v>
      </c>
      <c r="D29" s="237">
        <v>8821982</v>
      </c>
      <c r="E29" s="237">
        <f t="shared" si="2"/>
        <v>-276221</v>
      </c>
      <c r="F29" s="238">
        <f t="shared" si="3"/>
        <v>-3.035995130027325E-2</v>
      </c>
    </row>
    <row r="30" spans="1:6" ht="20.25" customHeight="1" x14ac:dyDescent="0.3">
      <c r="A30" s="235">
        <v>5</v>
      </c>
      <c r="B30" s="236" t="s">
        <v>373</v>
      </c>
      <c r="C30" s="239">
        <v>1464</v>
      </c>
      <c r="D30" s="239">
        <v>1684</v>
      </c>
      <c r="E30" s="239">
        <f t="shared" si="2"/>
        <v>220</v>
      </c>
      <c r="F30" s="238">
        <f t="shared" si="3"/>
        <v>0.15027322404371585</v>
      </c>
    </row>
    <row r="31" spans="1:6" ht="20.25" customHeight="1" x14ac:dyDescent="0.3">
      <c r="A31" s="235">
        <v>6</v>
      </c>
      <c r="B31" s="236" t="s">
        <v>372</v>
      </c>
      <c r="C31" s="239">
        <v>5123</v>
      </c>
      <c r="D31" s="239">
        <v>6255</v>
      </c>
      <c r="E31" s="239">
        <f t="shared" si="2"/>
        <v>1132</v>
      </c>
      <c r="F31" s="238">
        <f t="shared" si="3"/>
        <v>0.22096427874292407</v>
      </c>
    </row>
    <row r="32" spans="1:6" ht="20.25" customHeight="1" x14ac:dyDescent="0.3">
      <c r="A32" s="235">
        <v>7</v>
      </c>
      <c r="B32" s="236" t="s">
        <v>438</v>
      </c>
      <c r="C32" s="239">
        <v>15430</v>
      </c>
      <c r="D32" s="239">
        <v>18074</v>
      </c>
      <c r="E32" s="239">
        <f t="shared" si="2"/>
        <v>2644</v>
      </c>
      <c r="F32" s="238">
        <f t="shared" si="3"/>
        <v>0.17135450421257292</v>
      </c>
    </row>
    <row r="33" spans="1:6" ht="20.25" customHeight="1" x14ac:dyDescent="0.3">
      <c r="A33" s="235">
        <v>8</v>
      </c>
      <c r="B33" s="236" t="s">
        <v>439</v>
      </c>
      <c r="C33" s="239">
        <v>12666</v>
      </c>
      <c r="D33" s="239">
        <v>12900</v>
      </c>
      <c r="E33" s="239">
        <f t="shared" si="2"/>
        <v>234</v>
      </c>
      <c r="F33" s="238">
        <f t="shared" si="3"/>
        <v>1.8474656560871626E-2</v>
      </c>
    </row>
    <row r="34" spans="1:6" ht="20.25" customHeight="1" x14ac:dyDescent="0.3">
      <c r="A34" s="235">
        <v>9</v>
      </c>
      <c r="B34" s="236" t="s">
        <v>440</v>
      </c>
      <c r="C34" s="239">
        <v>516</v>
      </c>
      <c r="D34" s="239">
        <v>628</v>
      </c>
      <c r="E34" s="239">
        <f t="shared" si="2"/>
        <v>112</v>
      </c>
      <c r="F34" s="238">
        <f t="shared" si="3"/>
        <v>0.21705426356589147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70750664</v>
      </c>
      <c r="D35" s="243">
        <f>+D26+D28</f>
        <v>86773751</v>
      </c>
      <c r="E35" s="243">
        <f t="shared" si="2"/>
        <v>16023087</v>
      </c>
      <c r="F35" s="244">
        <f t="shared" si="3"/>
        <v>0.22647260243380896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16558748</v>
      </c>
      <c r="D36" s="243">
        <f>+D27+D29</f>
        <v>16851708</v>
      </c>
      <c r="E36" s="243">
        <f t="shared" si="2"/>
        <v>292960</v>
      </c>
      <c r="F36" s="244">
        <f t="shared" si="3"/>
        <v>1.7692158851623323E-2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6899887</v>
      </c>
      <c r="D38" s="237">
        <v>10051212</v>
      </c>
      <c r="E38" s="237">
        <f t="shared" ref="E38:E48" si="4">D38-C38</f>
        <v>3151325</v>
      </c>
      <c r="F38" s="238">
        <f t="shared" ref="F38:F48" si="5">IF(C38=0,0,E38/C38)</f>
        <v>0.45672124775376755</v>
      </c>
    </row>
    <row r="39" spans="1:6" ht="20.25" customHeight="1" x14ac:dyDescent="0.3">
      <c r="A39" s="235">
        <v>2</v>
      </c>
      <c r="B39" s="236" t="s">
        <v>435</v>
      </c>
      <c r="C39" s="237">
        <v>1692787</v>
      </c>
      <c r="D39" s="237">
        <v>2043781</v>
      </c>
      <c r="E39" s="237">
        <f t="shared" si="4"/>
        <v>350994</v>
      </c>
      <c r="F39" s="238">
        <f t="shared" si="5"/>
        <v>0.20734681918044032</v>
      </c>
    </row>
    <row r="40" spans="1:6" ht="20.25" customHeight="1" x14ac:dyDescent="0.3">
      <c r="A40" s="235">
        <v>3</v>
      </c>
      <c r="B40" s="236" t="s">
        <v>436</v>
      </c>
      <c r="C40" s="237">
        <v>6974029</v>
      </c>
      <c r="D40" s="237">
        <v>13086163</v>
      </c>
      <c r="E40" s="237">
        <f t="shared" si="4"/>
        <v>6112134</v>
      </c>
      <c r="F40" s="238">
        <f t="shared" si="5"/>
        <v>0.87641361973114829</v>
      </c>
    </row>
    <row r="41" spans="1:6" ht="20.25" customHeight="1" x14ac:dyDescent="0.3">
      <c r="A41" s="235">
        <v>4</v>
      </c>
      <c r="B41" s="236" t="s">
        <v>437</v>
      </c>
      <c r="C41" s="237">
        <v>1561159</v>
      </c>
      <c r="D41" s="237">
        <v>2345714</v>
      </c>
      <c r="E41" s="237">
        <f t="shared" si="4"/>
        <v>784555</v>
      </c>
      <c r="F41" s="238">
        <f t="shared" si="5"/>
        <v>0.50254650551289137</v>
      </c>
    </row>
    <row r="42" spans="1:6" ht="20.25" customHeight="1" x14ac:dyDescent="0.3">
      <c r="A42" s="235">
        <v>5</v>
      </c>
      <c r="B42" s="236" t="s">
        <v>373</v>
      </c>
      <c r="C42" s="239">
        <v>369</v>
      </c>
      <c r="D42" s="239">
        <v>502</v>
      </c>
      <c r="E42" s="239">
        <f t="shared" si="4"/>
        <v>133</v>
      </c>
      <c r="F42" s="238">
        <f t="shared" si="5"/>
        <v>0.36043360433604338</v>
      </c>
    </row>
    <row r="43" spans="1:6" ht="20.25" customHeight="1" x14ac:dyDescent="0.3">
      <c r="A43" s="235">
        <v>6</v>
      </c>
      <c r="B43" s="236" t="s">
        <v>372</v>
      </c>
      <c r="C43" s="239">
        <v>1187</v>
      </c>
      <c r="D43" s="239">
        <v>1580</v>
      </c>
      <c r="E43" s="239">
        <f t="shared" si="4"/>
        <v>393</v>
      </c>
      <c r="F43" s="238">
        <f t="shared" si="5"/>
        <v>0.33108677337826453</v>
      </c>
    </row>
    <row r="44" spans="1:6" ht="20.25" customHeight="1" x14ac:dyDescent="0.3">
      <c r="A44" s="235">
        <v>7</v>
      </c>
      <c r="B44" s="236" t="s">
        <v>438</v>
      </c>
      <c r="C44" s="239">
        <v>3132</v>
      </c>
      <c r="D44" s="239">
        <v>4849</v>
      </c>
      <c r="E44" s="239">
        <f t="shared" si="4"/>
        <v>1717</v>
      </c>
      <c r="F44" s="238">
        <f t="shared" si="5"/>
        <v>0.54821200510855683</v>
      </c>
    </row>
    <row r="45" spans="1:6" ht="20.25" customHeight="1" x14ac:dyDescent="0.3">
      <c r="A45" s="235">
        <v>8</v>
      </c>
      <c r="B45" s="236" t="s">
        <v>439</v>
      </c>
      <c r="C45" s="239">
        <v>2066</v>
      </c>
      <c r="D45" s="239">
        <v>3159</v>
      </c>
      <c r="E45" s="239">
        <f t="shared" si="4"/>
        <v>1093</v>
      </c>
      <c r="F45" s="238">
        <f t="shared" si="5"/>
        <v>0.52904162633107454</v>
      </c>
    </row>
    <row r="46" spans="1:6" ht="20.25" customHeight="1" x14ac:dyDescent="0.3">
      <c r="A46" s="235">
        <v>9</v>
      </c>
      <c r="B46" s="236" t="s">
        <v>440</v>
      </c>
      <c r="C46" s="239">
        <v>104</v>
      </c>
      <c r="D46" s="239">
        <v>150</v>
      </c>
      <c r="E46" s="239">
        <f t="shared" si="4"/>
        <v>46</v>
      </c>
      <c r="F46" s="238">
        <f t="shared" si="5"/>
        <v>0.44230769230769229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13873916</v>
      </c>
      <c r="D47" s="243">
        <f>+D38+D40</f>
        <v>23137375</v>
      </c>
      <c r="E47" s="243">
        <f t="shared" si="4"/>
        <v>9263459</v>
      </c>
      <c r="F47" s="244">
        <f t="shared" si="5"/>
        <v>0.66768884862788558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3253946</v>
      </c>
      <c r="D48" s="243">
        <f>+D39+D41</f>
        <v>4389495</v>
      </c>
      <c r="E48" s="243">
        <f t="shared" si="4"/>
        <v>1135549</v>
      </c>
      <c r="F48" s="244">
        <f t="shared" si="5"/>
        <v>0.34897598177720218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640526</v>
      </c>
      <c r="E50" s="237">
        <f t="shared" ref="E50:E60" si="6">D50-C50</f>
        <v>640526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134428</v>
      </c>
      <c r="E51" s="237">
        <f t="shared" si="6"/>
        <v>134428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2354</v>
      </c>
      <c r="D52" s="237">
        <v>178808</v>
      </c>
      <c r="E52" s="237">
        <f t="shared" si="6"/>
        <v>176454</v>
      </c>
      <c r="F52" s="238">
        <f t="shared" si="7"/>
        <v>74.959218351741711</v>
      </c>
    </row>
    <row r="53" spans="1:6" ht="20.25" customHeight="1" x14ac:dyDescent="0.3">
      <c r="A53" s="235">
        <v>4</v>
      </c>
      <c r="B53" s="236" t="s">
        <v>437</v>
      </c>
      <c r="C53" s="237">
        <v>430</v>
      </c>
      <c r="D53" s="237">
        <v>29325</v>
      </c>
      <c r="E53" s="237">
        <f t="shared" si="6"/>
        <v>28895</v>
      </c>
      <c r="F53" s="238">
        <f t="shared" si="7"/>
        <v>67.197674418604649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27</v>
      </c>
      <c r="E54" s="239">
        <f t="shared" si="6"/>
        <v>27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94</v>
      </c>
      <c r="E55" s="239">
        <f t="shared" si="6"/>
        <v>94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2</v>
      </c>
      <c r="D56" s="239">
        <v>4</v>
      </c>
      <c r="E56" s="239">
        <f t="shared" si="6"/>
        <v>2</v>
      </c>
      <c r="F56" s="238">
        <f t="shared" si="7"/>
        <v>1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100</v>
      </c>
      <c r="E57" s="239">
        <f t="shared" si="6"/>
        <v>100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23</v>
      </c>
      <c r="E58" s="239">
        <f t="shared" si="6"/>
        <v>23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2354</v>
      </c>
      <c r="D59" s="243">
        <f>+D50+D52</f>
        <v>819334</v>
      </c>
      <c r="E59" s="243">
        <f t="shared" si="6"/>
        <v>816980</v>
      </c>
      <c r="F59" s="244">
        <f t="shared" si="7"/>
        <v>347.06032285471537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430</v>
      </c>
      <c r="D60" s="243">
        <f>+D51+D53</f>
        <v>163753</v>
      </c>
      <c r="E60" s="243">
        <f t="shared" si="6"/>
        <v>163323</v>
      </c>
      <c r="F60" s="244">
        <f t="shared" si="7"/>
        <v>379.82093023255811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4092</v>
      </c>
      <c r="D88" s="237">
        <v>40</v>
      </c>
      <c r="E88" s="237">
        <f t="shared" si="12"/>
        <v>-4052</v>
      </c>
      <c r="F88" s="238">
        <f t="shared" si="13"/>
        <v>-0.99022482893450636</v>
      </c>
    </row>
    <row r="89" spans="1:6" ht="20.25" customHeight="1" x14ac:dyDescent="0.3">
      <c r="A89" s="235">
        <v>4</v>
      </c>
      <c r="B89" s="236" t="s">
        <v>437</v>
      </c>
      <c r="C89" s="237">
        <v>2930</v>
      </c>
      <c r="D89" s="237">
        <v>6</v>
      </c>
      <c r="E89" s="237">
        <f t="shared" si="12"/>
        <v>-2924</v>
      </c>
      <c r="F89" s="238">
        <f t="shared" si="13"/>
        <v>-0.99795221843003412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1</v>
      </c>
      <c r="D92" s="239">
        <v>1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3</v>
      </c>
      <c r="D93" s="239">
        <v>0</v>
      </c>
      <c r="E93" s="239">
        <f t="shared" si="12"/>
        <v>-3</v>
      </c>
      <c r="F93" s="238">
        <f t="shared" si="13"/>
        <v>-1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4092</v>
      </c>
      <c r="D95" s="243">
        <f>+D86+D88</f>
        <v>40</v>
      </c>
      <c r="E95" s="243">
        <f t="shared" si="12"/>
        <v>-4052</v>
      </c>
      <c r="F95" s="244">
        <f t="shared" si="13"/>
        <v>-0.99022482893450636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2930</v>
      </c>
      <c r="D96" s="243">
        <f>+D87+D89</f>
        <v>6</v>
      </c>
      <c r="E96" s="243">
        <f t="shared" si="12"/>
        <v>-2924</v>
      </c>
      <c r="F96" s="244">
        <f t="shared" si="13"/>
        <v>-0.99795221843003412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10701522</v>
      </c>
      <c r="D98" s="237">
        <v>13336939</v>
      </c>
      <c r="E98" s="237">
        <f t="shared" ref="E98:E108" si="14">D98-C98</f>
        <v>2635417</v>
      </c>
      <c r="F98" s="238">
        <f t="shared" ref="F98:F108" si="15">IF(C98=0,0,E98/C98)</f>
        <v>0.24626562464666241</v>
      </c>
    </row>
    <row r="99" spans="1:7" ht="20.25" customHeight="1" x14ac:dyDescent="0.3">
      <c r="A99" s="235">
        <v>2</v>
      </c>
      <c r="B99" s="236" t="s">
        <v>435</v>
      </c>
      <c r="C99" s="237">
        <v>2567518</v>
      </c>
      <c r="D99" s="237">
        <v>2812874</v>
      </c>
      <c r="E99" s="237">
        <f t="shared" si="14"/>
        <v>245356</v>
      </c>
      <c r="F99" s="238">
        <f t="shared" si="15"/>
        <v>9.5561550104030432E-2</v>
      </c>
    </row>
    <row r="100" spans="1:7" ht="20.25" customHeight="1" x14ac:dyDescent="0.3">
      <c r="A100" s="235">
        <v>3</v>
      </c>
      <c r="B100" s="236" t="s">
        <v>436</v>
      </c>
      <c r="C100" s="237">
        <v>11506342</v>
      </c>
      <c r="D100" s="237">
        <v>18493333</v>
      </c>
      <c r="E100" s="237">
        <f t="shared" si="14"/>
        <v>6986991</v>
      </c>
      <c r="F100" s="238">
        <f t="shared" si="15"/>
        <v>0.60722956088042579</v>
      </c>
    </row>
    <row r="101" spans="1:7" ht="20.25" customHeight="1" x14ac:dyDescent="0.3">
      <c r="A101" s="235">
        <v>4</v>
      </c>
      <c r="B101" s="236" t="s">
        <v>437</v>
      </c>
      <c r="C101" s="237">
        <v>2535901</v>
      </c>
      <c r="D101" s="237">
        <v>3192664</v>
      </c>
      <c r="E101" s="237">
        <f t="shared" si="14"/>
        <v>656763</v>
      </c>
      <c r="F101" s="238">
        <f t="shared" si="15"/>
        <v>0.25898605663233698</v>
      </c>
    </row>
    <row r="102" spans="1:7" ht="20.25" customHeight="1" x14ac:dyDescent="0.3">
      <c r="A102" s="235">
        <v>5</v>
      </c>
      <c r="B102" s="236" t="s">
        <v>373</v>
      </c>
      <c r="C102" s="239">
        <v>485</v>
      </c>
      <c r="D102" s="239">
        <v>683</v>
      </c>
      <c r="E102" s="239">
        <f t="shared" si="14"/>
        <v>198</v>
      </c>
      <c r="F102" s="238">
        <f t="shared" si="15"/>
        <v>0.40824742268041236</v>
      </c>
    </row>
    <row r="103" spans="1:7" ht="20.25" customHeight="1" x14ac:dyDescent="0.3">
      <c r="A103" s="235">
        <v>6</v>
      </c>
      <c r="B103" s="236" t="s">
        <v>372</v>
      </c>
      <c r="C103" s="239">
        <v>1729</v>
      </c>
      <c r="D103" s="239">
        <v>2164</v>
      </c>
      <c r="E103" s="239">
        <f t="shared" si="14"/>
        <v>435</v>
      </c>
      <c r="F103" s="238">
        <f t="shared" si="15"/>
        <v>0.25159051474840949</v>
      </c>
    </row>
    <row r="104" spans="1:7" ht="20.25" customHeight="1" x14ac:dyDescent="0.3">
      <c r="A104" s="235">
        <v>7</v>
      </c>
      <c r="B104" s="236" t="s">
        <v>438</v>
      </c>
      <c r="C104" s="239">
        <v>4672</v>
      </c>
      <c r="D104" s="239">
        <v>6846</v>
      </c>
      <c r="E104" s="239">
        <f t="shared" si="14"/>
        <v>2174</v>
      </c>
      <c r="F104" s="238">
        <f t="shared" si="15"/>
        <v>0.46532534246575341</v>
      </c>
    </row>
    <row r="105" spans="1:7" ht="20.25" customHeight="1" x14ac:dyDescent="0.3">
      <c r="A105" s="235">
        <v>8</v>
      </c>
      <c r="B105" s="236" t="s">
        <v>439</v>
      </c>
      <c r="C105" s="239">
        <v>3079</v>
      </c>
      <c r="D105" s="239">
        <v>4441</v>
      </c>
      <c r="E105" s="239">
        <f t="shared" si="14"/>
        <v>1362</v>
      </c>
      <c r="F105" s="238">
        <f t="shared" si="15"/>
        <v>0.44235141279636248</v>
      </c>
    </row>
    <row r="106" spans="1:7" ht="20.25" customHeight="1" x14ac:dyDescent="0.3">
      <c r="A106" s="235">
        <v>9</v>
      </c>
      <c r="B106" s="236" t="s">
        <v>440</v>
      </c>
      <c r="C106" s="239">
        <v>132</v>
      </c>
      <c r="D106" s="239">
        <v>219</v>
      </c>
      <c r="E106" s="239">
        <f t="shared" si="14"/>
        <v>87</v>
      </c>
      <c r="F106" s="238">
        <f t="shared" si="15"/>
        <v>0.65909090909090906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22207864</v>
      </c>
      <c r="D107" s="243">
        <f>+D98+D100</f>
        <v>31830272</v>
      </c>
      <c r="E107" s="243">
        <f t="shared" si="14"/>
        <v>9622408</v>
      </c>
      <c r="F107" s="244">
        <f t="shared" si="15"/>
        <v>0.43328831624689346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5103419</v>
      </c>
      <c r="D108" s="243">
        <f>+D99+D101</f>
        <v>6005538</v>
      </c>
      <c r="E108" s="243">
        <f t="shared" si="14"/>
        <v>902119</v>
      </c>
      <c r="F108" s="244">
        <f t="shared" si="15"/>
        <v>0.17676757483561512</v>
      </c>
    </row>
    <row r="109" spans="1:7" s="240" customFormat="1" ht="20.25" customHeight="1" x14ac:dyDescent="0.3">
      <c r="A109" s="674" t="s">
        <v>44</v>
      </c>
      <c r="B109" s="676" t="s">
        <v>478</v>
      </c>
      <c r="C109" s="678"/>
      <c r="D109" s="679"/>
      <c r="E109" s="679"/>
      <c r="F109" s="680"/>
      <c r="G109" s="212"/>
    </row>
    <row r="110" spans="1:7" ht="20.25" customHeight="1" x14ac:dyDescent="0.3">
      <c r="A110" s="675"/>
      <c r="B110" s="677"/>
      <c r="C110" s="681"/>
      <c r="D110" s="682"/>
      <c r="E110" s="682"/>
      <c r="F110" s="683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52059570</v>
      </c>
      <c r="D112" s="243">
        <f t="shared" si="16"/>
        <v>61214692</v>
      </c>
      <c r="E112" s="243">
        <f t="shared" ref="E112:E122" si="17">D112-C112</f>
        <v>9155122</v>
      </c>
      <c r="F112" s="244">
        <f t="shared" ref="F112:F122" si="18">IF(C112=0,0,E112/C112)</f>
        <v>0.17585857893178911</v>
      </c>
    </row>
    <row r="113" spans="1:6" ht="20.25" customHeight="1" x14ac:dyDescent="0.3">
      <c r="A113" s="249"/>
      <c r="B113" s="250" t="s">
        <v>461</v>
      </c>
      <c r="C113" s="243">
        <f t="shared" si="16"/>
        <v>12709030</v>
      </c>
      <c r="D113" s="243">
        <f t="shared" si="16"/>
        <v>13020809</v>
      </c>
      <c r="E113" s="243">
        <f t="shared" si="17"/>
        <v>311779</v>
      </c>
      <c r="F113" s="244">
        <f t="shared" si="18"/>
        <v>2.4532084667358563E-2</v>
      </c>
    </row>
    <row r="114" spans="1:6" ht="20.25" customHeight="1" x14ac:dyDescent="0.3">
      <c r="A114" s="249"/>
      <c r="B114" s="250" t="s">
        <v>462</v>
      </c>
      <c r="C114" s="243">
        <f t="shared" si="16"/>
        <v>64409193</v>
      </c>
      <c r="D114" s="243">
        <f t="shared" si="16"/>
        <v>81346080</v>
      </c>
      <c r="E114" s="243">
        <f t="shared" si="17"/>
        <v>16936887</v>
      </c>
      <c r="F114" s="244">
        <f t="shared" si="18"/>
        <v>0.26295760296204923</v>
      </c>
    </row>
    <row r="115" spans="1:6" ht="20.25" customHeight="1" x14ac:dyDescent="0.3">
      <c r="A115" s="249"/>
      <c r="B115" s="250" t="s">
        <v>463</v>
      </c>
      <c r="C115" s="243">
        <f t="shared" si="16"/>
        <v>14503033</v>
      </c>
      <c r="D115" s="243">
        <f t="shared" si="16"/>
        <v>14389691</v>
      </c>
      <c r="E115" s="243">
        <f t="shared" si="17"/>
        <v>-113342</v>
      </c>
      <c r="F115" s="244">
        <f t="shared" si="18"/>
        <v>-7.81505496126224E-3</v>
      </c>
    </row>
    <row r="116" spans="1:6" ht="20.25" customHeight="1" x14ac:dyDescent="0.3">
      <c r="A116" s="249"/>
      <c r="B116" s="250" t="s">
        <v>464</v>
      </c>
      <c r="C116" s="252">
        <f t="shared" si="16"/>
        <v>2560</v>
      </c>
      <c r="D116" s="252">
        <f t="shared" si="16"/>
        <v>2896</v>
      </c>
      <c r="E116" s="252">
        <f t="shared" si="17"/>
        <v>336</v>
      </c>
      <c r="F116" s="244">
        <f t="shared" si="18"/>
        <v>0.13125000000000001</v>
      </c>
    </row>
    <row r="117" spans="1:6" ht="20.25" customHeight="1" x14ac:dyDescent="0.3">
      <c r="A117" s="249"/>
      <c r="B117" s="250" t="s">
        <v>465</v>
      </c>
      <c r="C117" s="252">
        <f t="shared" si="16"/>
        <v>8763</v>
      </c>
      <c r="D117" s="252">
        <f t="shared" si="16"/>
        <v>10093</v>
      </c>
      <c r="E117" s="252">
        <f t="shared" si="17"/>
        <v>1330</v>
      </c>
      <c r="F117" s="244">
        <f t="shared" si="18"/>
        <v>0.15177450644756363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25412</v>
      </c>
      <c r="D118" s="252">
        <f t="shared" si="16"/>
        <v>29774</v>
      </c>
      <c r="E118" s="252">
        <f t="shared" si="17"/>
        <v>4362</v>
      </c>
      <c r="F118" s="244">
        <f t="shared" si="18"/>
        <v>0.17165118841492208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19534</v>
      </c>
      <c r="D119" s="252">
        <f t="shared" si="16"/>
        <v>20600</v>
      </c>
      <c r="E119" s="252">
        <f t="shared" si="17"/>
        <v>1066</v>
      </c>
      <c r="F119" s="244">
        <f t="shared" si="18"/>
        <v>5.4571516330500669E-2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823</v>
      </c>
      <c r="D120" s="252">
        <f t="shared" si="16"/>
        <v>1020</v>
      </c>
      <c r="E120" s="252">
        <f t="shared" si="17"/>
        <v>197</v>
      </c>
      <c r="F120" s="244">
        <f t="shared" si="18"/>
        <v>0.23936816524908869</v>
      </c>
    </row>
    <row r="121" spans="1:6" ht="39.950000000000003" customHeight="1" x14ac:dyDescent="0.3">
      <c r="A121" s="249"/>
      <c r="B121" s="242" t="s">
        <v>441</v>
      </c>
      <c r="C121" s="243">
        <f>+C112+C114</f>
        <v>116468763</v>
      </c>
      <c r="D121" s="243">
        <f>+D112+D114</f>
        <v>142560772</v>
      </c>
      <c r="E121" s="243">
        <f t="shared" si="17"/>
        <v>26092009</v>
      </c>
      <c r="F121" s="244">
        <f t="shared" si="18"/>
        <v>0.22402581025094256</v>
      </c>
    </row>
    <row r="122" spans="1:6" ht="39.950000000000003" customHeight="1" x14ac:dyDescent="0.3">
      <c r="A122" s="249"/>
      <c r="B122" s="242" t="s">
        <v>470</v>
      </c>
      <c r="C122" s="243">
        <f>+C113+C115</f>
        <v>27212063</v>
      </c>
      <c r="D122" s="243">
        <f>+D113+D115</f>
        <v>27410500</v>
      </c>
      <c r="E122" s="243">
        <f t="shared" si="17"/>
        <v>198437</v>
      </c>
      <c r="F122" s="244">
        <f t="shared" si="18"/>
        <v>7.2922438846330763E-3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FILING&amp;RBRIDGEPORT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35088000</v>
      </c>
      <c r="D13" s="23">
        <v>45152000</v>
      </c>
      <c r="E13" s="23">
        <f t="shared" ref="E13:E22" si="0">D13-C13</f>
        <v>10064000</v>
      </c>
      <c r="F13" s="24">
        <f t="shared" ref="F13:F22" si="1">IF(C13=0,0,E13/C13)</f>
        <v>0.2868217054263566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42391000</v>
      </c>
      <c r="E14" s="23">
        <f t="shared" si="0"/>
        <v>42391000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34835000</v>
      </c>
      <c r="D15" s="23">
        <v>29146000</v>
      </c>
      <c r="E15" s="23">
        <f t="shared" si="0"/>
        <v>-5689000</v>
      </c>
      <c r="F15" s="24">
        <f t="shared" si="1"/>
        <v>-0.1633127601550165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1411000</v>
      </c>
      <c r="E18" s="23">
        <f t="shared" si="0"/>
        <v>1411000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3286000</v>
      </c>
      <c r="D19" s="23">
        <v>3852000</v>
      </c>
      <c r="E19" s="23">
        <f t="shared" si="0"/>
        <v>566000</v>
      </c>
      <c r="F19" s="24">
        <f t="shared" si="1"/>
        <v>0.17224589166159465</v>
      </c>
    </row>
    <row r="20" spans="1:11" ht="24" customHeight="1" x14ac:dyDescent="0.2">
      <c r="A20" s="21">
        <v>8</v>
      </c>
      <c r="B20" s="22" t="s">
        <v>23</v>
      </c>
      <c r="C20" s="23">
        <v>1796000</v>
      </c>
      <c r="D20" s="23">
        <v>1895000</v>
      </c>
      <c r="E20" s="23">
        <f t="shared" si="0"/>
        <v>99000</v>
      </c>
      <c r="F20" s="24">
        <f t="shared" si="1"/>
        <v>5.5122494432071269E-2</v>
      </c>
    </row>
    <row r="21" spans="1:11" ht="24" customHeight="1" x14ac:dyDescent="0.2">
      <c r="A21" s="21">
        <v>9</v>
      </c>
      <c r="B21" s="22" t="s">
        <v>24</v>
      </c>
      <c r="C21" s="23">
        <v>4761000</v>
      </c>
      <c r="D21" s="23">
        <v>4297000</v>
      </c>
      <c r="E21" s="23">
        <f t="shared" si="0"/>
        <v>-464000</v>
      </c>
      <c r="F21" s="24">
        <f t="shared" si="1"/>
        <v>-9.7458517118252472E-2</v>
      </c>
    </row>
    <row r="22" spans="1:11" ht="24" customHeight="1" x14ac:dyDescent="0.25">
      <c r="A22" s="25"/>
      <c r="B22" s="26" t="s">
        <v>25</v>
      </c>
      <c r="C22" s="27">
        <f>SUM(C13:C21)</f>
        <v>79766000</v>
      </c>
      <c r="D22" s="27">
        <f>SUM(D13:D21)</f>
        <v>128144000</v>
      </c>
      <c r="E22" s="27">
        <f t="shared" si="0"/>
        <v>48378000</v>
      </c>
      <c r="F22" s="28">
        <f t="shared" si="1"/>
        <v>0.606499009603089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580000</v>
      </c>
      <c r="D25" s="23">
        <v>548000</v>
      </c>
      <c r="E25" s="23">
        <f>D25-C25</f>
        <v>-32000</v>
      </c>
      <c r="F25" s="24">
        <f>IF(C25=0,0,E25/C25)</f>
        <v>-5.5172413793103448E-2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5845000</v>
      </c>
      <c r="D27" s="23">
        <v>5788000</v>
      </c>
      <c r="E27" s="23">
        <f>D27-C27</f>
        <v>-57000</v>
      </c>
      <c r="F27" s="24">
        <f>IF(C27=0,0,E27/C27)</f>
        <v>-9.7519247219846027E-3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6425000</v>
      </c>
      <c r="D29" s="27">
        <f>SUM(D25:D28)</f>
        <v>6336000</v>
      </c>
      <c r="E29" s="27">
        <f>D29-C29</f>
        <v>-89000</v>
      </c>
      <c r="F29" s="28">
        <f>IF(C29=0,0,E29/C29)</f>
        <v>-1.3852140077821012E-2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67769000</v>
      </c>
      <c r="D32" s="23">
        <v>40789000</v>
      </c>
      <c r="E32" s="23">
        <f>D32-C32</f>
        <v>-26980000</v>
      </c>
      <c r="F32" s="24">
        <f>IF(C32=0,0,E32/C32)</f>
        <v>-0.3981171332024967</v>
      </c>
    </row>
    <row r="33" spans="1:8" ht="24" customHeight="1" x14ac:dyDescent="0.2">
      <c r="A33" s="21">
        <v>7</v>
      </c>
      <c r="B33" s="22" t="s">
        <v>35</v>
      </c>
      <c r="C33" s="23">
        <v>9337000</v>
      </c>
      <c r="D33" s="23">
        <v>8933000</v>
      </c>
      <c r="E33" s="23">
        <f>D33-C33</f>
        <v>-404000</v>
      </c>
      <c r="F33" s="24">
        <f>IF(C33=0,0,E33/C33)</f>
        <v>-4.3268715861625791E-2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370563000</v>
      </c>
      <c r="D36" s="23">
        <v>362880000</v>
      </c>
      <c r="E36" s="23">
        <f>D36-C36</f>
        <v>-7683000</v>
      </c>
      <c r="F36" s="24">
        <f>IF(C36=0,0,E36/C36)</f>
        <v>-2.0733316602035281E-2</v>
      </c>
    </row>
    <row r="37" spans="1:8" ht="24" customHeight="1" x14ac:dyDescent="0.2">
      <c r="A37" s="21">
        <v>2</v>
      </c>
      <c r="B37" s="22" t="s">
        <v>39</v>
      </c>
      <c r="C37" s="23">
        <v>261403000</v>
      </c>
      <c r="D37" s="23">
        <v>249254000</v>
      </c>
      <c r="E37" s="23">
        <f>D37-C37</f>
        <v>-12149000</v>
      </c>
      <c r="F37" s="23">
        <f>IF(C37=0,0,E37/C37)</f>
        <v>-4.64761307253551E-2</v>
      </c>
    </row>
    <row r="38" spans="1:8" ht="24" customHeight="1" x14ac:dyDescent="0.25">
      <c r="A38" s="25"/>
      <c r="B38" s="26" t="s">
        <v>40</v>
      </c>
      <c r="C38" s="27">
        <f>C36-C37</f>
        <v>109160000</v>
      </c>
      <c r="D38" s="27">
        <f>D36-D37</f>
        <v>113626000</v>
      </c>
      <c r="E38" s="27">
        <f>D38-C38</f>
        <v>4466000</v>
      </c>
      <c r="F38" s="28">
        <f>IF(C38=0,0,E38/C38)</f>
        <v>4.0912422132649319E-2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12497000</v>
      </c>
      <c r="D40" s="23">
        <v>4946000</v>
      </c>
      <c r="E40" s="23">
        <f>D40-C40</f>
        <v>-7551000</v>
      </c>
      <c r="F40" s="24">
        <f>IF(C40=0,0,E40/C40)</f>
        <v>-0.60422501400336082</v>
      </c>
    </row>
    <row r="41" spans="1:8" ht="24" customHeight="1" x14ac:dyDescent="0.25">
      <c r="A41" s="25"/>
      <c r="B41" s="26" t="s">
        <v>42</v>
      </c>
      <c r="C41" s="27">
        <f>+C38+C40</f>
        <v>121657000</v>
      </c>
      <c r="D41" s="27">
        <f>+D38+D40</f>
        <v>118572000</v>
      </c>
      <c r="E41" s="27">
        <f>D41-C41</f>
        <v>-3085000</v>
      </c>
      <c r="F41" s="28">
        <f>IF(C41=0,0,E41/C41)</f>
        <v>-2.5358179143000401E-2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284954000</v>
      </c>
      <c r="D43" s="27">
        <f>D22+D29+D31+D32+D33+D41</f>
        <v>302774000</v>
      </c>
      <c r="E43" s="27">
        <f>D43-C43</f>
        <v>17820000</v>
      </c>
      <c r="F43" s="28">
        <f>IF(C43=0,0,E43/C43)</f>
        <v>6.2536409385374483E-2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8968000</v>
      </c>
      <c r="D49" s="23">
        <v>11257000</v>
      </c>
      <c r="E49" s="23">
        <f t="shared" ref="E49:E56" si="2">D49-C49</f>
        <v>2289000</v>
      </c>
      <c r="F49" s="24">
        <f t="shared" ref="F49:F56" si="3">IF(C49=0,0,E49/C49)</f>
        <v>0.25524085637823374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37350000</v>
      </c>
      <c r="D50" s="23">
        <v>34944000</v>
      </c>
      <c r="E50" s="23">
        <f t="shared" si="2"/>
        <v>-2406000</v>
      </c>
      <c r="F50" s="24">
        <f t="shared" si="3"/>
        <v>-6.4417670682730924E-2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2860000</v>
      </c>
      <c r="E51" s="23">
        <f t="shared" si="2"/>
        <v>2860000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2785000</v>
      </c>
      <c r="D53" s="23">
        <v>2945000</v>
      </c>
      <c r="E53" s="23">
        <f t="shared" si="2"/>
        <v>160000</v>
      </c>
      <c r="F53" s="24">
        <f t="shared" si="3"/>
        <v>5.7450628366247758E-2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49103000</v>
      </c>
      <c r="D56" s="27">
        <f>SUM(D49:D55)</f>
        <v>52006000</v>
      </c>
      <c r="E56" s="27">
        <f t="shared" si="2"/>
        <v>2903000</v>
      </c>
      <c r="F56" s="28">
        <f t="shared" si="3"/>
        <v>5.9120623994460622E-2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50090000</v>
      </c>
      <c r="D59" s="23">
        <v>47145000</v>
      </c>
      <c r="E59" s="23">
        <f>D59-C59</f>
        <v>-2945000</v>
      </c>
      <c r="F59" s="24">
        <f>IF(C59=0,0,E59/C59)</f>
        <v>-5.8794170493112398E-2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50090000</v>
      </c>
      <c r="D61" s="27">
        <f>SUM(D59:D60)</f>
        <v>47145000</v>
      </c>
      <c r="E61" s="27">
        <f>D61-C61</f>
        <v>-2945000</v>
      </c>
      <c r="F61" s="28">
        <f>IF(C61=0,0,E61/C61)</f>
        <v>-5.8794170493112398E-2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54221000</v>
      </c>
      <c r="D63" s="23">
        <v>55462000</v>
      </c>
      <c r="E63" s="23">
        <f>D63-C63</f>
        <v>1241000</v>
      </c>
      <c r="F63" s="24">
        <f>IF(C63=0,0,E63/C63)</f>
        <v>2.2887810995739659E-2</v>
      </c>
    </row>
    <row r="64" spans="1:6" ht="24" customHeight="1" x14ac:dyDescent="0.2">
      <c r="A64" s="21">
        <v>4</v>
      </c>
      <c r="B64" s="22" t="s">
        <v>60</v>
      </c>
      <c r="C64" s="23">
        <v>44849000</v>
      </c>
      <c r="D64" s="23">
        <v>47569000</v>
      </c>
      <c r="E64" s="23">
        <f>D64-C64</f>
        <v>2720000</v>
      </c>
      <c r="F64" s="24">
        <f>IF(C64=0,0,E64/C64)</f>
        <v>6.0647952016767377E-2</v>
      </c>
    </row>
    <row r="65" spans="1:6" ht="24" customHeight="1" x14ac:dyDescent="0.25">
      <c r="A65" s="25"/>
      <c r="B65" s="26" t="s">
        <v>61</v>
      </c>
      <c r="C65" s="27">
        <f>SUM(C61:C64)</f>
        <v>149160000</v>
      </c>
      <c r="D65" s="27">
        <f>SUM(D61:D64)</f>
        <v>150176000</v>
      </c>
      <c r="E65" s="27">
        <f>D65-C65</f>
        <v>1016000</v>
      </c>
      <c r="F65" s="28">
        <f>IF(C65=0,0,E65/C65)</f>
        <v>6.811477607937785E-3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47837000</v>
      </c>
      <c r="D70" s="23">
        <v>60022000</v>
      </c>
      <c r="E70" s="23">
        <f>D70-C70</f>
        <v>12185000</v>
      </c>
      <c r="F70" s="24">
        <f>IF(C70=0,0,E70/C70)</f>
        <v>0.25471915044839766</v>
      </c>
    </row>
    <row r="71" spans="1:6" ht="24" customHeight="1" x14ac:dyDescent="0.2">
      <c r="A71" s="21">
        <v>2</v>
      </c>
      <c r="B71" s="22" t="s">
        <v>65</v>
      </c>
      <c r="C71" s="23">
        <v>26622000</v>
      </c>
      <c r="D71" s="23">
        <v>23262000</v>
      </c>
      <c r="E71" s="23">
        <f>D71-C71</f>
        <v>-3360000</v>
      </c>
      <c r="F71" s="24">
        <f>IF(C71=0,0,E71/C71)</f>
        <v>-0.12621140410187062</v>
      </c>
    </row>
    <row r="72" spans="1:6" ht="24" customHeight="1" x14ac:dyDescent="0.2">
      <c r="A72" s="21">
        <v>3</v>
      </c>
      <c r="B72" s="22" t="s">
        <v>66</v>
      </c>
      <c r="C72" s="23">
        <v>12232000</v>
      </c>
      <c r="D72" s="23">
        <v>17308000</v>
      </c>
      <c r="E72" s="23">
        <f>D72-C72</f>
        <v>5076000</v>
      </c>
      <c r="F72" s="24">
        <f>IF(C72=0,0,E72/C72)</f>
        <v>0.41497710922171355</v>
      </c>
    </row>
    <row r="73" spans="1:6" ht="24" customHeight="1" x14ac:dyDescent="0.25">
      <c r="A73" s="21"/>
      <c r="B73" s="26" t="s">
        <v>67</v>
      </c>
      <c r="C73" s="27">
        <f>SUM(C70:C72)</f>
        <v>86691000</v>
      </c>
      <c r="D73" s="27">
        <f>SUM(D70:D72)</f>
        <v>100592000</v>
      </c>
      <c r="E73" s="27">
        <f>D73-C73</f>
        <v>13901000</v>
      </c>
      <c r="F73" s="28">
        <f>IF(C73=0,0,E73/C73)</f>
        <v>0.16035113218211811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284954000</v>
      </c>
      <c r="D75" s="27">
        <f>D56+D65+D67+D73</f>
        <v>302774000</v>
      </c>
      <c r="E75" s="27">
        <f>D75-C75</f>
        <v>17820000</v>
      </c>
      <c r="F75" s="28">
        <f>IF(C75=0,0,E75/C75)</f>
        <v>6.2536409385374483E-2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FILING&amp;RBRIDGEPORT HOSPITAL &amp;AMP; HEALTHCARE SERVICES,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1155983000</v>
      </c>
      <c r="D12" s="51">
        <v>1211791000</v>
      </c>
      <c r="E12" s="51">
        <f t="shared" ref="E12:E19" si="0">D12-C12</f>
        <v>55808000</v>
      </c>
      <c r="F12" s="70">
        <f t="shared" ref="F12:F19" si="1">IF(C12=0,0,E12/C12)</f>
        <v>4.827752657262261E-2</v>
      </c>
    </row>
    <row r="13" spans="1:8" ht="23.1" customHeight="1" x14ac:dyDescent="0.2">
      <c r="A13" s="25">
        <v>2</v>
      </c>
      <c r="B13" s="48" t="s">
        <v>72</v>
      </c>
      <c r="C13" s="51">
        <v>740508000</v>
      </c>
      <c r="D13" s="51">
        <v>810016000</v>
      </c>
      <c r="E13" s="51">
        <f t="shared" si="0"/>
        <v>69508000</v>
      </c>
      <c r="F13" s="70">
        <f t="shared" si="1"/>
        <v>9.3865292474895612E-2</v>
      </c>
    </row>
    <row r="14" spans="1:8" ht="23.1" customHeight="1" x14ac:dyDescent="0.2">
      <c r="A14" s="25">
        <v>3</v>
      </c>
      <c r="B14" s="48" t="s">
        <v>73</v>
      </c>
      <c r="C14" s="51">
        <v>35961000</v>
      </c>
      <c r="D14" s="51">
        <v>25339000</v>
      </c>
      <c r="E14" s="51">
        <f t="shared" si="0"/>
        <v>-10622000</v>
      </c>
      <c r="F14" s="70">
        <f t="shared" si="1"/>
        <v>-0.2953755457300965</v>
      </c>
    </row>
    <row r="15" spans="1:8" ht="23.1" customHeight="1" x14ac:dyDescent="0.2">
      <c r="A15" s="25">
        <v>4</v>
      </c>
      <c r="B15" s="48" t="s">
        <v>74</v>
      </c>
      <c r="C15" s="51">
        <v>8234000</v>
      </c>
      <c r="D15" s="51">
        <v>7004000</v>
      </c>
      <c r="E15" s="51">
        <f t="shared" si="0"/>
        <v>-1230000</v>
      </c>
      <c r="F15" s="70">
        <f t="shared" si="1"/>
        <v>-0.1493806169540928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371280000</v>
      </c>
      <c r="D16" s="27">
        <f>D12-D13-D14-D15</f>
        <v>369432000</v>
      </c>
      <c r="E16" s="27">
        <f t="shared" si="0"/>
        <v>-1848000</v>
      </c>
      <c r="F16" s="28">
        <f t="shared" si="1"/>
        <v>-4.9773755656108594E-3</v>
      </c>
    </row>
    <row r="17" spans="1:7" ht="23.1" customHeight="1" x14ac:dyDescent="0.2">
      <c r="A17" s="25">
        <v>5</v>
      </c>
      <c r="B17" s="48" t="s">
        <v>76</v>
      </c>
      <c r="C17" s="51">
        <v>5322000</v>
      </c>
      <c r="D17" s="51">
        <v>6446000</v>
      </c>
      <c r="E17" s="51">
        <f t="shared" si="0"/>
        <v>1124000</v>
      </c>
      <c r="F17" s="70">
        <f t="shared" si="1"/>
        <v>0.21119879744456971</v>
      </c>
      <c r="G17" s="64"/>
    </row>
    <row r="18" spans="1:7" ht="33" customHeight="1" x14ac:dyDescent="0.2">
      <c r="A18" s="25">
        <v>6</v>
      </c>
      <c r="B18" s="45" t="s">
        <v>77</v>
      </c>
      <c r="C18" s="51">
        <v>4386000</v>
      </c>
      <c r="D18" s="51">
        <v>4135000</v>
      </c>
      <c r="E18" s="51">
        <f t="shared" si="0"/>
        <v>-251000</v>
      </c>
      <c r="F18" s="70">
        <f t="shared" si="1"/>
        <v>-5.7227542179662562E-2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380988000</v>
      </c>
      <c r="D19" s="27">
        <f>SUM(D16:D18)</f>
        <v>380013000</v>
      </c>
      <c r="E19" s="27">
        <f t="shared" si="0"/>
        <v>-975000</v>
      </c>
      <c r="F19" s="28">
        <f t="shared" si="1"/>
        <v>-2.5591357208101045E-3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152260000</v>
      </c>
      <c r="D22" s="51">
        <v>139816000</v>
      </c>
      <c r="E22" s="51">
        <f t="shared" ref="E22:E31" si="2">D22-C22</f>
        <v>-12444000</v>
      </c>
      <c r="F22" s="70">
        <f t="shared" ref="F22:F31" si="3">IF(C22=0,0,E22/C22)</f>
        <v>-8.1728622093786937E-2</v>
      </c>
    </row>
    <row r="23" spans="1:7" ht="23.1" customHeight="1" x14ac:dyDescent="0.2">
      <c r="A23" s="25">
        <v>2</v>
      </c>
      <c r="B23" s="48" t="s">
        <v>81</v>
      </c>
      <c r="C23" s="51">
        <v>43009000</v>
      </c>
      <c r="D23" s="51">
        <v>44208000</v>
      </c>
      <c r="E23" s="51">
        <f t="shared" si="2"/>
        <v>1199000</v>
      </c>
      <c r="F23" s="70">
        <f t="shared" si="3"/>
        <v>2.7877886023855471E-2</v>
      </c>
    </row>
    <row r="24" spans="1:7" ht="23.1" customHeight="1" x14ac:dyDescent="0.2">
      <c r="A24" s="25">
        <v>3</v>
      </c>
      <c r="B24" s="48" t="s">
        <v>82</v>
      </c>
      <c r="C24" s="51">
        <v>4105000</v>
      </c>
      <c r="D24" s="51">
        <v>14982000</v>
      </c>
      <c r="E24" s="51">
        <f t="shared" si="2"/>
        <v>10877000</v>
      </c>
      <c r="F24" s="70">
        <f t="shared" si="3"/>
        <v>2.6496954933008525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51905000</v>
      </c>
      <c r="D25" s="51">
        <v>45842000</v>
      </c>
      <c r="E25" s="51">
        <f t="shared" si="2"/>
        <v>-6063000</v>
      </c>
      <c r="F25" s="70">
        <f t="shared" si="3"/>
        <v>-0.11680955591946826</v>
      </c>
    </row>
    <row r="26" spans="1:7" ht="23.1" customHeight="1" x14ac:dyDescent="0.2">
      <c r="A26" s="25">
        <v>5</v>
      </c>
      <c r="B26" s="48" t="s">
        <v>84</v>
      </c>
      <c r="C26" s="51">
        <v>19468000</v>
      </c>
      <c r="D26" s="51">
        <v>17942000</v>
      </c>
      <c r="E26" s="51">
        <f t="shared" si="2"/>
        <v>-1526000</v>
      </c>
      <c r="F26" s="70">
        <f t="shared" si="3"/>
        <v>-7.8385042120402718E-2</v>
      </c>
    </row>
    <row r="27" spans="1:7" ht="23.1" customHeight="1" x14ac:dyDescent="0.2">
      <c r="A27" s="25">
        <v>6</v>
      </c>
      <c r="B27" s="48" t="s">
        <v>85</v>
      </c>
      <c r="C27" s="51">
        <v>14535000</v>
      </c>
      <c r="D27" s="51">
        <v>13505000</v>
      </c>
      <c r="E27" s="51">
        <f t="shared" si="2"/>
        <v>-1030000</v>
      </c>
      <c r="F27" s="70">
        <f t="shared" si="3"/>
        <v>-7.0863433092535261E-2</v>
      </c>
    </row>
    <row r="28" spans="1:7" ht="23.1" customHeight="1" x14ac:dyDescent="0.2">
      <c r="A28" s="25">
        <v>7</v>
      </c>
      <c r="B28" s="48" t="s">
        <v>86</v>
      </c>
      <c r="C28" s="51">
        <v>3200000</v>
      </c>
      <c r="D28" s="51">
        <v>3059000</v>
      </c>
      <c r="E28" s="51">
        <f t="shared" si="2"/>
        <v>-141000</v>
      </c>
      <c r="F28" s="70">
        <f t="shared" si="3"/>
        <v>-4.4062499999999998E-2</v>
      </c>
    </row>
    <row r="29" spans="1:7" ht="23.1" customHeight="1" x14ac:dyDescent="0.2">
      <c r="A29" s="25">
        <v>8</v>
      </c>
      <c r="B29" s="48" t="s">
        <v>87</v>
      </c>
      <c r="C29" s="51">
        <v>12652000</v>
      </c>
      <c r="D29" s="51">
        <v>10036000</v>
      </c>
      <c r="E29" s="51">
        <f t="shared" si="2"/>
        <v>-2616000</v>
      </c>
      <c r="F29" s="70">
        <f t="shared" si="3"/>
        <v>-0.20676572873853935</v>
      </c>
    </row>
    <row r="30" spans="1:7" ht="23.1" customHeight="1" x14ac:dyDescent="0.2">
      <c r="A30" s="25">
        <v>9</v>
      </c>
      <c r="B30" s="48" t="s">
        <v>88</v>
      </c>
      <c r="C30" s="51">
        <v>76466000</v>
      </c>
      <c r="D30" s="51">
        <v>76609000</v>
      </c>
      <c r="E30" s="51">
        <f t="shared" si="2"/>
        <v>143000</v>
      </c>
      <c r="F30" s="70">
        <f t="shared" si="3"/>
        <v>1.8701122067324039E-3</v>
      </c>
    </row>
    <row r="31" spans="1:7" ht="23.1" customHeight="1" x14ac:dyDescent="0.25">
      <c r="A31" s="29"/>
      <c r="B31" s="71" t="s">
        <v>89</v>
      </c>
      <c r="C31" s="27">
        <f>SUM(C22:C30)</f>
        <v>377600000</v>
      </c>
      <c r="D31" s="27">
        <f>SUM(D22:D30)</f>
        <v>365999000</v>
      </c>
      <c r="E31" s="27">
        <f t="shared" si="2"/>
        <v>-11601000</v>
      </c>
      <c r="F31" s="28">
        <f t="shared" si="3"/>
        <v>-3.0722987288135592E-2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3388000</v>
      </c>
      <c r="D33" s="27">
        <f>+D19-D31</f>
        <v>14014000</v>
      </c>
      <c r="E33" s="27">
        <f>D33-C33</f>
        <v>10626000</v>
      </c>
      <c r="F33" s="28">
        <f>IF(C33=0,0,E33/C33)</f>
        <v>3.1363636363636362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-4987000</v>
      </c>
      <c r="D38" s="51">
        <v>269000</v>
      </c>
      <c r="E38" s="51">
        <f>D38-C38</f>
        <v>5256000</v>
      </c>
      <c r="F38" s="70">
        <f>IF(C38=0,0,E38/C38)</f>
        <v>-1.0539402446360537</v>
      </c>
    </row>
    <row r="39" spans="1:6" ht="23.1" customHeight="1" x14ac:dyDescent="0.25">
      <c r="A39" s="20"/>
      <c r="B39" s="71" t="s">
        <v>95</v>
      </c>
      <c r="C39" s="27">
        <f>SUM(C36:C38)</f>
        <v>-4987000</v>
      </c>
      <c r="D39" s="27">
        <f>SUM(D36:D38)</f>
        <v>269000</v>
      </c>
      <c r="E39" s="27">
        <f>D39-C39</f>
        <v>5256000</v>
      </c>
      <c r="F39" s="28">
        <f>IF(C39=0,0,E39/C39)</f>
        <v>-1.0539402446360537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-1599000</v>
      </c>
      <c r="D41" s="27">
        <f>D33+D39</f>
        <v>14283000</v>
      </c>
      <c r="E41" s="27">
        <f>D41-C41</f>
        <v>15882000</v>
      </c>
      <c r="F41" s="28">
        <f>IF(C41=0,0,E41/C41)</f>
        <v>-9.9324577861163235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1442000</v>
      </c>
      <c r="D44" s="51">
        <v>1497000</v>
      </c>
      <c r="E44" s="51">
        <f>D44-C44</f>
        <v>55000</v>
      </c>
      <c r="F44" s="70">
        <f>IF(C44=0,0,E44/C44)</f>
        <v>3.8141470180305129E-2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1442000</v>
      </c>
      <c r="D46" s="27">
        <f>SUM(D44:D45)</f>
        <v>1497000</v>
      </c>
      <c r="E46" s="27">
        <f>D46-C46</f>
        <v>55000</v>
      </c>
      <c r="F46" s="28">
        <f>IF(C46=0,0,E46/C46)</f>
        <v>3.8141470180305129E-2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-157000</v>
      </c>
      <c r="D48" s="27">
        <f>D41+D46</f>
        <v>15780000</v>
      </c>
      <c r="E48" s="27">
        <f>D48-C48</f>
        <v>15937000</v>
      </c>
      <c r="F48" s="28">
        <f>IF(C48=0,0,E48/C48)</f>
        <v>-101.50955414012739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FILING&amp;R&amp;8BRIDGEPORT HOSPITAL &amp;AMP; HEALTHCARE SERVICES,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2011-07-18T20:09:43Z</cp:lastPrinted>
  <dcterms:created xsi:type="dcterms:W3CDTF">2006-08-03T13:49:12Z</dcterms:created>
  <dcterms:modified xsi:type="dcterms:W3CDTF">2011-08-05T17:44:14Z</dcterms:modified>
</cp:coreProperties>
</file>