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 s="1"/>
  <c r="D238" i="14"/>
  <c r="D237" i="14"/>
  <c r="D230" i="14"/>
  <c r="D229" i="14"/>
  <c r="D226" i="14"/>
  <c r="D227" i="14"/>
  <c r="D223" i="14"/>
  <c r="D204" i="14"/>
  <c r="D269" i="14" s="1"/>
  <c r="D203" i="14"/>
  <c r="D283" i="14" s="1"/>
  <c r="D198" i="14"/>
  <c r="D290" i="14" s="1"/>
  <c r="D191" i="14"/>
  <c r="D264" i="14"/>
  <c r="D189" i="14"/>
  <c r="D278" i="14"/>
  <c r="D188" i="14"/>
  <c r="D214" i="14"/>
  <c r="D180" i="14"/>
  <c r="D181" i="14"/>
  <c r="D179" i="14"/>
  <c r="D171" i="14"/>
  <c r="D172" i="14" s="1"/>
  <c r="D173" i="14" s="1"/>
  <c r="D170" i="14"/>
  <c r="D165" i="14"/>
  <c r="D164" i="14"/>
  <c r="D158" i="14"/>
  <c r="D159" i="14" s="1"/>
  <c r="D155" i="14"/>
  <c r="D145" i="14"/>
  <c r="D144" i="14"/>
  <c r="D136" i="14"/>
  <c r="D137" i="14" s="1"/>
  <c r="D207" i="14" s="1"/>
  <c r="D208" i="14" s="1"/>
  <c r="D135" i="14"/>
  <c r="D130" i="14"/>
  <c r="D129" i="14"/>
  <c r="D123" i="14"/>
  <c r="D124" i="14" s="1"/>
  <c r="D120" i="14"/>
  <c r="D110" i="14"/>
  <c r="D109" i="14"/>
  <c r="D101" i="14"/>
  <c r="D102" i="14" s="1"/>
  <c r="D103" i="14" s="1"/>
  <c r="D100" i="14"/>
  <c r="D95" i="14"/>
  <c r="D94" i="14"/>
  <c r="D88" i="14"/>
  <c r="D89" i="14"/>
  <c r="D85" i="14"/>
  <c r="D77" i="14"/>
  <c r="D76" i="14"/>
  <c r="D67" i="14"/>
  <c r="D66" i="14"/>
  <c r="D59" i="14"/>
  <c r="D60" i="14" s="1"/>
  <c r="D61" i="14" s="1"/>
  <c r="D58" i="14"/>
  <c r="D53" i="14"/>
  <c r="D52" i="14"/>
  <c r="D47" i="14"/>
  <c r="D48" i="14" s="1"/>
  <c r="D90" i="14" s="1"/>
  <c r="D44" i="14"/>
  <c r="D36" i="14"/>
  <c r="D35" i="14"/>
  <c r="D30" i="14"/>
  <c r="D31" i="14"/>
  <c r="D32" i="14" s="1"/>
  <c r="D29" i="14"/>
  <c r="D24" i="14"/>
  <c r="D23" i="14"/>
  <c r="D20" i="14"/>
  <c r="D21" i="14" s="1"/>
  <c r="D126" i="14" s="1"/>
  <c r="D127" i="14" s="1"/>
  <c r="D17" i="14"/>
  <c r="E97" i="19"/>
  <c r="D97" i="19"/>
  <c r="C97" i="19"/>
  <c r="E96" i="19"/>
  <c r="E98" i="19" s="1"/>
  <c r="D96" i="19"/>
  <c r="D98" i="19" s="1"/>
  <c r="C96" i="19"/>
  <c r="C98" i="19" s="1"/>
  <c r="E92" i="19"/>
  <c r="D92" i="19"/>
  <c r="C92" i="19"/>
  <c r="E91" i="19"/>
  <c r="D91" i="19"/>
  <c r="D93" i="19" s="1"/>
  <c r="C91" i="19"/>
  <c r="E87" i="19"/>
  <c r="D87" i="19"/>
  <c r="C87" i="19"/>
  <c r="E86" i="19"/>
  <c r="D86" i="19"/>
  <c r="D88" i="19" s="1"/>
  <c r="C86" i="19"/>
  <c r="C88" i="19" s="1"/>
  <c r="E83" i="19"/>
  <c r="D83" i="19"/>
  <c r="C83" i="19"/>
  <c r="E76" i="19"/>
  <c r="E102" i="19" s="1"/>
  <c r="D76" i="19"/>
  <c r="C76" i="19"/>
  <c r="E75" i="19"/>
  <c r="E77" i="19" s="1"/>
  <c r="E109" i="19" s="1"/>
  <c r="D75" i="19"/>
  <c r="D77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33" i="19"/>
  <c r="C12" i="19"/>
  <c r="C34" i="19" s="1"/>
  <c r="C33" i="19"/>
  <c r="D21" i="18"/>
  <c r="C21" i="18"/>
  <c r="E21" i="18" s="1"/>
  <c r="F21" i="18" s="1"/>
  <c r="D19" i="18"/>
  <c r="C19" i="18"/>
  <c r="E19" i="18" s="1"/>
  <c r="F19" i="18" s="1"/>
  <c r="E17" i="18"/>
  <c r="F17" i="18"/>
  <c r="E15" i="18"/>
  <c r="F15" i="18" s="1"/>
  <c r="D45" i="17"/>
  <c r="C45" i="17"/>
  <c r="D44" i="17"/>
  <c r="C44" i="17"/>
  <c r="D43" i="17"/>
  <c r="D46" i="17" s="1"/>
  <c r="C43" i="17"/>
  <c r="C46" i="17" s="1"/>
  <c r="D36" i="17"/>
  <c r="D40" i="17" s="1"/>
  <c r="E40" i="17" s="1"/>
  <c r="C36" i="17"/>
  <c r="C40" i="17" s="1"/>
  <c r="E35" i="17"/>
  <c r="F35" i="17" s="1"/>
  <c r="E34" i="17"/>
  <c r="F34" i="17" s="1"/>
  <c r="E33" i="17"/>
  <c r="F33" i="17" s="1"/>
  <c r="E36" i="17"/>
  <c r="F36" i="17" s="1"/>
  <c r="E30" i="17"/>
  <c r="F30" i="17" s="1"/>
  <c r="E29" i="17"/>
  <c r="F29" i="17" s="1"/>
  <c r="F28" i="17"/>
  <c r="E28" i="17"/>
  <c r="F27" i="17"/>
  <c r="E27" i="17"/>
  <c r="D25" i="17"/>
  <c r="D39" i="17" s="1"/>
  <c r="C25" i="17"/>
  <c r="C39" i="17"/>
  <c r="E24" i="17"/>
  <c r="F24" i="17" s="1"/>
  <c r="E23" i="17"/>
  <c r="F23" i="17" s="1"/>
  <c r="E22" i="17"/>
  <c r="F22" i="17" s="1"/>
  <c r="D19" i="17"/>
  <c r="D20" i="17" s="1"/>
  <c r="E20" i="17" s="1"/>
  <c r="C19" i="17"/>
  <c r="C20" i="17" s="1"/>
  <c r="E18" i="17"/>
  <c r="F18" i="17" s="1"/>
  <c r="D16" i="17"/>
  <c r="C16" i="17"/>
  <c r="E15" i="17"/>
  <c r="F15" i="17" s="1"/>
  <c r="E13" i="17"/>
  <c r="F13" i="17" s="1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64" i="16"/>
  <c r="C36" i="16"/>
  <c r="C32" i="16"/>
  <c r="C33" i="16" s="1"/>
  <c r="C21" i="16"/>
  <c r="E328" i="15"/>
  <c r="E325" i="15"/>
  <c r="D324" i="15"/>
  <c r="D326" i="15" s="1"/>
  <c r="C324" i="15"/>
  <c r="C326" i="15" s="1"/>
  <c r="C330" i="15" s="1"/>
  <c r="E318" i="15"/>
  <c r="E315" i="15"/>
  <c r="D314" i="15"/>
  <c r="D316" i="15" s="1"/>
  <c r="C314" i="15"/>
  <c r="C316" i="15" s="1"/>
  <c r="C320" i="15" s="1"/>
  <c r="E308" i="15"/>
  <c r="E305" i="15"/>
  <c r="D301" i="15"/>
  <c r="C301" i="15"/>
  <c r="D293" i="15"/>
  <c r="C293" i="15"/>
  <c r="D292" i="15"/>
  <c r="E292" i="15" s="1"/>
  <c r="C292" i="15"/>
  <c r="D291" i="15"/>
  <c r="E291" i="15" s="1"/>
  <c r="C291" i="15"/>
  <c r="D290" i="15"/>
  <c r="C290" i="15"/>
  <c r="D288" i="15"/>
  <c r="E288" i="15"/>
  <c r="C288" i="15"/>
  <c r="D287" i="15"/>
  <c r="C287" i="15"/>
  <c r="E287" i="15"/>
  <c r="D282" i="15"/>
  <c r="E282" i="15"/>
  <c r="C282" i="15"/>
  <c r="D281" i="15"/>
  <c r="E281" i="15" s="1"/>
  <c r="C281" i="15"/>
  <c r="D280" i="15"/>
  <c r="E280" i="15" s="1"/>
  <c r="C280" i="15"/>
  <c r="D279" i="15"/>
  <c r="C279" i="15"/>
  <c r="E279" i="15" s="1"/>
  <c r="D278" i="15"/>
  <c r="E278" i="15"/>
  <c r="C278" i="15"/>
  <c r="D277" i="15"/>
  <c r="E277" i="15" s="1"/>
  <c r="C277" i="15"/>
  <c r="D276" i="15"/>
  <c r="E276" i="15" s="1"/>
  <c r="C276" i="15"/>
  <c r="E270" i="15"/>
  <c r="D265" i="15"/>
  <c r="E265" i="15" s="1"/>
  <c r="C265" i="15"/>
  <c r="C302" i="15" s="1"/>
  <c r="C303" i="15" s="1"/>
  <c r="C306" i="15" s="1"/>
  <c r="C310" i="15" s="1"/>
  <c r="D262" i="15"/>
  <c r="E262" i="15" s="1"/>
  <c r="C262" i="15"/>
  <c r="D251" i="15"/>
  <c r="C251" i="15"/>
  <c r="D233" i="15"/>
  <c r="C233" i="15"/>
  <c r="D232" i="15"/>
  <c r="E232" i="15" s="1"/>
  <c r="C232" i="15"/>
  <c r="D231" i="15"/>
  <c r="C231" i="15"/>
  <c r="D230" i="15"/>
  <c r="E230" i="15" s="1"/>
  <c r="C230" i="15"/>
  <c r="D228" i="15"/>
  <c r="C228" i="15"/>
  <c r="D227" i="15"/>
  <c r="E227" i="15" s="1"/>
  <c r="C227" i="15"/>
  <c r="D221" i="15"/>
  <c r="D245" i="15" s="1"/>
  <c r="C221" i="15"/>
  <c r="C245" i="15" s="1"/>
  <c r="D220" i="15"/>
  <c r="C220" i="15"/>
  <c r="C244" i="15" s="1"/>
  <c r="D219" i="15"/>
  <c r="E219" i="15"/>
  <c r="C219" i="15"/>
  <c r="C243" i="15"/>
  <c r="D218" i="15"/>
  <c r="D242" i="15" s="1"/>
  <c r="C218" i="15"/>
  <c r="D216" i="15"/>
  <c r="C216" i="15"/>
  <c r="C222" i="15" s="1"/>
  <c r="D215" i="15"/>
  <c r="C215" i="15"/>
  <c r="C223" i="15" s="1"/>
  <c r="E209" i="15"/>
  <c r="E208" i="15"/>
  <c r="E207" i="15"/>
  <c r="E206" i="15"/>
  <c r="D205" i="15"/>
  <c r="E205" i="15" s="1"/>
  <c r="C205" i="15"/>
  <c r="C229" i="15" s="1"/>
  <c r="E204" i="15"/>
  <c r="E203" i="15"/>
  <c r="E197" i="15"/>
  <c r="E196" i="15"/>
  <c r="D195" i="15"/>
  <c r="D260" i="15" s="1"/>
  <c r="C195" i="15"/>
  <c r="C260" i="15" s="1"/>
  <c r="E194" i="15"/>
  <c r="E193" i="15"/>
  <c r="E192" i="15"/>
  <c r="E191" i="15"/>
  <c r="E190" i="15"/>
  <c r="D188" i="15"/>
  <c r="D189" i="15" s="1"/>
  <c r="C188" i="15"/>
  <c r="C189" i="15" s="1"/>
  <c r="C261" i="15"/>
  <c r="E186" i="15"/>
  <c r="E185" i="15"/>
  <c r="D179" i="15"/>
  <c r="C179" i="15"/>
  <c r="D178" i="15"/>
  <c r="C178" i="15"/>
  <c r="D177" i="15"/>
  <c r="E177" i="15" s="1"/>
  <c r="C177" i="15"/>
  <c r="D176" i="15"/>
  <c r="E176" i="15" s="1"/>
  <c r="C176" i="15"/>
  <c r="D174" i="15"/>
  <c r="E174" i="15" s="1"/>
  <c r="C174" i="15"/>
  <c r="D173" i="15"/>
  <c r="C173" i="15"/>
  <c r="D167" i="15"/>
  <c r="E167" i="15"/>
  <c r="C167" i="15"/>
  <c r="D166" i="15"/>
  <c r="E166" i="15" s="1"/>
  <c r="C166" i="15"/>
  <c r="D165" i="15"/>
  <c r="E165" i="15" s="1"/>
  <c r="C165" i="15"/>
  <c r="D164" i="15"/>
  <c r="C164" i="15"/>
  <c r="E164" i="15" s="1"/>
  <c r="D162" i="15"/>
  <c r="E162" i="15"/>
  <c r="C162" i="15"/>
  <c r="D161" i="15"/>
  <c r="E161" i="15" s="1"/>
  <c r="C161" i="15"/>
  <c r="E155" i="15"/>
  <c r="E154" i="15"/>
  <c r="E153" i="15"/>
  <c r="E152" i="15"/>
  <c r="D151" i="15"/>
  <c r="D156" i="15" s="1"/>
  <c r="C151" i="15"/>
  <c r="C156" i="15" s="1"/>
  <c r="C157" i="15" s="1"/>
  <c r="E150" i="15"/>
  <c r="E149" i="15"/>
  <c r="E143" i="15"/>
  <c r="E142" i="15"/>
  <c r="E141" i="15"/>
  <c r="E140" i="15"/>
  <c r="D139" i="15"/>
  <c r="D163" i="15" s="1"/>
  <c r="C139" i="15"/>
  <c r="C175" i="15" s="1"/>
  <c r="E138" i="15"/>
  <c r="E137" i="15"/>
  <c r="D75" i="15"/>
  <c r="C75" i="15"/>
  <c r="D74" i="15"/>
  <c r="E74" i="15" s="1"/>
  <c r="C74" i="15"/>
  <c r="D73" i="15"/>
  <c r="C73" i="15"/>
  <c r="E73" i="15" s="1"/>
  <c r="D72" i="15"/>
  <c r="E72" i="15" s="1"/>
  <c r="C72" i="15"/>
  <c r="D70" i="15"/>
  <c r="C70" i="15"/>
  <c r="D69" i="15"/>
  <c r="C69" i="15"/>
  <c r="E64" i="15"/>
  <c r="E63" i="15"/>
  <c r="E62" i="15"/>
  <c r="E61" i="15"/>
  <c r="D60" i="15"/>
  <c r="D65" i="15" s="1"/>
  <c r="C60" i="15"/>
  <c r="C65" i="15" s="1"/>
  <c r="E59" i="15"/>
  <c r="E58" i="15"/>
  <c r="D54" i="15"/>
  <c r="E54" i="15" s="1"/>
  <c r="C54" i="15"/>
  <c r="C55" i="15" s="1"/>
  <c r="E53" i="15"/>
  <c r="E52" i="15"/>
  <c r="E51" i="15"/>
  <c r="E50" i="15"/>
  <c r="E49" i="15"/>
  <c r="E48" i="15"/>
  <c r="E47" i="15"/>
  <c r="D42" i="15"/>
  <c r="C42" i="15"/>
  <c r="D41" i="15"/>
  <c r="C41" i="15"/>
  <c r="E41" i="15" s="1"/>
  <c r="D40" i="15"/>
  <c r="E40" i="15"/>
  <c r="C40" i="15"/>
  <c r="D39" i="15"/>
  <c r="E39" i="15" s="1"/>
  <c r="C39" i="15"/>
  <c r="D38" i="15"/>
  <c r="E38" i="15" s="1"/>
  <c r="C38" i="15"/>
  <c r="D37" i="15"/>
  <c r="C37" i="15"/>
  <c r="C43" i="15" s="1"/>
  <c r="D36" i="15"/>
  <c r="C36" i="15"/>
  <c r="D32" i="15"/>
  <c r="C32" i="15"/>
  <c r="E31" i="15"/>
  <c r="E30" i="15"/>
  <c r="E29" i="15"/>
  <c r="E28" i="15"/>
  <c r="E27" i="15"/>
  <c r="E26" i="15"/>
  <c r="E25" i="15"/>
  <c r="D21" i="15"/>
  <c r="D283" i="15" s="1"/>
  <c r="C21" i="15"/>
  <c r="E20" i="15"/>
  <c r="E19" i="15"/>
  <c r="E18" i="15"/>
  <c r="E17" i="15"/>
  <c r="E16" i="15"/>
  <c r="E15" i="15"/>
  <c r="E14" i="15"/>
  <c r="F335" i="14"/>
  <c r="E335" i="14"/>
  <c r="E334" i="14"/>
  <c r="F334" i="14" s="1"/>
  <c r="E333" i="14"/>
  <c r="F333" i="14" s="1"/>
  <c r="F332" i="14"/>
  <c r="E332" i="14"/>
  <c r="E331" i="14"/>
  <c r="F331" i="14" s="1"/>
  <c r="E330" i="14"/>
  <c r="F330" i="14" s="1"/>
  <c r="E329" i="14"/>
  <c r="F329" i="14" s="1"/>
  <c r="F316" i="14"/>
  <c r="E316" i="14"/>
  <c r="C311" i="14"/>
  <c r="E311" i="14" s="1"/>
  <c r="E308" i="14"/>
  <c r="F308" i="14" s="1"/>
  <c r="C307" i="14"/>
  <c r="C299" i="14"/>
  <c r="E299" i="14" s="1"/>
  <c r="C298" i="14"/>
  <c r="E298" i="14" s="1"/>
  <c r="F298" i="14" s="1"/>
  <c r="C297" i="14"/>
  <c r="E297" i="14" s="1"/>
  <c r="F297" i="14" s="1"/>
  <c r="C296" i="14"/>
  <c r="C295" i="14"/>
  <c r="E295" i="14" s="1"/>
  <c r="C294" i="14"/>
  <c r="E294" i="14"/>
  <c r="C250" i="14"/>
  <c r="E249" i="14"/>
  <c r="F249" i="14" s="1"/>
  <c r="E248" i="14"/>
  <c r="F248" i="14" s="1"/>
  <c r="E245" i="14"/>
  <c r="F245" i="14" s="1"/>
  <c r="E244" i="14"/>
  <c r="F244" i="14" s="1"/>
  <c r="E243" i="14"/>
  <c r="F243" i="14" s="1"/>
  <c r="C238" i="14"/>
  <c r="C237" i="14"/>
  <c r="E237" i="14" s="1"/>
  <c r="E234" i="14"/>
  <c r="F234" i="14" s="1"/>
  <c r="E233" i="14"/>
  <c r="F233" i="14"/>
  <c r="C230" i="14"/>
  <c r="E230" i="14" s="1"/>
  <c r="F230" i="14" s="1"/>
  <c r="C229" i="14"/>
  <c r="E229" i="14" s="1"/>
  <c r="E228" i="14"/>
  <c r="F228" i="14" s="1"/>
  <c r="C226" i="14"/>
  <c r="C227" i="14" s="1"/>
  <c r="E227" i="14" s="1"/>
  <c r="E225" i="14"/>
  <c r="F225" i="14"/>
  <c r="E224" i="14"/>
  <c r="F224" i="14"/>
  <c r="C223" i="14"/>
  <c r="E223" i="14"/>
  <c r="E222" i="14"/>
  <c r="F222" i="14" s="1"/>
  <c r="E221" i="14"/>
  <c r="F221" i="14" s="1"/>
  <c r="C204" i="14"/>
  <c r="C269" i="14" s="1"/>
  <c r="C203" i="14"/>
  <c r="C267" i="14" s="1"/>
  <c r="C198" i="14"/>
  <c r="C290" i="14" s="1"/>
  <c r="C191" i="14"/>
  <c r="C189" i="14"/>
  <c r="C278" i="14" s="1"/>
  <c r="C188" i="14"/>
  <c r="C206" i="14" s="1"/>
  <c r="C180" i="14"/>
  <c r="E180" i="14" s="1"/>
  <c r="C179" i="14"/>
  <c r="E179" i="14" s="1"/>
  <c r="F179" i="14" s="1"/>
  <c r="C171" i="14"/>
  <c r="C172" i="14"/>
  <c r="C170" i="14"/>
  <c r="E170" i="14" s="1"/>
  <c r="E169" i="14"/>
  <c r="F169" i="14" s="1"/>
  <c r="E168" i="14"/>
  <c r="F168" i="14" s="1"/>
  <c r="C165" i="14"/>
  <c r="E165" i="14" s="1"/>
  <c r="C164" i="14"/>
  <c r="E164" i="14" s="1"/>
  <c r="F164" i="14" s="1"/>
  <c r="E163" i="14"/>
  <c r="F163" i="14" s="1"/>
  <c r="C158" i="14"/>
  <c r="E157" i="14"/>
  <c r="F157" i="14" s="1"/>
  <c r="E156" i="14"/>
  <c r="F156" i="14" s="1"/>
  <c r="E155" i="14"/>
  <c r="C155" i="14"/>
  <c r="E154" i="14"/>
  <c r="F154" i="14" s="1"/>
  <c r="E153" i="14"/>
  <c r="F153" i="14" s="1"/>
  <c r="C145" i="14"/>
  <c r="E145" i="14" s="1"/>
  <c r="C144" i="14"/>
  <c r="C136" i="14"/>
  <c r="C137" i="14" s="1"/>
  <c r="C138" i="14" s="1"/>
  <c r="C135" i="14"/>
  <c r="E135" i="14"/>
  <c r="E134" i="14"/>
  <c r="F134" i="14"/>
  <c r="E133" i="14"/>
  <c r="F133" i="14"/>
  <c r="C130" i="14"/>
  <c r="C129" i="14"/>
  <c r="E128" i="14"/>
  <c r="F128" i="14" s="1"/>
  <c r="C123" i="14"/>
  <c r="C124" i="14" s="1"/>
  <c r="E122" i="14"/>
  <c r="F122" i="14"/>
  <c r="E121" i="14"/>
  <c r="F121" i="14"/>
  <c r="C120" i="14"/>
  <c r="E120" i="14"/>
  <c r="E119" i="14"/>
  <c r="F119" i="14"/>
  <c r="E118" i="14"/>
  <c r="F118" i="14"/>
  <c r="C110" i="14"/>
  <c r="C109" i="14"/>
  <c r="E109" i="14" s="1"/>
  <c r="C101" i="14"/>
  <c r="C102" i="14" s="1"/>
  <c r="E101" i="14"/>
  <c r="C100" i="14"/>
  <c r="E100" i="14" s="1"/>
  <c r="E99" i="14"/>
  <c r="F99" i="14" s="1"/>
  <c r="E98" i="14"/>
  <c r="F98" i="14" s="1"/>
  <c r="C95" i="14"/>
  <c r="C94" i="14"/>
  <c r="E93" i="14"/>
  <c r="F93" i="14" s="1"/>
  <c r="C89" i="14"/>
  <c r="C88" i="14"/>
  <c r="E88" i="14"/>
  <c r="F88" i="14" s="1"/>
  <c r="E87" i="14"/>
  <c r="F87" i="14" s="1"/>
  <c r="E86" i="14"/>
  <c r="F86" i="14" s="1"/>
  <c r="C85" i="14"/>
  <c r="E85" i="14" s="1"/>
  <c r="E84" i="14"/>
  <c r="F84" i="14"/>
  <c r="E83" i="14"/>
  <c r="F83" i="14" s="1"/>
  <c r="C76" i="14"/>
  <c r="C77" i="14" s="1"/>
  <c r="E77" i="14" s="1"/>
  <c r="E74" i="14"/>
  <c r="F74" i="14" s="1"/>
  <c r="E73" i="14"/>
  <c r="F73" i="14" s="1"/>
  <c r="C67" i="14"/>
  <c r="C66" i="14"/>
  <c r="E66" i="14"/>
  <c r="F66" i="14" s="1"/>
  <c r="C59" i="14"/>
  <c r="C60" i="14" s="1"/>
  <c r="C61" i="14" s="1"/>
  <c r="C139" i="14" s="1"/>
  <c r="C58" i="14"/>
  <c r="E58" i="14" s="1"/>
  <c r="E57" i="14"/>
  <c r="F57" i="14" s="1"/>
  <c r="E56" i="14"/>
  <c r="F56" i="14" s="1"/>
  <c r="C53" i="14"/>
  <c r="C52" i="14"/>
  <c r="E52" i="14"/>
  <c r="F52" i="14" s="1"/>
  <c r="E51" i="14"/>
  <c r="F51" i="14" s="1"/>
  <c r="C47" i="14"/>
  <c r="C48" i="14" s="1"/>
  <c r="E46" i="14"/>
  <c r="F46" i="14" s="1"/>
  <c r="E45" i="14"/>
  <c r="F45" i="14" s="1"/>
  <c r="C44" i="14"/>
  <c r="E43" i="14"/>
  <c r="F43" i="14" s="1"/>
  <c r="E42" i="14"/>
  <c r="F42" i="14" s="1"/>
  <c r="C36" i="14"/>
  <c r="E36" i="14" s="1"/>
  <c r="F36" i="14" s="1"/>
  <c r="C35" i="14"/>
  <c r="E35" i="14" s="1"/>
  <c r="C30" i="14"/>
  <c r="E30" i="14" s="1"/>
  <c r="C29" i="14"/>
  <c r="E29" i="14" s="1"/>
  <c r="E28" i="14"/>
  <c r="F28" i="14" s="1"/>
  <c r="E27" i="14"/>
  <c r="F27" i="14" s="1"/>
  <c r="C24" i="14"/>
  <c r="C23" i="14"/>
  <c r="E22" i="14"/>
  <c r="F22" i="14" s="1"/>
  <c r="C20" i="14"/>
  <c r="C21" i="14" s="1"/>
  <c r="C126" i="14" s="1"/>
  <c r="E19" i="14"/>
  <c r="F19" i="14"/>
  <c r="E18" i="14"/>
  <c r="F18" i="14"/>
  <c r="C17" i="14"/>
  <c r="E17" i="14" s="1"/>
  <c r="E16" i="14"/>
  <c r="F16" i="14" s="1"/>
  <c r="F15" i="14"/>
  <c r="E15" i="14"/>
  <c r="D21" i="13"/>
  <c r="C21" i="13"/>
  <c r="E20" i="13"/>
  <c r="F20" i="13" s="1"/>
  <c r="D17" i="13"/>
  <c r="C17" i="13"/>
  <c r="F16" i="13"/>
  <c r="E16" i="13"/>
  <c r="D13" i="13"/>
  <c r="C13" i="13"/>
  <c r="E12" i="13"/>
  <c r="F12" i="13" s="1"/>
  <c r="D99" i="12"/>
  <c r="C99" i="12"/>
  <c r="F98" i="12"/>
  <c r="E98" i="12"/>
  <c r="E97" i="12"/>
  <c r="F97" i="12" s="1"/>
  <c r="E96" i="12"/>
  <c r="F96" i="12" s="1"/>
  <c r="D92" i="12"/>
  <c r="C92" i="12"/>
  <c r="E91" i="12"/>
  <c r="F91" i="12" s="1"/>
  <c r="F90" i="12"/>
  <c r="E90" i="12"/>
  <c r="E89" i="12"/>
  <c r="F89" i="12" s="1"/>
  <c r="E88" i="12"/>
  <c r="F88" i="12" s="1"/>
  <c r="E87" i="12"/>
  <c r="F87" i="12" s="1"/>
  <c r="D84" i="12"/>
  <c r="C84" i="12"/>
  <c r="F83" i="12"/>
  <c r="E83" i="12"/>
  <c r="F82" i="12"/>
  <c r="E82" i="12"/>
  <c r="F81" i="12"/>
  <c r="E81" i="12"/>
  <c r="F80" i="12"/>
  <c r="E80" i="12"/>
  <c r="F79" i="12"/>
  <c r="E79" i="12"/>
  <c r="D75" i="12"/>
  <c r="C75" i="12"/>
  <c r="E74" i="12"/>
  <c r="E73" i="12"/>
  <c r="D70" i="12"/>
  <c r="E70" i="12" s="1"/>
  <c r="C70" i="12"/>
  <c r="E69" i="12"/>
  <c r="F69" i="12"/>
  <c r="E68" i="12"/>
  <c r="F68" i="12" s="1"/>
  <c r="D65" i="12"/>
  <c r="C65" i="12"/>
  <c r="E64" i="12"/>
  <c r="F64" i="12"/>
  <c r="E63" i="12"/>
  <c r="F63" i="12" s="1"/>
  <c r="D60" i="12"/>
  <c r="C60" i="12"/>
  <c r="E59" i="12"/>
  <c r="E58" i="12"/>
  <c r="E60" i="12" s="1"/>
  <c r="D55" i="12"/>
  <c r="C55" i="12"/>
  <c r="F55" i="12" s="1"/>
  <c r="F54" i="12"/>
  <c r="E54" i="12"/>
  <c r="F53" i="12"/>
  <c r="E53" i="12"/>
  <c r="D50" i="12"/>
  <c r="E50" i="12" s="1"/>
  <c r="C50" i="12"/>
  <c r="E49" i="12"/>
  <c r="F49" i="12" s="1"/>
  <c r="F48" i="12"/>
  <c r="E48" i="12"/>
  <c r="D45" i="12"/>
  <c r="E45" i="12" s="1"/>
  <c r="C45" i="12"/>
  <c r="E44" i="12"/>
  <c r="F44" i="12" s="1"/>
  <c r="F43" i="12"/>
  <c r="E43" i="12"/>
  <c r="D37" i="12"/>
  <c r="E37" i="12" s="1"/>
  <c r="F37" i="12" s="1"/>
  <c r="C37" i="12"/>
  <c r="F36" i="12"/>
  <c r="E36" i="12"/>
  <c r="F35" i="12"/>
  <c r="E35" i="12"/>
  <c r="E34" i="12"/>
  <c r="F34" i="12" s="1"/>
  <c r="E33" i="12"/>
  <c r="F33" i="12" s="1"/>
  <c r="D30" i="12"/>
  <c r="E30" i="12" s="1"/>
  <c r="C30" i="12"/>
  <c r="F30" i="12" s="1"/>
  <c r="F29" i="12"/>
  <c r="E29" i="12"/>
  <c r="F28" i="12"/>
  <c r="E28" i="12"/>
  <c r="F27" i="12"/>
  <c r="E27" i="12"/>
  <c r="F26" i="12"/>
  <c r="E26" i="12"/>
  <c r="D23" i="12"/>
  <c r="C23" i="12"/>
  <c r="F22" i="12"/>
  <c r="E22" i="12"/>
  <c r="E21" i="12"/>
  <c r="F21" i="12" s="1"/>
  <c r="E20" i="12"/>
  <c r="F20" i="12" s="1"/>
  <c r="E19" i="12"/>
  <c r="F19" i="12" s="1"/>
  <c r="D16" i="12"/>
  <c r="E16" i="12" s="1"/>
  <c r="F16" i="12" s="1"/>
  <c r="C16" i="12"/>
  <c r="F15" i="12"/>
  <c r="E15" i="12"/>
  <c r="F14" i="12"/>
  <c r="E14" i="12"/>
  <c r="E13" i="12"/>
  <c r="F13" i="12" s="1"/>
  <c r="E12" i="12"/>
  <c r="F12" i="12" s="1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3" i="11" s="1"/>
  <c r="G36" i="11" s="1"/>
  <c r="G38" i="11" s="1"/>
  <c r="G40" i="11" s="1"/>
  <c r="F17" i="11"/>
  <c r="F33" i="11" s="1"/>
  <c r="E17" i="11"/>
  <c r="E31" i="11" s="1"/>
  <c r="D17" i="11"/>
  <c r="C17" i="11"/>
  <c r="C31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 s="1"/>
  <c r="E77" i="10" s="1"/>
  <c r="D78" i="10"/>
  <c r="D80" i="10" s="1"/>
  <c r="D77" i="10" s="1"/>
  <c r="C78" i="10"/>
  <c r="C80" i="10" s="1"/>
  <c r="C77" i="10" s="1"/>
  <c r="E73" i="10"/>
  <c r="E75" i="10" s="1"/>
  <c r="D73" i="10"/>
  <c r="D75" i="10" s="1"/>
  <c r="C73" i="10"/>
  <c r="C75" i="10" s="1"/>
  <c r="E71" i="10"/>
  <c r="D71" i="10"/>
  <c r="C71" i="10"/>
  <c r="E66" i="10"/>
  <c r="E65" i="10"/>
  <c r="D66" i="10"/>
  <c r="C66" i="10"/>
  <c r="C65" i="10" s="1"/>
  <c r="D65" i="10"/>
  <c r="E60" i="10"/>
  <c r="D60" i="10"/>
  <c r="C60" i="10"/>
  <c r="E58" i="10"/>
  <c r="D58" i="10"/>
  <c r="C58" i="10"/>
  <c r="E55" i="10"/>
  <c r="D55" i="10"/>
  <c r="C55" i="10"/>
  <c r="E54" i="10"/>
  <c r="E50" i="10" s="1"/>
  <c r="D54" i="10"/>
  <c r="C54" i="10"/>
  <c r="C50" i="10" s="1"/>
  <c r="E46" i="10"/>
  <c r="E59" i="10" s="1"/>
  <c r="E61" i="10" s="1"/>
  <c r="D46" i="10"/>
  <c r="D48" i="10" s="1"/>
  <c r="C46" i="10"/>
  <c r="C59" i="10" s="1"/>
  <c r="C61" i="10" s="1"/>
  <c r="C57" i="10" s="1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E25" i="10" s="1"/>
  <c r="E27" i="10" s="1"/>
  <c r="D13" i="10"/>
  <c r="D15" i="10" s="1"/>
  <c r="C13" i="10"/>
  <c r="C25" i="10" s="1"/>
  <c r="C27" i="10" s="1"/>
  <c r="D46" i="9"/>
  <c r="E46" i="9" s="1"/>
  <c r="C46" i="9"/>
  <c r="F46" i="9" s="1"/>
  <c r="F45" i="9"/>
  <c r="E45" i="9"/>
  <c r="F44" i="9"/>
  <c r="E44" i="9"/>
  <c r="D39" i="9"/>
  <c r="C39" i="9"/>
  <c r="E39" i="9" s="1"/>
  <c r="E38" i="9"/>
  <c r="F38" i="9"/>
  <c r="E37" i="9"/>
  <c r="F37" i="9" s="1"/>
  <c r="E36" i="9"/>
  <c r="F36" i="9"/>
  <c r="D31" i="9"/>
  <c r="C31" i="9"/>
  <c r="E31" i="9" s="1"/>
  <c r="F30" i="9"/>
  <c r="E30" i="9"/>
  <c r="E29" i="9"/>
  <c r="F29" i="9"/>
  <c r="E28" i="9"/>
  <c r="F28" i="9" s="1"/>
  <c r="E27" i="9"/>
  <c r="F27" i="9"/>
  <c r="E26" i="9"/>
  <c r="F26" i="9" s="1"/>
  <c r="E25" i="9"/>
  <c r="F25" i="9"/>
  <c r="E24" i="9"/>
  <c r="F24" i="9" s="1"/>
  <c r="E23" i="9"/>
  <c r="F23" i="9"/>
  <c r="E22" i="9"/>
  <c r="F22" i="9" s="1"/>
  <c r="E18" i="9"/>
  <c r="F18" i="9"/>
  <c r="E17" i="9"/>
  <c r="F17" i="9" s="1"/>
  <c r="D16" i="9"/>
  <c r="D19" i="9" s="1"/>
  <c r="C16" i="9"/>
  <c r="C19" i="9" s="1"/>
  <c r="C33" i="9" s="1"/>
  <c r="F15" i="9"/>
  <c r="E15" i="9"/>
  <c r="E14" i="9"/>
  <c r="F14" i="9" s="1"/>
  <c r="E13" i="9"/>
  <c r="F13" i="9" s="1"/>
  <c r="F12" i="9"/>
  <c r="E12" i="9"/>
  <c r="D73" i="8"/>
  <c r="E73" i="8" s="1"/>
  <c r="F73" i="8" s="1"/>
  <c r="C73" i="8"/>
  <c r="E72" i="8"/>
  <c r="F72" i="8" s="1"/>
  <c r="E71" i="8"/>
  <c r="F71" i="8" s="1"/>
  <c r="E70" i="8"/>
  <c r="F70" i="8" s="1"/>
  <c r="F67" i="8"/>
  <c r="E67" i="8"/>
  <c r="E64" i="8"/>
  <c r="F64" i="8" s="1"/>
  <c r="E63" i="8"/>
  <c r="F63" i="8" s="1"/>
  <c r="D61" i="8"/>
  <c r="D65" i="8" s="1"/>
  <c r="C61" i="8"/>
  <c r="C65" i="8" s="1"/>
  <c r="C75" i="8" s="1"/>
  <c r="E60" i="8"/>
  <c r="F60" i="8" s="1"/>
  <c r="F59" i="8"/>
  <c r="E59" i="8"/>
  <c r="D56" i="8"/>
  <c r="E56" i="8" s="1"/>
  <c r="F56" i="8" s="1"/>
  <c r="C56" i="8"/>
  <c r="E55" i="8"/>
  <c r="F55" i="8" s="1"/>
  <c r="E54" i="8"/>
  <c r="F54" i="8" s="1"/>
  <c r="E53" i="8"/>
  <c r="F53" i="8" s="1"/>
  <c r="F52" i="8"/>
  <c r="E52" i="8"/>
  <c r="E51" i="8"/>
  <c r="F51" i="8"/>
  <c r="E50" i="8"/>
  <c r="F50" i="8"/>
  <c r="A50" i="8"/>
  <c r="A51" i="8"/>
  <c r="A52" i="8" s="1"/>
  <c r="A53" i="8" s="1"/>
  <c r="A54" i="8" s="1"/>
  <c r="A55" i="8" s="1"/>
  <c r="E49" i="8"/>
  <c r="F49" i="8" s="1"/>
  <c r="E40" i="8"/>
  <c r="F40" i="8" s="1"/>
  <c r="D38" i="8"/>
  <c r="D41" i="8" s="1"/>
  <c r="C38" i="8"/>
  <c r="F37" i="8"/>
  <c r="E37" i="8"/>
  <c r="E36" i="8"/>
  <c r="F36" i="8" s="1"/>
  <c r="E33" i="8"/>
  <c r="F33" i="8" s="1"/>
  <c r="F32" i="8"/>
  <c r="E32" i="8"/>
  <c r="F31" i="8"/>
  <c r="E31" i="8"/>
  <c r="D29" i="8"/>
  <c r="C29" i="8"/>
  <c r="F28" i="8"/>
  <c r="E28" i="8"/>
  <c r="F27" i="8"/>
  <c r="E27" i="8"/>
  <c r="E26" i="8"/>
  <c r="F26" i="8" s="1"/>
  <c r="F25" i="8"/>
  <c r="E25" i="8"/>
  <c r="D22" i="8"/>
  <c r="D43" i="8" s="1"/>
  <c r="C22" i="8"/>
  <c r="E21" i="8"/>
  <c r="F21" i="8" s="1"/>
  <c r="E20" i="8"/>
  <c r="F20" i="8" s="1"/>
  <c r="E19" i="8"/>
  <c r="F19" i="8"/>
  <c r="F18" i="8"/>
  <c r="E18" i="8"/>
  <c r="F17" i="8"/>
  <c r="E17" i="8"/>
  <c r="E16" i="8"/>
  <c r="F16" i="8" s="1"/>
  <c r="E15" i="8"/>
  <c r="F15" i="8" s="1"/>
  <c r="F14" i="8"/>
  <c r="E14" i="8"/>
  <c r="E13" i="8"/>
  <c r="F13" i="8" s="1"/>
  <c r="D120" i="7"/>
  <c r="C120" i="7"/>
  <c r="D119" i="7"/>
  <c r="C119" i="7"/>
  <c r="D118" i="7"/>
  <c r="C118" i="7"/>
  <c r="D117" i="7"/>
  <c r="C117" i="7"/>
  <c r="E117" i="7" s="1"/>
  <c r="D116" i="7"/>
  <c r="C116" i="7"/>
  <c r="D115" i="7"/>
  <c r="C115" i="7"/>
  <c r="D114" i="7"/>
  <c r="C114" i="7"/>
  <c r="D113" i="7"/>
  <c r="C113" i="7"/>
  <c r="E113" i="7" s="1"/>
  <c r="D112" i="7"/>
  <c r="C112" i="7"/>
  <c r="C121" i="7" s="1"/>
  <c r="D108" i="7"/>
  <c r="C108" i="7"/>
  <c r="D107" i="7"/>
  <c r="C107" i="7"/>
  <c r="E106" i="7"/>
  <c r="F106" i="7" s="1"/>
  <c r="E105" i="7"/>
  <c r="F105" i="7" s="1"/>
  <c r="F104" i="7"/>
  <c r="E104" i="7"/>
  <c r="E103" i="7"/>
  <c r="F103" i="7" s="1"/>
  <c r="E102" i="7"/>
  <c r="F102" i="7" s="1"/>
  <c r="E101" i="7"/>
  <c r="F101" i="7" s="1"/>
  <c r="E100" i="7"/>
  <c r="F100" i="7" s="1"/>
  <c r="E99" i="7"/>
  <c r="F99" i="7" s="1"/>
  <c r="E98" i="7"/>
  <c r="F98" i="7" s="1"/>
  <c r="D96" i="7"/>
  <c r="E96" i="7" s="1"/>
  <c r="C96" i="7"/>
  <c r="F96" i="7" s="1"/>
  <c r="D95" i="7"/>
  <c r="E95" i="7" s="1"/>
  <c r="C95" i="7"/>
  <c r="F95" i="7" s="1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D84" i="7"/>
  <c r="E84" i="7" s="1"/>
  <c r="C84" i="7"/>
  <c r="F84" i="7" s="1"/>
  <c r="D83" i="7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 s="1"/>
  <c r="C72" i="7"/>
  <c r="F72" i="7" s="1"/>
  <c r="D71" i="7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D59" i="7"/>
  <c r="C59" i="7"/>
  <c r="E58" i="7"/>
  <c r="F58" i="7" s="1"/>
  <c r="E57" i="7"/>
  <c r="F57" i="7" s="1"/>
  <c r="F56" i="7"/>
  <c r="E56" i="7"/>
  <c r="E55" i="7"/>
  <c r="F55" i="7" s="1"/>
  <c r="E54" i="7"/>
  <c r="F54" i="7" s="1"/>
  <c r="E53" i="7"/>
  <c r="F53" i="7" s="1"/>
  <c r="F52" i="7"/>
  <c r="E52" i="7"/>
  <c r="E51" i="7"/>
  <c r="F51" i="7" s="1"/>
  <c r="E50" i="7"/>
  <c r="F50" i="7" s="1"/>
  <c r="D48" i="7"/>
  <c r="E48" i="7" s="1"/>
  <c r="C48" i="7"/>
  <c r="F48" i="7" s="1"/>
  <c r="D47" i="7"/>
  <c r="E47" i="7" s="1"/>
  <c r="C47" i="7"/>
  <c r="F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/>
  <c r="F36" i="7" s="1"/>
  <c r="C36" i="7"/>
  <c r="D35" i="7"/>
  <c r="E35" i="7" s="1"/>
  <c r="C35" i="7"/>
  <c r="F34" i="7"/>
  <c r="E34" i="7"/>
  <c r="E33" i="7"/>
  <c r="F33" i="7" s="1"/>
  <c r="E32" i="7"/>
  <c r="F32" i="7" s="1"/>
  <c r="E31" i="7"/>
  <c r="F31" i="7" s="1"/>
  <c r="F30" i="7"/>
  <c r="E30" i="7"/>
  <c r="E29" i="7"/>
  <c r="F29" i="7" s="1"/>
  <c r="E28" i="7"/>
  <c r="F28" i="7" s="1"/>
  <c r="E27" i="7"/>
  <c r="F27" i="7" s="1"/>
  <c r="F26" i="7"/>
  <c r="E26" i="7"/>
  <c r="D24" i="7"/>
  <c r="C24" i="7"/>
  <c r="F24" i="7" s="1"/>
  <c r="D23" i="7"/>
  <c r="E23" i="7" s="1"/>
  <c r="C23" i="7"/>
  <c r="F23" i="7" s="1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D205" i="6"/>
  <c r="C205" i="6"/>
  <c r="D204" i="6"/>
  <c r="E204" i="6" s="1"/>
  <c r="F204" i="6" s="1"/>
  <c r="C204" i="6"/>
  <c r="D203" i="6"/>
  <c r="C203" i="6"/>
  <c r="D202" i="6"/>
  <c r="C202" i="6"/>
  <c r="D201" i="6"/>
  <c r="C201" i="6"/>
  <c r="D200" i="6"/>
  <c r="E200" i="6" s="1"/>
  <c r="F200" i="6" s="1"/>
  <c r="C200" i="6"/>
  <c r="D199" i="6"/>
  <c r="C199" i="6"/>
  <c r="C208" i="6" s="1"/>
  <c r="D198" i="6"/>
  <c r="C198" i="6"/>
  <c r="D193" i="6"/>
  <c r="C193" i="6"/>
  <c r="D192" i="6"/>
  <c r="C192" i="6"/>
  <c r="E191" i="6"/>
  <c r="F191" i="6" s="1"/>
  <c r="E190" i="6"/>
  <c r="F190" i="6"/>
  <c r="E189" i="6"/>
  <c r="F189" i="6" s="1"/>
  <c r="E188" i="6"/>
  <c r="F188" i="6" s="1"/>
  <c r="E187" i="6"/>
  <c r="F187" i="6" s="1"/>
  <c r="E186" i="6"/>
  <c r="F186" i="6"/>
  <c r="E185" i="6"/>
  <c r="F185" i="6" s="1"/>
  <c r="E184" i="6"/>
  <c r="F184" i="6" s="1"/>
  <c r="E183" i="6"/>
  <c r="F183" i="6" s="1"/>
  <c r="D180" i="6"/>
  <c r="C180" i="6"/>
  <c r="F180" i="6" s="1"/>
  <c r="D179" i="6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C166" i="6"/>
  <c r="F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 s="1"/>
  <c r="C154" i="6"/>
  <c r="F154" i="6" s="1"/>
  <c r="D153" i="6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F141" i="6" s="1"/>
  <c r="D140" i="6"/>
  <c r="C140" i="6"/>
  <c r="F140" i="6" s="1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C128" i="6"/>
  <c r="D127" i="6"/>
  <c r="C127" i="6"/>
  <c r="E127" i="6" s="1"/>
  <c r="E126" i="6"/>
  <c r="F126" i="6"/>
  <c r="E125" i="6"/>
  <c r="F125" i="6" s="1"/>
  <c r="E124" i="6"/>
  <c r="F124" i="6" s="1"/>
  <c r="E123" i="6"/>
  <c r="F123" i="6" s="1"/>
  <c r="E122" i="6"/>
  <c r="F122" i="6"/>
  <c r="E121" i="6"/>
  <c r="F121" i="6" s="1"/>
  <c r="E120" i="6"/>
  <c r="F120" i="6" s="1"/>
  <c r="E119" i="6"/>
  <c r="F119" i="6" s="1"/>
  <c r="E118" i="6"/>
  <c r="F118" i="6"/>
  <c r="D115" i="6"/>
  <c r="C115" i="6"/>
  <c r="F115" i="6" s="1"/>
  <c r="D114" i="6"/>
  <c r="C114" i="6"/>
  <c r="F114" i="6" s="1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C102" i="6"/>
  <c r="D101" i="6"/>
  <c r="C101" i="6"/>
  <c r="E100" i="6"/>
  <c r="F100" i="6" s="1"/>
  <c r="E99" i="6"/>
  <c r="F99" i="6" s="1"/>
  <c r="E98" i="6"/>
  <c r="F98" i="6" s="1"/>
  <c r="E97" i="6"/>
  <c r="F97" i="6" s="1"/>
  <c r="E96" i="6"/>
  <c r="F96" i="6" s="1"/>
  <c r="F95" i="6"/>
  <c r="E95" i="6"/>
  <c r="E94" i="6"/>
  <c r="F94" i="6" s="1"/>
  <c r="E93" i="6"/>
  <c r="F93" i="6" s="1"/>
  <c r="E92" i="6"/>
  <c r="F92" i="6" s="1"/>
  <c r="D89" i="6"/>
  <c r="C89" i="6"/>
  <c r="D88" i="6"/>
  <c r="C88" i="6"/>
  <c r="F87" i="6"/>
  <c r="E87" i="6"/>
  <c r="E86" i="6"/>
  <c r="F86" i="6" s="1"/>
  <c r="F85" i="6"/>
  <c r="E85" i="6"/>
  <c r="F84" i="6"/>
  <c r="E84" i="6"/>
  <c r="F83" i="6"/>
  <c r="E83" i="6"/>
  <c r="E82" i="6"/>
  <c r="F82" i="6" s="1"/>
  <c r="E81" i="6"/>
  <c r="F81" i="6" s="1"/>
  <c r="F80" i="6"/>
  <c r="E80" i="6"/>
  <c r="F79" i="6"/>
  <c r="E79" i="6"/>
  <c r="D76" i="6"/>
  <c r="E76" i="6" s="1"/>
  <c r="C76" i="6"/>
  <c r="D75" i="6"/>
  <c r="E75" i="6" s="1"/>
  <c r="F75" i="6" s="1"/>
  <c r="C75" i="6"/>
  <c r="E74" i="6"/>
  <c r="F74" i="6" s="1"/>
  <c r="E73" i="6"/>
  <c r="F73" i="6" s="1"/>
  <c r="E72" i="6"/>
  <c r="F72" i="6" s="1"/>
  <c r="F71" i="6"/>
  <c r="E71" i="6"/>
  <c r="E70" i="6"/>
  <c r="F70" i="6" s="1"/>
  <c r="E69" i="6"/>
  <c r="F69" i="6" s="1"/>
  <c r="E68" i="6"/>
  <c r="F68" i="6" s="1"/>
  <c r="F67" i="6"/>
  <c r="E67" i="6"/>
  <c r="E66" i="6"/>
  <c r="F66" i="6" s="1"/>
  <c r="D63" i="6"/>
  <c r="C63" i="6"/>
  <c r="D62" i="6"/>
  <c r="C62" i="6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D50" i="6"/>
  <c r="C50" i="6"/>
  <c r="D49" i="6"/>
  <c r="E49" i="6" s="1"/>
  <c r="F49" i="6" s="1"/>
  <c r="C49" i="6"/>
  <c r="E48" i="6"/>
  <c r="F48" i="6" s="1"/>
  <c r="E47" i="6"/>
  <c r="F47" i="6" s="1"/>
  <c r="E46" i="6"/>
  <c r="F46" i="6" s="1"/>
  <c r="F45" i="6"/>
  <c r="E45" i="6"/>
  <c r="E44" i="6"/>
  <c r="F44" i="6" s="1"/>
  <c r="E43" i="6"/>
  <c r="F43" i="6" s="1"/>
  <c r="E42" i="6"/>
  <c r="F42" i="6" s="1"/>
  <c r="F41" i="6"/>
  <c r="E41" i="6"/>
  <c r="E40" i="6"/>
  <c r="F40" i="6" s="1"/>
  <c r="D37" i="6"/>
  <c r="C37" i="6"/>
  <c r="F37" i="6" s="1"/>
  <c r="D36" i="6"/>
  <c r="C36" i="6"/>
  <c r="F36" i="6" s="1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 s="1"/>
  <c r="C24" i="6"/>
  <c r="D23" i="6"/>
  <c r="C23" i="6"/>
  <c r="E22" i="6"/>
  <c r="F22" i="6"/>
  <c r="E21" i="6"/>
  <c r="F21" i="6" s="1"/>
  <c r="E20" i="6"/>
  <c r="F20" i="6" s="1"/>
  <c r="E19" i="6"/>
  <c r="F19" i="6" s="1"/>
  <c r="E18" i="6"/>
  <c r="F18" i="6"/>
  <c r="E17" i="6"/>
  <c r="F17" i="6" s="1"/>
  <c r="E16" i="6"/>
  <c r="F16" i="6" s="1"/>
  <c r="E15" i="6"/>
  <c r="F15" i="6" s="1"/>
  <c r="E14" i="6"/>
  <c r="F14" i="6"/>
  <c r="E191" i="5"/>
  <c r="D191" i="5"/>
  <c r="C191" i="5"/>
  <c r="E176" i="5"/>
  <c r="D176" i="5"/>
  <c r="C176" i="5"/>
  <c r="E164" i="5"/>
  <c r="D164" i="5"/>
  <c r="D160" i="5" s="1"/>
  <c r="C164" i="5"/>
  <c r="E162" i="5"/>
  <c r="D162" i="5"/>
  <c r="C162" i="5"/>
  <c r="C166" i="5" s="1"/>
  <c r="E161" i="5"/>
  <c r="D161" i="5"/>
  <c r="C161" i="5"/>
  <c r="E160" i="5"/>
  <c r="C160" i="5"/>
  <c r="E147" i="5"/>
  <c r="E143" i="5" s="1"/>
  <c r="D147" i="5"/>
  <c r="D143" i="5" s="1"/>
  <c r="C147" i="5"/>
  <c r="C143" i="5" s="1"/>
  <c r="C149" i="5" s="1"/>
  <c r="E145" i="5"/>
  <c r="D145" i="5"/>
  <c r="C145" i="5"/>
  <c r="E144" i="5"/>
  <c r="D144" i="5"/>
  <c r="C144" i="5"/>
  <c r="D149" i="5"/>
  <c r="E126" i="5"/>
  <c r="D126" i="5"/>
  <c r="C126" i="5"/>
  <c r="E119" i="5"/>
  <c r="D119" i="5"/>
  <c r="C119" i="5"/>
  <c r="E108" i="5"/>
  <c r="D108" i="5"/>
  <c r="C108" i="5"/>
  <c r="E107" i="5"/>
  <c r="E109" i="5" s="1"/>
  <c r="E106" i="5" s="1"/>
  <c r="D107" i="5"/>
  <c r="D109" i="5" s="1"/>
  <c r="D106" i="5" s="1"/>
  <c r="C107" i="5"/>
  <c r="C109" i="5" s="1"/>
  <c r="C106" i="5" s="1"/>
  <c r="C104" i="5"/>
  <c r="E102" i="5"/>
  <c r="E104" i="5" s="1"/>
  <c r="D102" i="5"/>
  <c r="D104" i="5" s="1"/>
  <c r="C102" i="5"/>
  <c r="E100" i="5"/>
  <c r="D100" i="5"/>
  <c r="C100" i="5"/>
  <c r="E95" i="5"/>
  <c r="E94" i="5"/>
  <c r="D95" i="5"/>
  <c r="C95" i="5"/>
  <c r="C94" i="5" s="1"/>
  <c r="D94" i="5"/>
  <c r="E89" i="5"/>
  <c r="D89" i="5"/>
  <c r="C89" i="5"/>
  <c r="E87" i="5"/>
  <c r="D87" i="5"/>
  <c r="C87" i="5"/>
  <c r="E84" i="5"/>
  <c r="D84" i="5"/>
  <c r="D79" i="5"/>
  <c r="C84" i="5"/>
  <c r="E83" i="5"/>
  <c r="D83" i="5"/>
  <c r="C83" i="5"/>
  <c r="E75" i="5"/>
  <c r="E88" i="5" s="1"/>
  <c r="E90" i="5" s="1"/>
  <c r="E86" i="5" s="1"/>
  <c r="D75" i="5"/>
  <c r="D77" i="5" s="1"/>
  <c r="D71" i="5" s="1"/>
  <c r="C75" i="5"/>
  <c r="C77" i="5" s="1"/>
  <c r="C71" i="5" s="1"/>
  <c r="E74" i="5"/>
  <c r="D74" i="5"/>
  <c r="C74" i="5"/>
  <c r="E67" i="5"/>
  <c r="D67" i="5"/>
  <c r="C67" i="5"/>
  <c r="D53" i="5"/>
  <c r="E38" i="5"/>
  <c r="E43" i="5"/>
  <c r="D38" i="5"/>
  <c r="D49" i="5" s="1"/>
  <c r="D57" i="5"/>
  <c r="D62" i="5" s="1"/>
  <c r="C38" i="5"/>
  <c r="C53" i="5" s="1"/>
  <c r="E33" i="5"/>
  <c r="E34" i="5" s="1"/>
  <c r="D33" i="5"/>
  <c r="D34" i="5" s="1"/>
  <c r="E26" i="5"/>
  <c r="D26" i="5"/>
  <c r="C26" i="5"/>
  <c r="E13" i="5"/>
  <c r="E25" i="5" s="1"/>
  <c r="E27" i="5" s="1"/>
  <c r="E21" i="5" s="1"/>
  <c r="D13" i="5"/>
  <c r="D25" i="5"/>
  <c r="D27" i="5" s="1"/>
  <c r="C13" i="5"/>
  <c r="C15" i="5" s="1"/>
  <c r="F174" i="4"/>
  <c r="E174" i="4"/>
  <c r="D171" i="4"/>
  <c r="C171" i="4"/>
  <c r="E170" i="4"/>
  <c r="F170" i="4" s="1"/>
  <c r="E169" i="4"/>
  <c r="F169" i="4" s="1"/>
  <c r="F168" i="4"/>
  <c r="E168" i="4"/>
  <c r="F167" i="4"/>
  <c r="E167" i="4"/>
  <c r="F166" i="4"/>
  <c r="E166" i="4"/>
  <c r="F165" i="4"/>
  <c r="E165" i="4"/>
  <c r="F164" i="4"/>
  <c r="E164" i="4"/>
  <c r="E163" i="4"/>
  <c r="F163" i="4" s="1"/>
  <c r="F162" i="4"/>
  <c r="E162" i="4"/>
  <c r="E161" i="4"/>
  <c r="F161" i="4" s="1"/>
  <c r="F160" i="4"/>
  <c r="E160" i="4"/>
  <c r="E159" i="4"/>
  <c r="F159" i="4" s="1"/>
  <c r="E158" i="4"/>
  <c r="F158" i="4" s="1"/>
  <c r="D155" i="4"/>
  <c r="C155" i="4"/>
  <c r="E154" i="4"/>
  <c r="F154" i="4" s="1"/>
  <c r="F153" i="4"/>
  <c r="E153" i="4"/>
  <c r="E152" i="4"/>
  <c r="F152" i="4" s="1"/>
  <c r="E151" i="4"/>
  <c r="F151" i="4" s="1"/>
  <c r="E150" i="4"/>
  <c r="F150" i="4" s="1"/>
  <c r="F149" i="4"/>
  <c r="E149" i="4"/>
  <c r="E148" i="4"/>
  <c r="F148" i="4" s="1"/>
  <c r="E147" i="4"/>
  <c r="F147" i="4" s="1"/>
  <c r="F146" i="4"/>
  <c r="E146" i="4"/>
  <c r="E145" i="4"/>
  <c r="F145" i="4" s="1"/>
  <c r="E144" i="4"/>
  <c r="F144" i="4" s="1"/>
  <c r="E143" i="4"/>
  <c r="F143" i="4" s="1"/>
  <c r="E142" i="4"/>
  <c r="F142" i="4" s="1"/>
  <c r="F141" i="4"/>
  <c r="E141" i="4"/>
  <c r="E140" i="4"/>
  <c r="F140" i="4" s="1"/>
  <c r="F139" i="4"/>
  <c r="E139" i="4"/>
  <c r="E138" i="4"/>
  <c r="F138" i="4" s="1"/>
  <c r="F137" i="4"/>
  <c r="E137" i="4"/>
  <c r="F136" i="4"/>
  <c r="E136" i="4"/>
  <c r="F135" i="4"/>
  <c r="E135" i="4"/>
  <c r="F134" i="4"/>
  <c r="E134" i="4"/>
  <c r="E133" i="4"/>
  <c r="F133" i="4" s="1"/>
  <c r="E132" i="4"/>
  <c r="F132" i="4" s="1"/>
  <c r="F131" i="4"/>
  <c r="E131" i="4"/>
  <c r="E130" i="4"/>
  <c r="F130" i="4" s="1"/>
  <c r="E129" i="4"/>
  <c r="F129" i="4" s="1"/>
  <c r="E128" i="4"/>
  <c r="F128" i="4" s="1"/>
  <c r="E127" i="4"/>
  <c r="F127" i="4" s="1"/>
  <c r="E126" i="4"/>
  <c r="F126" i="4" s="1"/>
  <c r="E125" i="4"/>
  <c r="F125" i="4" s="1"/>
  <c r="F124" i="4"/>
  <c r="E124" i="4"/>
  <c r="E123" i="4"/>
  <c r="F123" i="4" s="1"/>
  <c r="E122" i="4"/>
  <c r="F122" i="4" s="1"/>
  <c r="E121" i="4"/>
  <c r="F121" i="4" s="1"/>
  <c r="D118" i="4"/>
  <c r="E118" i="4" s="1"/>
  <c r="F118" i="4" s="1"/>
  <c r="C118" i="4"/>
  <c r="E117" i="4"/>
  <c r="F117" i="4" s="1"/>
  <c r="E116" i="4"/>
  <c r="F116" i="4" s="1"/>
  <c r="E115" i="4"/>
  <c r="F115" i="4" s="1"/>
  <c r="E114" i="4"/>
  <c r="F114" i="4" s="1"/>
  <c r="F113" i="4"/>
  <c r="E113" i="4"/>
  <c r="E112" i="4"/>
  <c r="F112" i="4" s="1"/>
  <c r="D109" i="4"/>
  <c r="E109" i="4" s="1"/>
  <c r="C109" i="4"/>
  <c r="C176" i="4" s="1"/>
  <c r="F108" i="4"/>
  <c r="E108" i="4"/>
  <c r="E107" i="4"/>
  <c r="F107" i="4" s="1"/>
  <c r="E106" i="4"/>
  <c r="F106" i="4" s="1"/>
  <c r="E105" i="4"/>
  <c r="F105" i="4" s="1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81" i="4"/>
  <c r="E81" i="4"/>
  <c r="D78" i="4"/>
  <c r="E78" i="4" s="1"/>
  <c r="C78" i="4"/>
  <c r="E77" i="4"/>
  <c r="F77" i="4" s="1"/>
  <c r="E76" i="4"/>
  <c r="F76" i="4" s="1"/>
  <c r="E75" i="4"/>
  <c r="F75" i="4"/>
  <c r="E74" i="4"/>
  <c r="F74" i="4" s="1"/>
  <c r="E73" i="4"/>
  <c r="F73" i="4" s="1"/>
  <c r="E72" i="4"/>
  <c r="F72" i="4" s="1"/>
  <c r="E71" i="4"/>
  <c r="F71" i="4"/>
  <c r="E70" i="4"/>
  <c r="F70" i="4" s="1"/>
  <c r="E69" i="4"/>
  <c r="F69" i="4" s="1"/>
  <c r="E68" i="4"/>
  <c r="F68" i="4" s="1"/>
  <c r="E67" i="4"/>
  <c r="F67" i="4"/>
  <c r="E66" i="4"/>
  <c r="F66" i="4" s="1"/>
  <c r="E65" i="4"/>
  <c r="F65" i="4" s="1"/>
  <c r="E64" i="4"/>
  <c r="F64" i="4" s="1"/>
  <c r="E63" i="4"/>
  <c r="F63" i="4"/>
  <c r="E62" i="4"/>
  <c r="F62" i="4" s="1"/>
  <c r="D59" i="4"/>
  <c r="E59" i="4" s="1"/>
  <c r="C59" i="4"/>
  <c r="E58" i="4"/>
  <c r="F58" i="4" s="1"/>
  <c r="E57" i="4"/>
  <c r="F57" i="4" s="1"/>
  <c r="E56" i="4"/>
  <c r="F56" i="4"/>
  <c r="E55" i="4"/>
  <c r="F55" i="4" s="1"/>
  <c r="E54" i="4"/>
  <c r="F54" i="4" s="1"/>
  <c r="E53" i="4"/>
  <c r="F53" i="4" s="1"/>
  <c r="E50" i="4"/>
  <c r="F50" i="4"/>
  <c r="E47" i="4"/>
  <c r="F47" i="4" s="1"/>
  <c r="E44" i="4"/>
  <c r="F44" i="4" s="1"/>
  <c r="D41" i="4"/>
  <c r="C41" i="4"/>
  <c r="E40" i="4"/>
  <c r="F40" i="4" s="1"/>
  <c r="E39" i="4"/>
  <c r="F39" i="4"/>
  <c r="E38" i="4"/>
  <c r="F38" i="4" s="1"/>
  <c r="D35" i="4"/>
  <c r="C35" i="4"/>
  <c r="E34" i="4"/>
  <c r="F34" i="4" s="1"/>
  <c r="E33" i="4"/>
  <c r="F33" i="4" s="1"/>
  <c r="D30" i="4"/>
  <c r="C30" i="4"/>
  <c r="E29" i="4"/>
  <c r="F29" i="4"/>
  <c r="E28" i="4"/>
  <c r="F28" i="4" s="1"/>
  <c r="F27" i="4"/>
  <c r="E27" i="4"/>
  <c r="D24" i="4"/>
  <c r="E24" i="4" s="1"/>
  <c r="C24" i="4"/>
  <c r="E23" i="4"/>
  <c r="F23" i="4" s="1"/>
  <c r="E22" i="4"/>
  <c r="F22" i="4" s="1"/>
  <c r="E21" i="4"/>
  <c r="F21" i="4" s="1"/>
  <c r="D18" i="4"/>
  <c r="C18" i="4"/>
  <c r="E17" i="4"/>
  <c r="F17" i="4" s="1"/>
  <c r="E16" i="4"/>
  <c r="F16" i="4" s="1"/>
  <c r="E15" i="4"/>
  <c r="F15" i="4" s="1"/>
  <c r="D179" i="3"/>
  <c r="E179" i="3" s="1"/>
  <c r="C179" i="3"/>
  <c r="E178" i="3"/>
  <c r="F178" i="3" s="1"/>
  <c r="E177" i="3"/>
  <c r="F177" i="3" s="1"/>
  <c r="E176" i="3"/>
  <c r="F176" i="3" s="1"/>
  <c r="E175" i="3"/>
  <c r="F175" i="3" s="1"/>
  <c r="E174" i="3"/>
  <c r="F174" i="3" s="1"/>
  <c r="E173" i="3"/>
  <c r="F173" i="3" s="1"/>
  <c r="E172" i="3"/>
  <c r="F172" i="3" s="1"/>
  <c r="E171" i="3"/>
  <c r="F171" i="3" s="1"/>
  <c r="E170" i="3"/>
  <c r="F170" i="3" s="1"/>
  <c r="E169" i="3"/>
  <c r="F169" i="3" s="1"/>
  <c r="E168" i="3"/>
  <c r="F168" i="3" s="1"/>
  <c r="D166" i="3"/>
  <c r="C166" i="3"/>
  <c r="E165" i="3"/>
  <c r="F165" i="3" s="1"/>
  <c r="E164" i="3"/>
  <c r="F164" i="3" s="1"/>
  <c r="E163" i="3"/>
  <c r="F163" i="3" s="1"/>
  <c r="E162" i="3"/>
  <c r="F162" i="3" s="1"/>
  <c r="E161" i="3"/>
  <c r="F161" i="3" s="1"/>
  <c r="E160" i="3"/>
  <c r="F160" i="3" s="1"/>
  <c r="E159" i="3"/>
  <c r="F159" i="3" s="1"/>
  <c r="E158" i="3"/>
  <c r="F158" i="3" s="1"/>
  <c r="E157" i="3"/>
  <c r="F157" i="3" s="1"/>
  <c r="E156" i="3"/>
  <c r="F156" i="3" s="1"/>
  <c r="E155" i="3"/>
  <c r="F155" i="3" s="1"/>
  <c r="D153" i="3"/>
  <c r="C153" i="3"/>
  <c r="E152" i="3"/>
  <c r="F152" i="3" s="1"/>
  <c r="E151" i="3"/>
  <c r="F151" i="3"/>
  <c r="E150" i="3"/>
  <c r="F150" i="3" s="1"/>
  <c r="E149" i="3"/>
  <c r="F149" i="3" s="1"/>
  <c r="E148" i="3"/>
  <c r="F148" i="3" s="1"/>
  <c r="E147" i="3"/>
  <c r="F147" i="3"/>
  <c r="E146" i="3"/>
  <c r="F146" i="3" s="1"/>
  <c r="E145" i="3"/>
  <c r="F145" i="3" s="1"/>
  <c r="E144" i="3"/>
  <c r="F144" i="3" s="1"/>
  <c r="E143" i="3"/>
  <c r="F143" i="3"/>
  <c r="E142" i="3"/>
  <c r="F142" i="3" s="1"/>
  <c r="D137" i="3"/>
  <c r="E137" i="3" s="1"/>
  <c r="C137" i="3"/>
  <c r="E136" i="3"/>
  <c r="F136" i="3"/>
  <c r="E135" i="3"/>
  <c r="F135" i="3" s="1"/>
  <c r="E134" i="3"/>
  <c r="F134" i="3"/>
  <c r="E133" i="3"/>
  <c r="F133" i="3" s="1"/>
  <c r="E132" i="3"/>
  <c r="F132" i="3"/>
  <c r="E131" i="3"/>
  <c r="F131" i="3" s="1"/>
  <c r="E130" i="3"/>
  <c r="F130" i="3"/>
  <c r="E129" i="3"/>
  <c r="F129" i="3" s="1"/>
  <c r="E128" i="3"/>
  <c r="F128" i="3" s="1"/>
  <c r="E127" i="3"/>
  <c r="F127" i="3" s="1"/>
  <c r="E126" i="3"/>
  <c r="F126" i="3"/>
  <c r="D124" i="3"/>
  <c r="C124" i="3"/>
  <c r="E123" i="3"/>
  <c r="F123" i="3" s="1"/>
  <c r="E122" i="3"/>
  <c r="F122" i="3"/>
  <c r="E121" i="3"/>
  <c r="F121" i="3" s="1"/>
  <c r="E120" i="3"/>
  <c r="F120" i="3"/>
  <c r="E119" i="3"/>
  <c r="F119" i="3" s="1"/>
  <c r="E118" i="3"/>
  <c r="F118" i="3"/>
  <c r="E117" i="3"/>
  <c r="F117" i="3" s="1"/>
  <c r="E116" i="3"/>
  <c r="F116" i="3"/>
  <c r="E115" i="3"/>
  <c r="F115" i="3" s="1"/>
  <c r="E114" i="3"/>
  <c r="F114" i="3"/>
  <c r="E113" i="3"/>
  <c r="F113" i="3" s="1"/>
  <c r="D111" i="3"/>
  <c r="C111" i="3"/>
  <c r="E110" i="3"/>
  <c r="F110" i="3" s="1"/>
  <c r="E109" i="3"/>
  <c r="F109" i="3" s="1"/>
  <c r="E108" i="3"/>
  <c r="F108" i="3"/>
  <c r="E107" i="3"/>
  <c r="F107" i="3" s="1"/>
  <c r="E106" i="3"/>
  <c r="F106" i="3" s="1"/>
  <c r="E105" i="3"/>
  <c r="F105" i="3" s="1"/>
  <c r="E104" i="3"/>
  <c r="F104" i="3"/>
  <c r="E103" i="3"/>
  <c r="F103" i="3" s="1"/>
  <c r="E102" i="3"/>
  <c r="F102" i="3"/>
  <c r="E101" i="3"/>
  <c r="F101" i="3" s="1"/>
  <c r="E100" i="3"/>
  <c r="F100" i="3"/>
  <c r="D94" i="3"/>
  <c r="E94" i="3" s="1"/>
  <c r="C94" i="3"/>
  <c r="F94" i="3" s="1"/>
  <c r="D93" i="3"/>
  <c r="C93" i="3"/>
  <c r="D92" i="3"/>
  <c r="C92" i="3"/>
  <c r="D91" i="3"/>
  <c r="E91" i="3" s="1"/>
  <c r="C91" i="3"/>
  <c r="D90" i="3"/>
  <c r="E90" i="3" s="1"/>
  <c r="C90" i="3"/>
  <c r="F90" i="3" s="1"/>
  <c r="D89" i="3"/>
  <c r="C89" i="3"/>
  <c r="D88" i="3"/>
  <c r="C88" i="3"/>
  <c r="D87" i="3"/>
  <c r="E87" i="3" s="1"/>
  <c r="C87" i="3"/>
  <c r="D86" i="3"/>
  <c r="E86" i="3" s="1"/>
  <c r="C86" i="3"/>
  <c r="F86" i="3" s="1"/>
  <c r="D85" i="3"/>
  <c r="C85" i="3"/>
  <c r="D84" i="3"/>
  <c r="C84" i="3"/>
  <c r="C95" i="3" s="1"/>
  <c r="D81" i="3"/>
  <c r="C81" i="3"/>
  <c r="F80" i="3"/>
  <c r="E80" i="3"/>
  <c r="E79" i="3"/>
  <c r="F79" i="3" s="1"/>
  <c r="E78" i="3"/>
  <c r="F78" i="3" s="1"/>
  <c r="E77" i="3"/>
  <c r="F77" i="3" s="1"/>
  <c r="F76" i="3"/>
  <c r="E76" i="3"/>
  <c r="E75" i="3"/>
  <c r="F75" i="3" s="1"/>
  <c r="E74" i="3"/>
  <c r="F74" i="3" s="1"/>
  <c r="E73" i="3"/>
  <c r="F73" i="3" s="1"/>
  <c r="F72" i="3"/>
  <c r="E72" i="3"/>
  <c r="E71" i="3"/>
  <c r="F71" i="3" s="1"/>
  <c r="E70" i="3"/>
  <c r="F70" i="3" s="1"/>
  <c r="D68" i="3"/>
  <c r="C68" i="3"/>
  <c r="E67" i="3"/>
  <c r="F67" i="3"/>
  <c r="E66" i="3"/>
  <c r="F66" i="3" s="1"/>
  <c r="E65" i="3"/>
  <c r="F65" i="3" s="1"/>
  <c r="E64" i="3"/>
  <c r="F64" i="3" s="1"/>
  <c r="E63" i="3"/>
  <c r="F63" i="3"/>
  <c r="E62" i="3"/>
  <c r="F62" i="3" s="1"/>
  <c r="E61" i="3"/>
  <c r="F61" i="3" s="1"/>
  <c r="E60" i="3"/>
  <c r="F60" i="3" s="1"/>
  <c r="E59" i="3"/>
  <c r="F59" i="3"/>
  <c r="E58" i="3"/>
  <c r="F58" i="3" s="1"/>
  <c r="E57" i="3"/>
  <c r="F57" i="3" s="1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D52" i="3" s="1"/>
  <c r="C41" i="3"/>
  <c r="D38" i="3"/>
  <c r="E38" i="3" s="1"/>
  <c r="F38" i="3" s="1"/>
  <c r="C38" i="3"/>
  <c r="F37" i="3"/>
  <c r="E37" i="3"/>
  <c r="E36" i="3"/>
  <c r="F36" i="3" s="1"/>
  <c r="E35" i="3"/>
  <c r="F35" i="3" s="1"/>
  <c r="E34" i="3"/>
  <c r="F34" i="3" s="1"/>
  <c r="F33" i="3"/>
  <c r="E33" i="3"/>
  <c r="E32" i="3"/>
  <c r="F32" i="3" s="1"/>
  <c r="E31" i="3"/>
  <c r="F31" i="3" s="1"/>
  <c r="E30" i="3"/>
  <c r="F30" i="3" s="1"/>
  <c r="F29" i="3"/>
  <c r="E29" i="3"/>
  <c r="E28" i="3"/>
  <c r="F28" i="3" s="1"/>
  <c r="E27" i="3"/>
  <c r="F27" i="3" s="1"/>
  <c r="D25" i="3"/>
  <c r="C25" i="3"/>
  <c r="E24" i="3"/>
  <c r="F24" i="3" s="1"/>
  <c r="F23" i="3"/>
  <c r="E23" i="3"/>
  <c r="E22" i="3"/>
  <c r="F22" i="3" s="1"/>
  <c r="E21" i="3"/>
  <c r="F21" i="3" s="1"/>
  <c r="E20" i="3"/>
  <c r="F20" i="3" s="1"/>
  <c r="F19" i="3"/>
  <c r="E19" i="3"/>
  <c r="E18" i="3"/>
  <c r="F18" i="3" s="1"/>
  <c r="E17" i="3"/>
  <c r="F17" i="3" s="1"/>
  <c r="E16" i="3"/>
  <c r="F16" i="3" s="1"/>
  <c r="F15" i="3"/>
  <c r="E15" i="3"/>
  <c r="E14" i="3"/>
  <c r="F14" i="3" s="1"/>
  <c r="E49" i="2"/>
  <c r="F49" i="2" s="1"/>
  <c r="D46" i="2"/>
  <c r="C46" i="2"/>
  <c r="F45" i="2"/>
  <c r="E45" i="2"/>
  <c r="E44" i="2"/>
  <c r="F44" i="2" s="1"/>
  <c r="D39" i="2"/>
  <c r="E39" i="2"/>
  <c r="C39" i="2"/>
  <c r="F39" i="2"/>
  <c r="E38" i="2"/>
  <c r="F38" i="2"/>
  <c r="E37" i="2"/>
  <c r="F37" i="2" s="1"/>
  <c r="E36" i="2"/>
  <c r="F36" i="2" s="1"/>
  <c r="D31" i="2"/>
  <c r="C31" i="2"/>
  <c r="E30" i="2"/>
  <c r="F30" i="2" s="1"/>
  <c r="E29" i="2"/>
  <c r="F29" i="2" s="1"/>
  <c r="E28" i="2"/>
  <c r="F28" i="2" s="1"/>
  <c r="E27" i="2"/>
  <c r="F27" i="2"/>
  <c r="E26" i="2"/>
  <c r="F26" i="2" s="1"/>
  <c r="E25" i="2"/>
  <c r="F25" i="2" s="1"/>
  <c r="E24" i="2"/>
  <c r="F24" i="2" s="1"/>
  <c r="E23" i="2"/>
  <c r="F23" i="2"/>
  <c r="E22" i="2"/>
  <c r="F22" i="2" s="1"/>
  <c r="E18" i="2"/>
  <c r="F18" i="2" s="1"/>
  <c r="E17" i="2"/>
  <c r="F17" i="2" s="1"/>
  <c r="D16" i="2"/>
  <c r="D19" i="2"/>
  <c r="C16" i="2"/>
  <c r="F15" i="2"/>
  <c r="E15" i="2"/>
  <c r="F14" i="2"/>
  <c r="E14" i="2"/>
  <c r="E13" i="2"/>
  <c r="F13" i="2" s="1"/>
  <c r="E12" i="2"/>
  <c r="F12" i="2" s="1"/>
  <c r="D73" i="1"/>
  <c r="C73" i="1"/>
  <c r="E72" i="1"/>
  <c r="F72" i="1" s="1"/>
  <c r="F71" i="1"/>
  <c r="E71" i="1"/>
  <c r="E70" i="1"/>
  <c r="F70" i="1" s="1"/>
  <c r="F67" i="1"/>
  <c r="E67" i="1"/>
  <c r="E64" i="1"/>
  <c r="F64" i="1" s="1"/>
  <c r="F63" i="1"/>
  <c r="E63" i="1"/>
  <c r="D61" i="1"/>
  <c r="D65" i="1" s="1"/>
  <c r="C61" i="1"/>
  <c r="E60" i="1"/>
  <c r="F60" i="1" s="1"/>
  <c r="E59" i="1"/>
  <c r="F59" i="1" s="1"/>
  <c r="D56" i="1"/>
  <c r="C56" i="1"/>
  <c r="E55" i="1"/>
  <c r="F55" i="1"/>
  <c r="E54" i="1"/>
  <c r="F54" i="1" s="1"/>
  <c r="E53" i="1"/>
  <c r="F53" i="1" s="1"/>
  <c r="F52" i="1"/>
  <c r="E52" i="1"/>
  <c r="E51" i="1"/>
  <c r="F51" i="1"/>
  <c r="E50" i="1"/>
  <c r="F50" i="1" s="1"/>
  <c r="A50" i="1"/>
  <c r="A51" i="1" s="1"/>
  <c r="A52" i="1" s="1"/>
  <c r="A53" i="1" s="1"/>
  <c r="A54" i="1" s="1"/>
  <c r="A55" i="1" s="1"/>
  <c r="E49" i="1"/>
  <c r="F49" i="1" s="1"/>
  <c r="E40" i="1"/>
  <c r="F40" i="1"/>
  <c r="D38" i="1"/>
  <c r="D41" i="1" s="1"/>
  <c r="C38" i="1"/>
  <c r="C41" i="1" s="1"/>
  <c r="E37" i="1"/>
  <c r="F37" i="1" s="1"/>
  <c r="E36" i="1"/>
  <c r="F36" i="1" s="1"/>
  <c r="E33" i="1"/>
  <c r="F33" i="1" s="1"/>
  <c r="F32" i="1"/>
  <c r="E32" i="1"/>
  <c r="F31" i="1"/>
  <c r="E31" i="1"/>
  <c r="D29" i="1"/>
  <c r="C29" i="1"/>
  <c r="E29" i="1" s="1"/>
  <c r="F29" i="1" s="1"/>
  <c r="F28" i="1"/>
  <c r="E28" i="1"/>
  <c r="F27" i="1"/>
  <c r="E27" i="1"/>
  <c r="E26" i="1"/>
  <c r="F26" i="1"/>
  <c r="E25" i="1"/>
  <c r="F25" i="1" s="1"/>
  <c r="D22" i="1"/>
  <c r="C22" i="1"/>
  <c r="E21" i="1"/>
  <c r="F21" i="1" s="1"/>
  <c r="E20" i="1"/>
  <c r="F20" i="1" s="1"/>
  <c r="E19" i="1"/>
  <c r="F19" i="1" s="1"/>
  <c r="F18" i="1"/>
  <c r="E18" i="1"/>
  <c r="E17" i="1"/>
  <c r="F17" i="1" s="1"/>
  <c r="E16" i="1"/>
  <c r="F16" i="1" s="1"/>
  <c r="E15" i="1"/>
  <c r="F15" i="1" s="1"/>
  <c r="F14" i="1"/>
  <c r="E14" i="1"/>
  <c r="E13" i="1"/>
  <c r="F13" i="1" s="1"/>
  <c r="E23" i="14"/>
  <c r="F23" i="14" s="1"/>
  <c r="E60" i="14"/>
  <c r="F60" i="14" s="1"/>
  <c r="E124" i="14"/>
  <c r="D37" i="14"/>
  <c r="D146" i="14"/>
  <c r="E59" i="14"/>
  <c r="F59" i="14"/>
  <c r="E95" i="14"/>
  <c r="E129" i="14"/>
  <c r="E172" i="14"/>
  <c r="F227" i="14"/>
  <c r="D111" i="14"/>
  <c r="D239" i="14"/>
  <c r="E158" i="14"/>
  <c r="D192" i="14"/>
  <c r="D190" i="14"/>
  <c r="D21" i="5"/>
  <c r="C24" i="5"/>
  <c r="C17" i="5"/>
  <c r="C41" i="9"/>
  <c r="E21" i="10"/>
  <c r="D33" i="2"/>
  <c r="D140" i="5"/>
  <c r="D136" i="5"/>
  <c r="D137" i="5"/>
  <c r="D138" i="5"/>
  <c r="D139" i="5"/>
  <c r="D135" i="5"/>
  <c r="C139" i="5"/>
  <c r="C135" i="5"/>
  <c r="C140" i="5"/>
  <c r="C136" i="5"/>
  <c r="C137" i="5"/>
  <c r="C138" i="5"/>
  <c r="C156" i="5"/>
  <c r="C152" i="5"/>
  <c r="C157" i="5"/>
  <c r="C153" i="5"/>
  <c r="C154" i="5"/>
  <c r="C155" i="5"/>
  <c r="D75" i="8"/>
  <c r="E75" i="8"/>
  <c r="F75" i="8" s="1"/>
  <c r="E65" i="8"/>
  <c r="D33" i="9"/>
  <c r="E19" i="9"/>
  <c r="D31" i="11"/>
  <c r="D33" i="11"/>
  <c r="D36" i="11"/>
  <c r="D38" i="11" s="1"/>
  <c r="F36" i="11"/>
  <c r="F38" i="11" s="1"/>
  <c r="F40" i="11" s="1"/>
  <c r="E65" i="15"/>
  <c r="D66" i="15"/>
  <c r="C65" i="1"/>
  <c r="E22" i="1"/>
  <c r="F22" i="1"/>
  <c r="E56" i="1"/>
  <c r="F56" i="1"/>
  <c r="E61" i="1"/>
  <c r="F61" i="1"/>
  <c r="E16" i="2"/>
  <c r="F16" i="2"/>
  <c r="E85" i="3"/>
  <c r="F85" i="3"/>
  <c r="E89" i="3"/>
  <c r="F89" i="3"/>
  <c r="E93" i="3"/>
  <c r="F93" i="3"/>
  <c r="E153" i="3"/>
  <c r="F153" i="3"/>
  <c r="F109" i="4"/>
  <c r="E49" i="5"/>
  <c r="E57" i="5"/>
  <c r="E62" i="5" s="1"/>
  <c r="E149" i="5"/>
  <c r="E166" i="5"/>
  <c r="E36" i="6"/>
  <c r="E88" i="6"/>
  <c r="F88" i="6" s="1"/>
  <c r="E166" i="6"/>
  <c r="E198" i="6"/>
  <c r="F198" i="6"/>
  <c r="E202" i="6"/>
  <c r="F202" i="6"/>
  <c r="E206" i="6"/>
  <c r="F206" i="6"/>
  <c r="E60" i="7"/>
  <c r="F60" i="7"/>
  <c r="E108" i="7"/>
  <c r="F108" i="7"/>
  <c r="E115" i="7"/>
  <c r="F115" i="7"/>
  <c r="E119" i="7"/>
  <c r="F119" i="7"/>
  <c r="C25" i="5"/>
  <c r="C27" i="5"/>
  <c r="C88" i="5"/>
  <c r="C90" i="5"/>
  <c r="C86" i="5" s="1"/>
  <c r="E62" i="6"/>
  <c r="F62" i="6" s="1"/>
  <c r="E89" i="6"/>
  <c r="F89" i="6" s="1"/>
  <c r="E114" i="6"/>
  <c r="E199" i="6"/>
  <c r="F199" i="6" s="1"/>
  <c r="E203" i="6"/>
  <c r="F203" i="6" s="1"/>
  <c r="E112" i="7"/>
  <c r="F112" i="7" s="1"/>
  <c r="E116" i="7"/>
  <c r="F116" i="7" s="1"/>
  <c r="E120" i="7"/>
  <c r="F120" i="7" s="1"/>
  <c r="C122" i="7"/>
  <c r="E29" i="8"/>
  <c r="F29" i="8"/>
  <c r="E61" i="8"/>
  <c r="F61" i="8" s="1"/>
  <c r="F19" i="9"/>
  <c r="D24" i="10"/>
  <c r="D17" i="10"/>
  <c r="D28" i="10" s="1"/>
  <c r="D70" i="10" s="1"/>
  <c r="D72" i="10" s="1"/>
  <c r="D69" i="10" s="1"/>
  <c r="C127" i="14"/>
  <c r="E126" i="14"/>
  <c r="F126" i="14" s="1"/>
  <c r="D15" i="5"/>
  <c r="E53" i="5"/>
  <c r="C79" i="5"/>
  <c r="C207" i="6"/>
  <c r="D25" i="10"/>
  <c r="D27" i="10" s="1"/>
  <c r="C21" i="10"/>
  <c r="C125" i="14"/>
  <c r="C90" i="14"/>
  <c r="E48" i="14"/>
  <c r="F48" i="14" s="1"/>
  <c r="C75" i="1"/>
  <c r="C19" i="2"/>
  <c r="D95" i="3"/>
  <c r="E95" i="3"/>
  <c r="F95" i="3" s="1"/>
  <c r="E84" i="3"/>
  <c r="F84" i="3" s="1"/>
  <c r="E88" i="3"/>
  <c r="F88" i="3" s="1"/>
  <c r="E92" i="3"/>
  <c r="F92" i="3" s="1"/>
  <c r="E124" i="3"/>
  <c r="F124" i="3" s="1"/>
  <c r="E41" i="4"/>
  <c r="F41" i="4" s="1"/>
  <c r="E155" i="4"/>
  <c r="F155" i="4" s="1"/>
  <c r="E141" i="6"/>
  <c r="E193" i="6"/>
  <c r="F193" i="6" s="1"/>
  <c r="E201" i="6"/>
  <c r="F201" i="6" s="1"/>
  <c r="E205" i="6"/>
  <c r="F205" i="6" s="1"/>
  <c r="E59" i="7"/>
  <c r="F59" i="7" s="1"/>
  <c r="E107" i="7"/>
  <c r="F107" i="7" s="1"/>
  <c r="E114" i="7"/>
  <c r="F114" i="7" s="1"/>
  <c r="E118" i="7"/>
  <c r="F118" i="7" s="1"/>
  <c r="F65" i="8"/>
  <c r="E16" i="9"/>
  <c r="F16" i="9"/>
  <c r="E15" i="10"/>
  <c r="C48" i="10"/>
  <c r="C42" i="10" s="1"/>
  <c r="E57" i="10"/>
  <c r="C215" i="14"/>
  <c r="C283" i="14"/>
  <c r="C205" i="14"/>
  <c r="E260" i="15"/>
  <c r="D320" i="15"/>
  <c r="E320" i="15" s="1"/>
  <c r="E316" i="15"/>
  <c r="D330" i="15"/>
  <c r="E330" i="15" s="1"/>
  <c r="E326" i="15"/>
  <c r="D207" i="6"/>
  <c r="E207" i="6" s="1"/>
  <c r="F207" i="6" s="1"/>
  <c r="D208" i="6"/>
  <c r="E208" i="6" s="1"/>
  <c r="F208" i="6" s="1"/>
  <c r="D121" i="7"/>
  <c r="E121" i="7"/>
  <c r="F121" i="7" s="1"/>
  <c r="D122" i="7"/>
  <c r="E122" i="7" s="1"/>
  <c r="F122" i="7" s="1"/>
  <c r="F59" i="12"/>
  <c r="F74" i="12"/>
  <c r="E21" i="14"/>
  <c r="E24" i="14"/>
  <c r="F24" i="14"/>
  <c r="F29" i="14"/>
  <c r="F35" i="14"/>
  <c r="E44" i="14"/>
  <c r="F44" i="14"/>
  <c r="C49" i="14"/>
  <c r="E53" i="14"/>
  <c r="F53" i="14" s="1"/>
  <c r="F58" i="14"/>
  <c r="E61" i="14"/>
  <c r="E67" i="14"/>
  <c r="F67" i="14" s="1"/>
  <c r="E89" i="14"/>
  <c r="F89" i="14" s="1"/>
  <c r="F95" i="14"/>
  <c r="C103" i="14"/>
  <c r="F120" i="14"/>
  <c r="F129" i="14"/>
  <c r="F135" i="14"/>
  <c r="E137" i="14"/>
  <c r="C146" i="14"/>
  <c r="F158" i="14"/>
  <c r="F165" i="14"/>
  <c r="E171" i="14"/>
  <c r="C173" i="14"/>
  <c r="E173" i="14" s="1"/>
  <c r="F173" i="14" s="1"/>
  <c r="C192" i="14"/>
  <c r="C214" i="14"/>
  <c r="C304" i="14" s="1"/>
  <c r="F229" i="14"/>
  <c r="F237" i="14"/>
  <c r="C262" i="14"/>
  <c r="E269" i="14"/>
  <c r="F269" i="14" s="1"/>
  <c r="E278" i="14"/>
  <c r="F278" i="14" s="1"/>
  <c r="F294" i="14"/>
  <c r="E296" i="14"/>
  <c r="F296" i="14" s="1"/>
  <c r="C306" i="14"/>
  <c r="F311" i="14"/>
  <c r="E21" i="15"/>
  <c r="C33" i="15"/>
  <c r="E37" i="15"/>
  <c r="E70" i="15"/>
  <c r="C246" i="15"/>
  <c r="C104" i="14"/>
  <c r="D294" i="15"/>
  <c r="E32" i="15"/>
  <c r="D209" i="14"/>
  <c r="D104" i="14"/>
  <c r="D174" i="14"/>
  <c r="D254" i="14"/>
  <c r="E47" i="14"/>
  <c r="F47" i="14" s="1"/>
  <c r="F145" i="14"/>
  <c r="F172" i="14"/>
  <c r="F180" i="14"/>
  <c r="E204" i="14"/>
  <c r="F204" i="14" s="1"/>
  <c r="F223" i="14"/>
  <c r="C239" i="14"/>
  <c r="C255" i="14"/>
  <c r="C285" i="14"/>
  <c r="F299" i="14"/>
  <c r="C44" i="15"/>
  <c r="C261" i="14"/>
  <c r="C254" i="14"/>
  <c r="E188" i="14"/>
  <c r="F188" i="14" s="1"/>
  <c r="C283" i="15"/>
  <c r="E283" i="15" s="1"/>
  <c r="C22" i="15"/>
  <c r="C284" i="15" s="1"/>
  <c r="D289" i="15"/>
  <c r="E60" i="15"/>
  <c r="D109" i="19"/>
  <c r="D108" i="19"/>
  <c r="D175" i="14"/>
  <c r="D62" i="14"/>
  <c r="D210" i="14"/>
  <c r="D105" i="14"/>
  <c r="C68" i="14"/>
  <c r="C174" i="14"/>
  <c r="C190" i="14"/>
  <c r="C193" i="14"/>
  <c r="C282" i="14" s="1"/>
  <c r="C270" i="14"/>
  <c r="C288" i="14"/>
  <c r="D71" i="15"/>
  <c r="E245" i="15"/>
  <c r="C41" i="17"/>
  <c r="C108" i="19"/>
  <c r="C109" i="19"/>
  <c r="D193" i="14"/>
  <c r="E192" i="14"/>
  <c r="E20" i="14"/>
  <c r="F20" i="14" s="1"/>
  <c r="F21" i="14"/>
  <c r="F61" i="14"/>
  <c r="C91" i="14"/>
  <c r="E94" i="14"/>
  <c r="F94" i="14" s="1"/>
  <c r="F101" i="14"/>
  <c r="F124" i="14"/>
  <c r="F137" i="14"/>
  <c r="C159" i="14"/>
  <c r="F170" i="14"/>
  <c r="F171" i="14"/>
  <c r="C181" i="14"/>
  <c r="E189" i="14"/>
  <c r="F189" i="14" s="1"/>
  <c r="C199" i="14"/>
  <c r="E203" i="14"/>
  <c r="F203" i="14"/>
  <c r="C207" i="14"/>
  <c r="E226" i="14"/>
  <c r="F226" i="14" s="1"/>
  <c r="E250" i="14"/>
  <c r="F250" i="14"/>
  <c r="C277" i="14"/>
  <c r="F295" i="14"/>
  <c r="D22" i="15"/>
  <c r="D33" i="15"/>
  <c r="E36" i="15"/>
  <c r="E42" i="15"/>
  <c r="D55" i="15"/>
  <c r="E55" i="15" s="1"/>
  <c r="C71" i="15"/>
  <c r="C76" i="15" s="1"/>
  <c r="C65" i="16"/>
  <c r="C114" i="16" s="1"/>
  <c r="C116" i="16" s="1"/>
  <c r="C119" i="16" s="1"/>
  <c r="C123" i="16" s="1"/>
  <c r="F20" i="17"/>
  <c r="F40" i="17"/>
  <c r="D282" i="14"/>
  <c r="E139" i="15"/>
  <c r="D157" i="15"/>
  <c r="E157" i="15" s="1"/>
  <c r="C163" i="15"/>
  <c r="E163" i="15" s="1"/>
  <c r="D175" i="15"/>
  <c r="E175" i="15" s="1"/>
  <c r="E188" i="15"/>
  <c r="D210" i="15"/>
  <c r="D217" i="15"/>
  <c r="E218" i="15"/>
  <c r="E233" i="15"/>
  <c r="D239" i="15"/>
  <c r="C242" i="15"/>
  <c r="E242" i="15" s="1"/>
  <c r="D243" i="15"/>
  <c r="E243" i="15" s="1"/>
  <c r="E251" i="15"/>
  <c r="D261" i="15"/>
  <c r="E261" i="15" s="1"/>
  <c r="C22" i="16"/>
  <c r="E22" i="19"/>
  <c r="D34" i="19"/>
  <c r="C101" i="19"/>
  <c r="D102" i="19"/>
  <c r="D125" i="14"/>
  <c r="E125" i="14"/>
  <c r="D138" i="14"/>
  <c r="E138" i="14"/>
  <c r="F138" i="14" s="1"/>
  <c r="D161" i="14"/>
  <c r="D267" i="14"/>
  <c r="D277" i="14"/>
  <c r="D285" i="14"/>
  <c r="E285" i="14" s="1"/>
  <c r="F285" i="14" s="1"/>
  <c r="E195" i="15"/>
  <c r="E215" i="15"/>
  <c r="C217" i="15"/>
  <c r="C241" i="15" s="1"/>
  <c r="D222" i="15"/>
  <c r="D229" i="15"/>
  <c r="E229" i="15" s="1"/>
  <c r="C239" i="15"/>
  <c r="D240" i="15"/>
  <c r="D244" i="15"/>
  <c r="E244" i="15" s="1"/>
  <c r="E314" i="15"/>
  <c r="C49" i="16"/>
  <c r="D22" i="19"/>
  <c r="E23" i="19"/>
  <c r="E108" i="19"/>
  <c r="D160" i="14"/>
  <c r="D200" i="14"/>
  <c r="D206" i="14"/>
  <c r="E206" i="14" s="1"/>
  <c r="F206" i="14" s="1"/>
  <c r="D262" i="14"/>
  <c r="D266" i="14"/>
  <c r="D274" i="14"/>
  <c r="D280" i="14"/>
  <c r="D144" i="15"/>
  <c r="E231" i="15"/>
  <c r="E324" i="15"/>
  <c r="E19" i="17"/>
  <c r="F19" i="17" s="1"/>
  <c r="E39" i="17"/>
  <c r="E41" i="17" s="1"/>
  <c r="F41" i="17" s="1"/>
  <c r="E43" i="17"/>
  <c r="D23" i="19"/>
  <c r="E33" i="19"/>
  <c r="D49" i="14"/>
  <c r="D91" i="14"/>
  <c r="D92" i="14" s="1"/>
  <c r="D199" i="14"/>
  <c r="E199" i="14"/>
  <c r="D205" i="14"/>
  <c r="E205" i="14"/>
  <c r="D215" i="14"/>
  <c r="D261" i="14"/>
  <c r="D263" i="14" s="1"/>
  <c r="D50" i="14"/>
  <c r="E49" i="14"/>
  <c r="D255" i="14"/>
  <c r="E255" i="14" s="1"/>
  <c r="F255" i="14" s="1"/>
  <c r="E215" i="14"/>
  <c r="F215" i="14" s="1"/>
  <c r="E91" i="14"/>
  <c r="D234" i="15"/>
  <c r="D211" i="15"/>
  <c r="D284" i="15"/>
  <c r="E284" i="15" s="1"/>
  <c r="E22" i="15"/>
  <c r="E207" i="14"/>
  <c r="F207" i="14" s="1"/>
  <c r="C208" i="14"/>
  <c r="E159" i="14"/>
  <c r="F159" i="14" s="1"/>
  <c r="D194" i="14"/>
  <c r="E193" i="14"/>
  <c r="D211" i="14"/>
  <c r="C268" i="14"/>
  <c r="C263" i="14"/>
  <c r="C271" i="14"/>
  <c r="C99" i="15"/>
  <c r="C95" i="15"/>
  <c r="C258" i="15"/>
  <c r="C98" i="15"/>
  <c r="C87" i="15"/>
  <c r="C83" i="15"/>
  <c r="C101" i="15"/>
  <c r="C97" i="15"/>
  <c r="C86" i="15"/>
  <c r="C100" i="15"/>
  <c r="C96" i="15"/>
  <c r="C102" i="15" s="1"/>
  <c r="C103" i="15" s="1"/>
  <c r="C89" i="15"/>
  <c r="C85" i="15"/>
  <c r="C84" i="15"/>
  <c r="C88" i="15"/>
  <c r="E254" i="14"/>
  <c r="F254" i="14" s="1"/>
  <c r="E103" i="14"/>
  <c r="F103" i="14"/>
  <c r="F49" i="14"/>
  <c r="C50" i="14"/>
  <c r="C33" i="2"/>
  <c r="E154" i="5"/>
  <c r="E155" i="5"/>
  <c r="E152" i="5"/>
  <c r="E153" i="5"/>
  <c r="E156" i="5"/>
  <c r="E157" i="5"/>
  <c r="D41" i="2"/>
  <c r="C28" i="5"/>
  <c r="C99" i="5" s="1"/>
  <c r="C101" i="5" s="1"/>
  <c r="C98" i="5" s="1"/>
  <c r="C112" i="5"/>
  <c r="C111" i="5" s="1"/>
  <c r="E239" i="15"/>
  <c r="F39" i="17"/>
  <c r="D139" i="14"/>
  <c r="E139" i="14" s="1"/>
  <c r="F139" i="14" s="1"/>
  <c r="D268" i="14"/>
  <c r="E268" i="14" s="1"/>
  <c r="F268" i="14" s="1"/>
  <c r="D271" i="14"/>
  <c r="D46" i="19"/>
  <c r="D40" i="19"/>
  <c r="D36" i="19"/>
  <c r="D30" i="19"/>
  <c r="D111" i="19"/>
  <c r="D54" i="19"/>
  <c r="D281" i="14"/>
  <c r="D246" i="15"/>
  <c r="E246" i="15"/>
  <c r="E222" i="15"/>
  <c r="E217" i="15"/>
  <c r="D241" i="15"/>
  <c r="D295" i="15"/>
  <c r="E33" i="15"/>
  <c r="C287" i="14"/>
  <c r="C279" i="14"/>
  <c r="C284" i="14"/>
  <c r="D106" i="14"/>
  <c r="D176" i="14"/>
  <c r="E306" i="14"/>
  <c r="E146" i="14"/>
  <c r="F146" i="14" s="1"/>
  <c r="E127" i="14"/>
  <c r="F127" i="14" s="1"/>
  <c r="C20" i="5"/>
  <c r="C21" i="5"/>
  <c r="E33" i="9"/>
  <c r="F33" i="9" s="1"/>
  <c r="D41" i="9"/>
  <c r="C48" i="9"/>
  <c r="D253" i="15"/>
  <c r="D216" i="14"/>
  <c r="C160" i="14"/>
  <c r="C141" i="5"/>
  <c r="D141" i="5"/>
  <c r="E19" i="2"/>
  <c r="F19" i="2" s="1"/>
  <c r="D53" i="19"/>
  <c r="D45" i="19"/>
  <c r="D39" i="19"/>
  <c r="D35" i="19"/>
  <c r="D29" i="19"/>
  <c r="D110" i="19"/>
  <c r="D162" i="14"/>
  <c r="D145" i="15"/>
  <c r="D180" i="15"/>
  <c r="D168" i="15"/>
  <c r="D272" i="14"/>
  <c r="E262" i="14"/>
  <c r="F262" i="14" s="1"/>
  <c r="E54" i="19"/>
  <c r="E46" i="19"/>
  <c r="E40" i="19"/>
  <c r="E36" i="19"/>
  <c r="E30" i="19"/>
  <c r="E111" i="19"/>
  <c r="D270" i="14"/>
  <c r="E270" i="14" s="1"/>
  <c r="F270" i="14" s="1"/>
  <c r="E267" i="14"/>
  <c r="F267" i="14"/>
  <c r="E110" i="19"/>
  <c r="E53" i="19"/>
  <c r="E45" i="19"/>
  <c r="E39" i="19"/>
  <c r="E35" i="19"/>
  <c r="E29" i="19"/>
  <c r="F91" i="14"/>
  <c r="C92" i="14"/>
  <c r="D76" i="15"/>
  <c r="E71" i="15"/>
  <c r="E190" i="14"/>
  <c r="F190" i="14"/>
  <c r="E239" i="14"/>
  <c r="F239" i="14"/>
  <c r="C272" i="14"/>
  <c r="C216" i="14"/>
  <c r="E214" i="14"/>
  <c r="F214" i="14"/>
  <c r="C286" i="14"/>
  <c r="E283" i="14"/>
  <c r="F283" i="14" s="1"/>
  <c r="D24" i="5"/>
  <c r="D20" i="5"/>
  <c r="D17" i="5"/>
  <c r="E160" i="14"/>
  <c r="F199" i="14"/>
  <c r="D300" i="14"/>
  <c r="D140" i="14"/>
  <c r="C161" i="14"/>
  <c r="E104" i="14"/>
  <c r="F104" i="14"/>
  <c r="D288" i="14"/>
  <c r="E288" i="14"/>
  <c r="F288" i="14" s="1"/>
  <c r="F125" i="14"/>
  <c r="D287" i="14"/>
  <c r="D279" i="14"/>
  <c r="E279" i="14" s="1"/>
  <c r="F279" i="14" s="1"/>
  <c r="D284" i="14"/>
  <c r="E284" i="14" s="1"/>
  <c r="F284" i="14" s="1"/>
  <c r="E277" i="14"/>
  <c r="F277" i="14" s="1"/>
  <c r="E181" i="14"/>
  <c r="F181" i="14" s="1"/>
  <c r="F193" i="14"/>
  <c r="C194" i="14"/>
  <c r="D63" i="14"/>
  <c r="E24" i="10"/>
  <c r="E20" i="10" s="1"/>
  <c r="E17" i="10"/>
  <c r="E28" i="10" s="1"/>
  <c r="E90" i="14"/>
  <c r="F90" i="14" s="1"/>
  <c r="E137" i="5"/>
  <c r="E138" i="5"/>
  <c r="E135" i="5"/>
  <c r="E136" i="5"/>
  <c r="E139" i="5"/>
  <c r="E140" i="5"/>
  <c r="D223" i="15"/>
  <c r="D252" i="15"/>
  <c r="D265" i="14"/>
  <c r="E174" i="14"/>
  <c r="F174" i="14" s="1"/>
  <c r="D286" i="14"/>
  <c r="E286" i="14" s="1"/>
  <c r="F286" i="14" s="1"/>
  <c r="F192" i="14"/>
  <c r="F205" i="14"/>
  <c r="C266" i="14"/>
  <c r="C158" i="5"/>
  <c r="D141" i="14"/>
  <c r="E47" i="19"/>
  <c r="E37" i="19"/>
  <c r="E112" i="19"/>
  <c r="E55" i="19"/>
  <c r="C291" i="14"/>
  <c r="C289" i="14"/>
  <c r="D70" i="14"/>
  <c r="E50" i="14"/>
  <c r="C90" i="15"/>
  <c r="C91" i="15" s="1"/>
  <c r="E48" i="19"/>
  <c r="E38" i="19"/>
  <c r="E113" i="19"/>
  <c r="E56" i="19"/>
  <c r="D183" i="14"/>
  <c r="D323" i="14"/>
  <c r="D113" i="19"/>
  <c r="D56" i="19"/>
  <c r="D48" i="19"/>
  <c r="D38" i="19"/>
  <c r="C41" i="2"/>
  <c r="E41" i="2" s="1"/>
  <c r="F41" i="2" s="1"/>
  <c r="F160" i="14"/>
  <c r="D112" i="5"/>
  <c r="D111" i="5" s="1"/>
  <c r="D28" i="5"/>
  <c r="E223" i="15"/>
  <c r="D247" i="15"/>
  <c r="C162" i="14"/>
  <c r="E162" i="14"/>
  <c r="D291" i="14"/>
  <c r="D289" i="14"/>
  <c r="E289" i="14" s="1"/>
  <c r="F289" i="14" s="1"/>
  <c r="E287" i="14"/>
  <c r="F287" i="14" s="1"/>
  <c r="E41" i="9"/>
  <c r="F41" i="9" s="1"/>
  <c r="D48" i="9"/>
  <c r="E48" i="9" s="1"/>
  <c r="F48" i="9" s="1"/>
  <c r="D48" i="2"/>
  <c r="C273" i="14"/>
  <c r="E194" i="14"/>
  <c r="F194" i="14"/>
  <c r="D196" i="14"/>
  <c r="D195" i="14"/>
  <c r="D235" i="15"/>
  <c r="E161" i="14"/>
  <c r="F161" i="14" s="1"/>
  <c r="E266" i="14"/>
  <c r="F266" i="14"/>
  <c r="E158" i="5"/>
  <c r="D254" i="15"/>
  <c r="C195" i="14"/>
  <c r="C196" i="14"/>
  <c r="D77" i="15"/>
  <c r="D127" i="15" s="1"/>
  <c r="D181" i="15"/>
  <c r="D169" i="15"/>
  <c r="D47" i="19"/>
  <c r="D37" i="19"/>
  <c r="D112" i="19"/>
  <c r="D55" i="19"/>
  <c r="D304" i="14"/>
  <c r="D273" i="14"/>
  <c r="E273" i="14" s="1"/>
  <c r="F273" i="14" s="1"/>
  <c r="E271" i="14"/>
  <c r="F271" i="14" s="1"/>
  <c r="F50" i="14"/>
  <c r="E208" i="14"/>
  <c r="F208" i="14" s="1"/>
  <c r="C209" i="14"/>
  <c r="E272" i="14"/>
  <c r="F272" i="14" s="1"/>
  <c r="E216" i="14"/>
  <c r="F216" i="14" s="1"/>
  <c r="E33" i="2"/>
  <c r="F33" i="2" s="1"/>
  <c r="D322" i="14"/>
  <c r="D148" i="14"/>
  <c r="D111" i="15"/>
  <c r="D121" i="15"/>
  <c r="D113" i="15"/>
  <c r="D305" i="14"/>
  <c r="D309" i="14" s="1"/>
  <c r="E291" i="14"/>
  <c r="F291" i="14"/>
  <c r="D197" i="14"/>
  <c r="E196" i="14"/>
  <c r="F196" i="14" s="1"/>
  <c r="F162" i="14"/>
  <c r="C197" i="14"/>
  <c r="E197" i="14" s="1"/>
  <c r="F197" i="14" s="1"/>
  <c r="D99" i="5"/>
  <c r="D101" i="5" s="1"/>
  <c r="D98" i="5" s="1"/>
  <c r="D22" i="5"/>
  <c r="C48" i="2"/>
  <c r="F48" i="2" s="1"/>
  <c r="C305" i="14"/>
  <c r="E209" i="14"/>
  <c r="F209" i="14" s="1"/>
  <c r="E195" i="14"/>
  <c r="F195" i="14" s="1"/>
  <c r="E48" i="2"/>
  <c r="C309" i="14"/>
  <c r="E305" i="14"/>
  <c r="C105" i="15" l="1"/>
  <c r="E141" i="5"/>
  <c r="E263" i="14"/>
  <c r="F263" i="14" s="1"/>
  <c r="E241" i="15"/>
  <c r="E73" i="1"/>
  <c r="F179" i="3"/>
  <c r="F305" i="14"/>
  <c r="D109" i="15"/>
  <c r="D124" i="15"/>
  <c r="D125" i="15"/>
  <c r="D115" i="15"/>
  <c r="F73" i="1"/>
  <c r="E81" i="3"/>
  <c r="F81" i="3" s="1"/>
  <c r="D83" i="4"/>
  <c r="E79" i="5"/>
  <c r="D166" i="5"/>
  <c r="E50" i="6"/>
  <c r="F50" i="6" s="1"/>
  <c r="E63" i="6"/>
  <c r="F63" i="6" s="1"/>
  <c r="E101" i="6"/>
  <c r="F101" i="6" s="1"/>
  <c r="E102" i="6"/>
  <c r="F102" i="6" s="1"/>
  <c r="E115" i="6"/>
  <c r="E128" i="6"/>
  <c r="E140" i="6"/>
  <c r="E153" i="6"/>
  <c r="E179" i="6"/>
  <c r="E180" i="6"/>
  <c r="E192" i="6"/>
  <c r="E68" i="3"/>
  <c r="F68" i="3" s="1"/>
  <c r="F87" i="3"/>
  <c r="F91" i="3"/>
  <c r="F137" i="3"/>
  <c r="F24" i="4"/>
  <c r="F59" i="4"/>
  <c r="C83" i="4"/>
  <c r="D176" i="4"/>
  <c r="D88" i="5"/>
  <c r="D90" i="5" s="1"/>
  <c r="D86" i="5" s="1"/>
  <c r="E37" i="6"/>
  <c r="F128" i="6"/>
  <c r="E24" i="7"/>
  <c r="F35" i="7"/>
  <c r="E71" i="7"/>
  <c r="E83" i="7"/>
  <c r="D42" i="10"/>
  <c r="E48" i="10"/>
  <c r="E42" i="10" s="1"/>
  <c r="D50" i="10"/>
  <c r="E33" i="11"/>
  <c r="E36" i="11" s="1"/>
  <c r="E38" i="11" s="1"/>
  <c r="G31" i="11"/>
  <c r="E23" i="12"/>
  <c r="F23" i="12" s="1"/>
  <c r="F58" i="12"/>
  <c r="E84" i="12"/>
  <c r="E13" i="13"/>
  <c r="F13" i="13" s="1"/>
  <c r="E21" i="13"/>
  <c r="F21" i="13" s="1"/>
  <c r="C31" i="14"/>
  <c r="F155" i="14"/>
  <c r="D43" i="15"/>
  <c r="D259" i="15" s="1"/>
  <c r="D263" i="15" s="1"/>
  <c r="C289" i="15"/>
  <c r="E289" i="15" s="1"/>
  <c r="E69" i="15"/>
  <c r="E75" i="15"/>
  <c r="E151" i="15"/>
  <c r="E173" i="15"/>
  <c r="E178" i="15"/>
  <c r="E179" i="15"/>
  <c r="C210" i="15"/>
  <c r="E216" i="15"/>
  <c r="E220" i="15"/>
  <c r="E228" i="15"/>
  <c r="E293" i="15"/>
  <c r="E301" i="15"/>
  <c r="C37" i="16"/>
  <c r="C38" i="16" s="1"/>
  <c r="C127" i="16" s="1"/>
  <c r="C129" i="16" s="1"/>
  <c r="C133" i="16" s="1"/>
  <c r="E16" i="17"/>
  <c r="F16" i="17" s="1"/>
  <c r="D101" i="19"/>
  <c r="D103" i="19" s="1"/>
  <c r="E88" i="19"/>
  <c r="C93" i="19"/>
  <c r="E93" i="19"/>
  <c r="D68" i="14"/>
  <c r="E68" i="14" s="1"/>
  <c r="F68" i="14" s="1"/>
  <c r="F45" i="12"/>
  <c r="F50" i="12"/>
  <c r="E55" i="12"/>
  <c r="E65" i="12"/>
  <c r="F65" i="12" s="1"/>
  <c r="F70" i="12"/>
  <c r="E92" i="12"/>
  <c r="F92" i="12" s="1"/>
  <c r="C37" i="14"/>
  <c r="E37" i="14" s="1"/>
  <c r="F37" i="14" s="1"/>
  <c r="E76" i="14"/>
  <c r="F76" i="14" s="1"/>
  <c r="F85" i="14"/>
  <c r="F100" i="14"/>
  <c r="E102" i="14"/>
  <c r="F102" i="14" s="1"/>
  <c r="E130" i="14"/>
  <c r="F130" i="14" s="1"/>
  <c r="C274" i="14"/>
  <c r="E274" i="14" s="1"/>
  <c r="F274" i="14" s="1"/>
  <c r="E156" i="15"/>
  <c r="E290" i="15"/>
  <c r="D41" i="17"/>
  <c r="C102" i="19"/>
  <c r="C103" i="19" s="1"/>
  <c r="E22" i="10"/>
  <c r="E70" i="10"/>
  <c r="E72" i="10" s="1"/>
  <c r="E69" i="10" s="1"/>
  <c r="E304" i="14"/>
  <c r="C310" i="14"/>
  <c r="F304" i="14"/>
  <c r="C43" i="1"/>
  <c r="D75" i="1"/>
  <c r="E75" i="1" s="1"/>
  <c r="F75" i="1" s="1"/>
  <c r="E65" i="1"/>
  <c r="F65" i="1" s="1"/>
  <c r="E309" i="14"/>
  <c r="F309" i="14" s="1"/>
  <c r="D310" i="14"/>
  <c r="D324" i="14"/>
  <c r="E92" i="14"/>
  <c r="F92" i="14" s="1"/>
  <c r="D113" i="14"/>
  <c r="C259" i="15"/>
  <c r="C77" i="15"/>
  <c r="E76" i="15"/>
  <c r="E282" i="14"/>
  <c r="F282" i="14" s="1"/>
  <c r="D21" i="10"/>
  <c r="D22" i="10"/>
  <c r="D20" i="10"/>
  <c r="E41" i="1"/>
  <c r="F41" i="1" s="1"/>
  <c r="D43" i="1"/>
  <c r="E43" i="1" s="1"/>
  <c r="E38" i="1"/>
  <c r="E31" i="2"/>
  <c r="F31" i="2" s="1"/>
  <c r="E176" i="4"/>
  <c r="F176" i="4" s="1"/>
  <c r="E77" i="15"/>
  <c r="D110" i="15"/>
  <c r="D114" i="15"/>
  <c r="D122" i="15"/>
  <c r="D126" i="15"/>
  <c r="D112" i="15"/>
  <c r="D123" i="15"/>
  <c r="C22" i="5"/>
  <c r="E261" i="14"/>
  <c r="F261" i="14" s="1"/>
  <c r="F43" i="17"/>
  <c r="F38" i="1"/>
  <c r="E46" i="2"/>
  <c r="F46" i="2" s="1"/>
  <c r="E25" i="3"/>
  <c r="F25" i="3" s="1"/>
  <c r="E83" i="4"/>
  <c r="F83" i="4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111" i="3"/>
  <c r="F111" i="3" s="1"/>
  <c r="E166" i="3"/>
  <c r="F166" i="3" s="1"/>
  <c r="E18" i="4"/>
  <c r="F18" i="4" s="1"/>
  <c r="E30" i="4"/>
  <c r="F30" i="4" s="1"/>
  <c r="E35" i="4"/>
  <c r="F35" i="4" s="1"/>
  <c r="F78" i="4"/>
  <c r="E171" i="4"/>
  <c r="F171" i="4" s="1"/>
  <c r="E15" i="5"/>
  <c r="C43" i="5"/>
  <c r="C49" i="5"/>
  <c r="C57" i="5"/>
  <c r="C62" i="5" s="1"/>
  <c r="E77" i="5"/>
  <c r="E71" i="5" s="1"/>
  <c r="I31" i="11"/>
  <c r="C52" i="3"/>
  <c r="E52" i="3" s="1"/>
  <c r="D43" i="5"/>
  <c r="E23" i="6"/>
  <c r="F23" i="6" s="1"/>
  <c r="F24" i="6"/>
  <c r="F76" i="6"/>
  <c r="F127" i="6"/>
  <c r="F192" i="6"/>
  <c r="F113" i="7"/>
  <c r="F117" i="7"/>
  <c r="E22" i="8"/>
  <c r="F22" i="8" s="1"/>
  <c r="C41" i="8"/>
  <c r="E38" i="8"/>
  <c r="F38" i="8" s="1"/>
  <c r="F31" i="9"/>
  <c r="F39" i="9"/>
  <c r="D59" i="10"/>
  <c r="D61" i="10" s="1"/>
  <c r="D57" i="10" s="1"/>
  <c r="I17" i="11"/>
  <c r="F31" i="11"/>
  <c r="H31" i="11" s="1"/>
  <c r="C33" i="11"/>
  <c r="F84" i="12"/>
  <c r="E99" i="12"/>
  <c r="E17" i="13"/>
  <c r="F17" i="13" s="1"/>
  <c r="F17" i="14"/>
  <c r="F30" i="14"/>
  <c r="C15" i="10"/>
  <c r="H17" i="11"/>
  <c r="F60" i="12"/>
  <c r="E75" i="12"/>
  <c r="F75" i="12" s="1"/>
  <c r="F73" i="12"/>
  <c r="F99" i="12"/>
  <c r="C32" i="14"/>
  <c r="E31" i="14"/>
  <c r="F31" i="14" s="1"/>
  <c r="C111" i="14"/>
  <c r="F109" i="14"/>
  <c r="E110" i="14"/>
  <c r="F110" i="14" s="1"/>
  <c r="E123" i="14"/>
  <c r="F123" i="14" s="1"/>
  <c r="E144" i="14"/>
  <c r="F144" i="14" s="1"/>
  <c r="E191" i="14"/>
  <c r="F191" i="14" s="1"/>
  <c r="C200" i="14"/>
  <c r="C264" i="14"/>
  <c r="C280" i="14"/>
  <c r="E43" i="15"/>
  <c r="D44" i="15"/>
  <c r="E238" i="14"/>
  <c r="F238" i="14" s="1"/>
  <c r="E136" i="14"/>
  <c r="F136" i="14" s="1"/>
  <c r="E198" i="14"/>
  <c r="F198" i="14" s="1"/>
  <c r="E307" i="14"/>
  <c r="F307" i="14" s="1"/>
  <c r="C66" i="15"/>
  <c r="C247" i="15" s="1"/>
  <c r="E247" i="15" s="1"/>
  <c r="C294" i="15"/>
  <c r="E294" i="15" s="1"/>
  <c r="E189" i="15"/>
  <c r="E290" i="14"/>
  <c r="F290" i="14" s="1"/>
  <c r="C144" i="15"/>
  <c r="E221" i="15"/>
  <c r="C240" i="15"/>
  <c r="C253" i="15" s="1"/>
  <c r="E253" i="15" s="1"/>
  <c r="E44" i="17"/>
  <c r="F44" i="17" s="1"/>
  <c r="E45" i="17"/>
  <c r="F45" i="17" s="1"/>
  <c r="C22" i="19"/>
  <c r="C23" i="19"/>
  <c r="E101" i="19"/>
  <c r="E103" i="19" s="1"/>
  <c r="D302" i="15"/>
  <c r="E25" i="17"/>
  <c r="F25" i="17" s="1"/>
  <c r="C211" i="15" l="1"/>
  <c r="C234" i="15"/>
  <c r="E234" i="15" s="1"/>
  <c r="E210" i="15"/>
  <c r="D157" i="5"/>
  <c r="D154" i="5"/>
  <c r="D156" i="5"/>
  <c r="D153" i="5"/>
  <c r="D155" i="5"/>
  <c r="D152" i="5"/>
  <c r="D158" i="5" s="1"/>
  <c r="E302" i="15"/>
  <c r="D303" i="15"/>
  <c r="C46" i="19"/>
  <c r="C54" i="19"/>
  <c r="C30" i="19"/>
  <c r="C40" i="19"/>
  <c r="C111" i="19"/>
  <c r="C36" i="19"/>
  <c r="C180" i="15"/>
  <c r="E180" i="15" s="1"/>
  <c r="C145" i="15"/>
  <c r="C168" i="15"/>
  <c r="E168" i="15" s="1"/>
  <c r="E144" i="15"/>
  <c r="C252" i="15"/>
  <c r="D96" i="15"/>
  <c r="D99" i="15"/>
  <c r="E99" i="15" s="1"/>
  <c r="D88" i="15"/>
  <c r="E88" i="15" s="1"/>
  <c r="D258" i="15"/>
  <c r="D87" i="15"/>
  <c r="E87" i="15" s="1"/>
  <c r="D101" i="15"/>
  <c r="E101" i="15" s="1"/>
  <c r="D86" i="15"/>
  <c r="E86" i="15" s="1"/>
  <c r="D100" i="15"/>
  <c r="E100" i="15" s="1"/>
  <c r="D89" i="15"/>
  <c r="E89" i="15" s="1"/>
  <c r="D95" i="15"/>
  <c r="D84" i="15"/>
  <c r="D98" i="15"/>
  <c r="E98" i="15" s="1"/>
  <c r="D83" i="15"/>
  <c r="D97" i="15"/>
  <c r="E97" i="15" s="1"/>
  <c r="D85" i="15"/>
  <c r="E85" i="15" s="1"/>
  <c r="E44" i="15"/>
  <c r="E280" i="14"/>
  <c r="C281" i="14"/>
  <c r="F280" i="14"/>
  <c r="E200" i="14"/>
  <c r="F200" i="14" s="1"/>
  <c r="C24" i="10"/>
  <c r="C20" i="10" s="1"/>
  <c r="C17" i="10"/>
  <c r="C28" i="10" s="1"/>
  <c r="C36" i="11"/>
  <c r="C38" i="11" s="1"/>
  <c r="C40" i="11" s="1"/>
  <c r="H33" i="11"/>
  <c r="H36" i="11" s="1"/>
  <c r="H38" i="11" s="1"/>
  <c r="H40" i="11" s="1"/>
  <c r="I33" i="11"/>
  <c r="I36" i="11" s="1"/>
  <c r="I38" i="11" s="1"/>
  <c r="I40" i="11" s="1"/>
  <c r="E17" i="5"/>
  <c r="E24" i="5"/>
  <c r="E20" i="5" s="1"/>
  <c r="C122" i="15"/>
  <c r="C111" i="15"/>
  <c r="E111" i="15" s="1"/>
  <c r="C121" i="15"/>
  <c r="C110" i="15"/>
  <c r="C113" i="15"/>
  <c r="E113" i="15" s="1"/>
  <c r="C127" i="15"/>
  <c r="E127" i="15" s="1"/>
  <c r="C112" i="15"/>
  <c r="C126" i="15"/>
  <c r="E126" i="15" s="1"/>
  <c r="C115" i="15"/>
  <c r="E115" i="15" s="1"/>
  <c r="C125" i="15"/>
  <c r="E125" i="15" s="1"/>
  <c r="C114" i="15"/>
  <c r="E114" i="15" s="1"/>
  <c r="C124" i="15"/>
  <c r="E124" i="15" s="1"/>
  <c r="C109" i="15"/>
  <c r="C123" i="15"/>
  <c r="E123" i="15" s="1"/>
  <c r="E46" i="17"/>
  <c r="F46" i="17" s="1"/>
  <c r="D312" i="14"/>
  <c r="E310" i="14"/>
  <c r="F310" i="14" s="1"/>
  <c r="C312" i="14"/>
  <c r="C295" i="15"/>
  <c r="E295" i="15" s="1"/>
  <c r="C45" i="19"/>
  <c r="C110" i="19"/>
  <c r="C39" i="19"/>
  <c r="C53" i="19"/>
  <c r="C29" i="19"/>
  <c r="C35" i="19"/>
  <c r="E264" i="14"/>
  <c r="F264" i="14" s="1"/>
  <c r="C300" i="14"/>
  <c r="C265" i="14"/>
  <c r="F111" i="14"/>
  <c r="E111" i="14"/>
  <c r="C105" i="14"/>
  <c r="C140" i="14"/>
  <c r="E32" i="14"/>
  <c r="F32" i="14" s="1"/>
  <c r="C62" i="14"/>
  <c r="C175" i="14"/>
  <c r="C210" i="14"/>
  <c r="C43" i="8"/>
  <c r="F52" i="3"/>
  <c r="E41" i="8"/>
  <c r="F41" i="8" s="1"/>
  <c r="E112" i="15"/>
  <c r="E122" i="15"/>
  <c r="D128" i="15"/>
  <c r="E110" i="15"/>
  <c r="D116" i="15"/>
  <c r="E259" i="15"/>
  <c r="C263" i="15"/>
  <c r="D325" i="14"/>
  <c r="F43" i="1"/>
  <c r="E66" i="15"/>
  <c r="E240" i="15"/>
  <c r="C128" i="15" l="1"/>
  <c r="C235" i="15"/>
  <c r="E235" i="15" s="1"/>
  <c r="E211" i="15"/>
  <c r="C264" i="15"/>
  <c r="C266" i="15" s="1"/>
  <c r="C267" i="15" s="1"/>
  <c r="E263" i="15"/>
  <c r="D117" i="15"/>
  <c r="E128" i="15"/>
  <c r="D129" i="15"/>
  <c r="F43" i="8"/>
  <c r="E43" i="8"/>
  <c r="E175" i="14"/>
  <c r="C176" i="14"/>
  <c r="F175" i="14"/>
  <c r="E300" i="14"/>
  <c r="F300" i="14" s="1"/>
  <c r="E312" i="14"/>
  <c r="D313" i="14"/>
  <c r="C116" i="15"/>
  <c r="E116" i="15" s="1"/>
  <c r="E112" i="5"/>
  <c r="E111" i="5" s="1"/>
  <c r="E28" i="5"/>
  <c r="C70" i="10"/>
  <c r="C72" i="10" s="1"/>
  <c r="C69" i="10" s="1"/>
  <c r="C22" i="10"/>
  <c r="E83" i="15"/>
  <c r="D90" i="15"/>
  <c r="E90" i="15" s="1"/>
  <c r="E84" i="15"/>
  <c r="D102" i="15"/>
  <c r="E102" i="15" s="1"/>
  <c r="E96" i="15"/>
  <c r="C169" i="15"/>
  <c r="E169" i="15" s="1"/>
  <c r="C181" i="15"/>
  <c r="E181" i="15" s="1"/>
  <c r="E145" i="15"/>
  <c r="E303" i="15"/>
  <c r="D306" i="15"/>
  <c r="F210" i="14"/>
  <c r="E210" i="14"/>
  <c r="C63" i="14"/>
  <c r="E62" i="14"/>
  <c r="F62" i="14" s="1"/>
  <c r="E140" i="14"/>
  <c r="C141" i="14"/>
  <c r="F140" i="14"/>
  <c r="E105" i="14"/>
  <c r="F105" i="14" s="1"/>
  <c r="C106" i="14"/>
  <c r="E265" i="14"/>
  <c r="F265" i="14"/>
  <c r="C112" i="19"/>
  <c r="C47" i="19"/>
  <c r="C55" i="19"/>
  <c r="C37" i="19"/>
  <c r="F312" i="14"/>
  <c r="C313" i="14"/>
  <c r="C117" i="15"/>
  <c r="E109" i="15"/>
  <c r="C129" i="15"/>
  <c r="E121" i="15"/>
  <c r="E281" i="14"/>
  <c r="F281" i="14"/>
  <c r="E95" i="15"/>
  <c r="D103" i="15"/>
  <c r="E103" i="15" s="1"/>
  <c r="E258" i="15"/>
  <c r="D264" i="15"/>
  <c r="E252" i="15"/>
  <c r="C254" i="15"/>
  <c r="E254" i="15" s="1"/>
  <c r="C56" i="19"/>
  <c r="C38" i="19"/>
  <c r="C48" i="19"/>
  <c r="C113" i="19"/>
  <c r="E264" i="15" l="1"/>
  <c r="D266" i="15"/>
  <c r="C131" i="15"/>
  <c r="D91" i="15"/>
  <c r="E99" i="5"/>
  <c r="E101" i="5" s="1"/>
  <c r="E98" i="5" s="1"/>
  <c r="E22" i="5"/>
  <c r="F176" i="14"/>
  <c r="C183" i="14"/>
  <c r="C323" i="14"/>
  <c r="E176" i="14"/>
  <c r="E129" i="15"/>
  <c r="D131" i="15"/>
  <c r="E131" i="15" s="1"/>
  <c r="E117" i="15"/>
  <c r="C256" i="14"/>
  <c r="C315" i="14"/>
  <c r="C314" i="14"/>
  <c r="C251" i="14"/>
  <c r="C324" i="14"/>
  <c r="E106" i="14"/>
  <c r="C113" i="14"/>
  <c r="F106" i="14"/>
  <c r="C322" i="14"/>
  <c r="C148" i="14"/>
  <c r="C211" i="14"/>
  <c r="E141" i="14"/>
  <c r="F141" i="14" s="1"/>
  <c r="C70" i="14"/>
  <c r="E63" i="14"/>
  <c r="F63" i="14" s="1"/>
  <c r="D310" i="15"/>
  <c r="E310" i="15" s="1"/>
  <c r="E306" i="15"/>
  <c r="D251" i="14"/>
  <c r="E251" i="14" s="1"/>
  <c r="D315" i="14"/>
  <c r="E315" i="14" s="1"/>
  <c r="D256" i="14"/>
  <c r="E313" i="14"/>
  <c r="F313" i="14" s="1"/>
  <c r="D314" i="14"/>
  <c r="C268" i="15"/>
  <c r="C269" i="15"/>
  <c r="C271" i="15" l="1"/>
  <c r="E211" i="14"/>
  <c r="F211" i="14"/>
  <c r="F251" i="14"/>
  <c r="F315" i="14"/>
  <c r="E183" i="14"/>
  <c r="F183" i="14"/>
  <c r="D105" i="15"/>
  <c r="E105" i="15" s="1"/>
  <c r="E91" i="15"/>
  <c r="E266" i="15"/>
  <c r="D267" i="15"/>
  <c r="E314" i="14"/>
  <c r="D318" i="14"/>
  <c r="D257" i="14"/>
  <c r="E256" i="14"/>
  <c r="E70" i="14"/>
  <c r="F70" i="14"/>
  <c r="E148" i="14"/>
  <c r="F148" i="14" s="1"/>
  <c r="E322" i="14"/>
  <c r="F322" i="14" s="1"/>
  <c r="E113" i="14"/>
  <c r="F113" i="14" s="1"/>
  <c r="C325" i="14"/>
  <c r="E324" i="14"/>
  <c r="F324" i="14" s="1"/>
  <c r="C318" i="14"/>
  <c r="F314" i="14"/>
  <c r="F256" i="14"/>
  <c r="C257" i="14"/>
  <c r="E323" i="14"/>
  <c r="F323" i="14" s="1"/>
  <c r="F257" i="14" l="1"/>
  <c r="E257" i="14"/>
  <c r="E325" i="14"/>
  <c r="F325" i="14" s="1"/>
  <c r="E318" i="14"/>
  <c r="F318" i="14" s="1"/>
  <c r="E267" i="15"/>
  <c r="D268" i="15"/>
  <c r="D269" i="15"/>
  <c r="E269" i="15" s="1"/>
  <c r="D271" i="15" l="1"/>
  <c r="E271" i="15" s="1"/>
  <c r="E268" i="15"/>
</calcChain>
</file>

<file path=xl/sharedStrings.xml><?xml version="1.0" encoding="utf-8"?>
<sst xmlns="http://schemas.openxmlformats.org/spreadsheetml/2006/main" count="2307" uniqueCount="983">
  <si>
    <t>WILLIAM W. BACKUS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</si>
  <si>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</si>
  <si>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</si>
  <si>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</si>
  <si>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</si>
  <si>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</si>
  <si>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</si>
  <si>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</si>
  <si>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</si>
  <si>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</si>
  <si>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</si>
  <si>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</si>
  <si>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</si>
  <si>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</si>
  <si>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</si>
  <si>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</si>
  <si>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</si>
  <si>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</si>
  <si>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</si>
  <si>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</si>
  <si>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</si>
  <si>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</si>
  <si>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</si>
  <si>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</si>
  <si>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</si>
  <si>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</si>
  <si>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</si>
  <si>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</si>
  <si>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</si>
  <si>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</si>
  <si>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</si>
  <si>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</si>
  <si>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</si>
  <si>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</si>
  <si>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</si>
  <si>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</si>
  <si>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</si>
  <si>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</si>
  <si>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</si>
  <si>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</si>
  <si>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</si>
  <si>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</si>
  <si>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</si>
  <si>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</si>
  <si>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</si>
  <si>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</si>
  <si>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</si>
  <si>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</si>
  <si>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</si>
  <si>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</si>
  <si>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</si>
  <si>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</si>
  <si>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</si>
  <si>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</si>
  <si>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</si>
  <si>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</si>
  <si>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</si>
  <si>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</si>
  <si>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</si>
  <si>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</si>
  <si>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</si>
  <si>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</si>
  <si>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</si>
  <si>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</si>
  <si>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</si>
  <si>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</si>
  <si>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</si>
  <si>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</si>
  <si>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</si>
  <si>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</si>
  <si>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</si>
  <si>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</si>
  <si>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</si>
  <si>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</si>
  <si>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</si>
  <si>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</si>
  <si>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</si>
  <si>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</si>
  <si>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</si>
  <si>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</si>
  <si>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</si>
  <si>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</si>
  <si>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</si>
  <si>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</si>
  <si>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</si>
  <si>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</si>
  <si>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</si>
  <si>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</si>
  <si>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</si>
  <si>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</si>
  <si>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</si>
  <si>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</si>
  <si>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</si>
  <si>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</si>
  <si>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</si>
  <si>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</si>
  <si>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</si>
  <si>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</si>
  <si>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</si>
  <si>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</si>
  <si>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</si>
  <si>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</si>
  <si>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</si>
  <si>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</si>
  <si>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</si>
  <si>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</si>
  <si>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</si>
  <si>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</si>
  <si>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</si>
  <si>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</si>
  <si>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</si>
  <si>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</si>
  <si>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</si>
  <si>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</si>
  <si>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</si>
  <si>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</si>
  <si>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</si>
  <si>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</si>
  <si>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</si>
  <si>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</si>
  <si>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</si>
  <si>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</si>
  <si>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</si>
  <si>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</si>
  <si>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</si>
  <si>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</si>
  <si>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</si>
  <si>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</si>
  <si>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</si>
  <si>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</si>
  <si>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</si>
  <si>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</si>
  <si>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</si>
  <si>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</si>
  <si>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</si>
  <si>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</si>
  <si>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</si>
  <si>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</si>
  <si>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</si>
  <si>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</si>
  <si>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</si>
  <si>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</si>
  <si>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</si>
  <si>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</si>
  <si>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</si>
  <si>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</si>
  <si>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</si>
  <si>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</si>
  <si>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</si>
  <si>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</si>
  <si>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</si>
  <si>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</si>
  <si>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</si>
  <si>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</si>
  <si>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</si>
  <si>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</si>
  <si>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</si>
  <si>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</si>
  <si>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</si>
  <si>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</si>
  <si>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</si>
  <si>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</si>
  <si>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</si>
  <si>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</si>
  <si>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</si>
  <si>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</si>
  <si>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</si>
  <si>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</si>
  <si>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</si>
  <si>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</si>
  <si>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</si>
  <si>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</si>
  <si>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</si>
  <si>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</si>
  <si>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</si>
  <si>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</si>
  <si>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</si>
  <si>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</si>
  <si>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</si>
  <si>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</si>
  <si>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</si>
  <si>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</si>
  <si>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</si>
  <si>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</si>
  <si>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</si>
  <si>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</si>
  <si>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</si>
  <si>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</si>
  <si>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</si>
  <si>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</si>
  <si>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</si>
  <si>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</si>
  <si>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</si>
  <si>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</si>
  <si>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</si>
  <si>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</si>
  <si>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</si>
  <si>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</si>
  <si>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</si>
  <si>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</si>
  <si>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</si>
  <si>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</si>
  <si>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</si>
  <si>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</si>
  <si>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</si>
  <si>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</si>
  <si>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</si>
  <si>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</si>
  <si>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</si>
  <si>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</si>
  <si>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</si>
  <si>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</si>
  <si>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</si>
  <si>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</si>
  <si>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</si>
  <si>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</si>
  <si>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</si>
  <si>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</si>
  <si>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</si>
  <si>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</si>
  <si>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</si>
  <si>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</si>
  <si>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</si>
  <si>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</si>
  <si>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</si>
  <si>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</si>
  <si>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</si>
  <si>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</si>
  <si>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</si>
  <si>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</si>
  <si>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</si>
  <si>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</si>
  <si>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</si>
  <si>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</si>
  <si>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</si>
  <si>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</si>
  <si>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</si>
  <si>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</si>
  <si>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</si>
  <si>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</si>
  <si>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</si>
  <si>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</si>
  <si>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</si>
  <si>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</si>
  <si>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</si>
  <si>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</si>
  <si>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</si>
  <si>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</si>
  <si>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</si>
  <si>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</si>
  <si>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</si>
  <si>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</si>
  <si>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</si>
  <si>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</si>
  <si>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</si>
  <si>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</si>
  <si>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</si>
  <si>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</si>
  <si>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</si>
  <si>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</si>
  <si>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</si>
  <si>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</si>
  <si>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</si>
  <si>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</si>
  <si>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</si>
  <si>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</si>
  <si>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</si>
  <si>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</si>
  <si>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</si>
  <si>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</si>
  <si>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</si>
  <si>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</si>
  <si>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</si>
  <si>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</si>
  <si>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</si>
  <si>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</si>
  <si>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</si>
  <si>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</si>
  <si>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</si>
  <si>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</si>
  <si>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</si>
  <si>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</si>
  <si>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</si>
  <si>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</si>
  <si>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</si>
  <si>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</si>
  <si>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</si>
  <si>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</si>
  <si>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</si>
  <si>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</si>
  <si>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</si>
  <si>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</si>
  <si>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</si>
  <si>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</si>
  <si>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</si>
  <si>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</si>
  <si>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</si>
  <si>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</si>
  <si>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</si>
  <si>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</si>
  <si>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</si>
  <si>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</si>
  <si>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</si>
  <si>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</si>
  <si>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</si>
  <si>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</si>
  <si>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</si>
  <si>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</si>
  <si>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</si>
  <si>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</si>
  <si>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</si>
  <si>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</si>
  <si>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</si>
  <si>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</si>
  <si>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</si>
  <si>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</si>
  <si>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</si>
  <si>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</si>
  <si>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</si>
  <si>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</si>
  <si>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</si>
  <si>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</si>
  <si>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</si>
  <si>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</si>
  <si>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</si>
  <si>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</si>
  <si>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</si>
  <si>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</si>
  <si>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</si>
  <si>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</si>
  <si>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</si>
  <si>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</si>
  <si>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</si>
  <si>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</si>
  <si>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</si>
  <si>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</si>
  <si>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</si>
  <si>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</si>
  <si>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</si>
  <si>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</si>
  <si>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</si>
  <si>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</si>
  <si>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</si>
  <si>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</si>
  <si>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</si>
  <si>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</si>
  <si>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</si>
  <si>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</si>
  <si>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</si>
  <si>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</si>
  <si>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</si>
  <si>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</si>
  <si>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</si>
  <si>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</si>
  <si>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</si>
  <si>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</si>
  <si>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</si>
  <si>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</si>
  <si>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</si>
  <si>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</si>
  <si>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</si>
  <si>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</si>
  <si>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</si>
  <si>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</si>
  <si>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</si>
  <si>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</si>
  <si>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</si>
  <si>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</si>
  <si>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</si>
  <si>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</si>
  <si>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</si>
  <si>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</si>
  <si>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</si>
  <si>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</si>
  <si>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</si>
  <si>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</si>
  <si>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</si>
  <si>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</si>
  <si>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</si>
  <si>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</si>
  <si>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</si>
  <si>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</si>
  <si>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</si>
  <si>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</si>
  <si>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</si>
  <si>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</si>
  <si>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</si>
  <si>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</si>
  <si>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</si>
  <si>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</si>
  <si>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</si>
  <si>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</si>
  <si>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</si>
  <si>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</si>
  <si>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</si>
  <si>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</si>
  <si>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</si>
  <si>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</si>
  <si>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</si>
  <si>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</si>
  <si>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</si>
  <si>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</si>
  <si>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</si>
  <si>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</si>
  <si>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</si>
  <si>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</si>
  <si>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</si>
  <si>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</si>
  <si>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</si>
  <si>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</si>
  <si>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</si>
  <si>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</si>
  <si>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</si>
  <si>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</si>
  <si>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</si>
  <si>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</si>
  <si>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</si>
  <si>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</si>
  <si>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</si>
  <si>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</si>
  <si>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</si>
  <si>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</si>
  <si>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</si>
  <si>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</si>
  <si>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</si>
  <si>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</si>
  <si>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</si>
  <si>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</si>
  <si>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</si>
  <si>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</si>
  <si>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</si>
  <si>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</si>
  <si>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</si>
  <si>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</si>
  <si>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</si>
  <si>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</si>
  <si>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</si>
  <si>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</si>
  <si>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</si>
  <si>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</si>
  <si>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</si>
  <si>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</si>
  <si>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</si>
  <si>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</si>
  <si>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</si>
  <si>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</si>
  <si>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</si>
  <si>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</si>
  <si>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</si>
  <si>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</si>
  <si>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</si>
  <si>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</si>
  <si>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</si>
  <si>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</si>
  <si>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</si>
  <si>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</si>
  <si>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</si>
  <si>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</si>
  <si>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</si>
  <si>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</si>
  <si>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</si>
  <si>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</si>
  <si>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</si>
  <si>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</si>
  <si>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</si>
  <si>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</si>
  <si>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</si>
  <si>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</si>
  <si>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</si>
  <si>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</si>
  <si>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</si>
  <si>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</si>
  <si>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</si>
  <si>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</si>
  <si>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</si>
  <si>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</si>
  <si>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</si>
  <si>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BACKUS CORPORATION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</si>
  <si>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</si>
  <si>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</si>
  <si>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</si>
  <si>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</si>
  <si>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</si>
  <si>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</si>
  <si>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</si>
  <si>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</si>
  <si>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</si>
  <si>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</si>
  <si>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</si>
  <si>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</si>
  <si>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</si>
  <si>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</si>
  <si>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</si>
  <si>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</si>
  <si>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</si>
  <si>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</si>
  <si>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</si>
  <si>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</si>
  <si>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</si>
  <si>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</si>
  <si>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</si>
  <si>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</si>
  <si>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</si>
  <si>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</si>
  <si>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</si>
  <si>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</si>
  <si>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</si>
  <si>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</si>
  <si>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</si>
  <si>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</si>
  <si>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</si>
  <si>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</si>
  <si>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</si>
  <si>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</si>
  <si>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</si>
  <si>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</si>
  <si>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</si>
  <si>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</si>
  <si>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</si>
  <si>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</si>
  <si>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</si>
  <si>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</si>
  <si>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</si>
  <si>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</si>
  <si>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</si>
  <si>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</si>
  <si>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</si>
  <si>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</si>
  <si>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</si>
  <si>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</si>
  <si>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</si>
  <si>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</si>
  <si>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</si>
  <si>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</si>
  <si>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</si>
  <si>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</si>
  <si>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</si>
  <si>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</si>
  <si>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</si>
  <si>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</si>
  <si>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</si>
  <si>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</si>
  <si>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</si>
  <si>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</si>
  <si>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</si>
  <si>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</si>
  <si>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</si>
  <si>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</si>
  <si>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</si>
  <si>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</si>
  <si>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</si>
  <si>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</si>
  <si>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</si>
  <si>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</si>
  <si>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</si>
  <si>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</si>
  <si>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</si>
  <si>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</si>
  <si>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</si>
  <si>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</si>
  <si>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</si>
  <si>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</si>
  <si>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</si>
  <si>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</si>
  <si>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</si>
  <si>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</si>
  <si>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</si>
  <si>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</si>
  <si>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</si>
  <si>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</si>
  <si>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</si>
  <si>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</si>
  <si>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</si>
  <si>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</si>
  <si>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</si>
  <si>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</si>
  <si>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</si>
  <si>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</si>
  <si>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</si>
  <si>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</si>
  <si>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</si>
  <si>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</si>
  <si>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</si>
  <si>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</si>
  <si>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</si>
  <si>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</si>
  <si>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BACKUS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</si>
  <si>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</si>
  <si>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</si>
  <si>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</si>
  <si>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</si>
  <si>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</si>
  <si>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</si>
  <si>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</si>
  <si>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</si>
  <si>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</si>
  <si>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</si>
  <si>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</si>
  <si>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</si>
  <si>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</si>
  <si>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</si>
  <si>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</si>
  <si>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</si>
  <si>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</si>
  <si>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</si>
  <si>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</si>
  <si>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</si>
  <si>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</si>
  <si>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</si>
  <si>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</si>
  <si>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</si>
  <si>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</si>
  <si>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</si>
  <si>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</si>
  <si>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</si>
  <si>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</si>
  <si>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</si>
  <si>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</si>
  <si>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</si>
  <si>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</si>
  <si>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</si>
  <si>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</si>
  <si>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</si>
  <si>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</si>
  <si>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</si>
  <si>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</si>
  <si>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</si>
  <si>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</si>
  <si>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</si>
  <si>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</si>
  <si>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</si>
  <si>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</si>
  <si>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</si>
  <si>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</si>
  <si>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</si>
  <si>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</si>
  <si>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</si>
  <si>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</si>
  <si>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</si>
  <si>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</si>
  <si>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</si>
  <si>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</si>
  <si>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</si>
  <si>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</si>
  <si>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</si>
  <si>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</si>
  <si>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</si>
  <si>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</si>
  <si>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</si>
  <si>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</si>
  <si>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</si>
  <si>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</si>
  <si>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</si>
  <si>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</si>
  <si>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</si>
  <si>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</si>
  <si>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</si>
  <si>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</si>
  <si>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</si>
  <si>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</si>
  <si>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</si>
  <si>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</si>
  <si>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</si>
  <si>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</si>
  <si>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</si>
  <si>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</si>
  <si>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</si>
  <si>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</si>
  <si>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</si>
  <si>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</si>
  <si>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</si>
  <si>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</si>
  <si>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</si>
  <si>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</si>
  <si>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</si>
  <si>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</si>
  <si>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</si>
  <si>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</si>
  <si>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</si>
  <si>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</si>
  <si>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</si>
  <si>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</si>
  <si>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</si>
  <si>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</si>
  <si>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</si>
  <si>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</si>
  <si>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</si>
  <si>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</si>
  <si>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</si>
  <si>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</si>
  <si>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</si>
  <si>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</si>
  <si>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</si>
  <si>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</si>
  <si>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</si>
  <si>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</si>
  <si>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</si>
  <si>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</si>
  <si>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</si>
  <si>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</si>
  <si>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</si>
  <si>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</si>
  <si>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</si>
  <si>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</si>
  <si>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</si>
  <si>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</si>
  <si>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</si>
  <si>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</si>
  <si>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</si>
  <si>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</si>
  <si>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</si>
  <si>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</si>
  <si>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</si>
  <si>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</si>
  <si>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</si>
  <si>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</si>
  <si>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</si>
  <si>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</si>
  <si>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</si>
  <si>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</si>
  <si>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</si>
  <si>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</si>
  <si>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</si>
  <si>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</si>
  <si>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</si>
  <si>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</si>
  <si>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</si>
  <si>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</si>
  <si>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</si>
  <si>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</si>
  <si>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</si>
  <si>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</si>
  <si>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</si>
  <si>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</si>
  <si>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</si>
  <si>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</si>
  <si>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</si>
  <si>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</si>
  <si>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</si>
  <si>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</si>
  <si>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</si>
  <si>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</si>
  <si>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</si>
  <si>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</si>
  <si>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</si>
  <si>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</si>
  <si>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</si>
  <si>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</si>
  <si>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</si>
  <si>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</si>
  <si>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</si>
  <si>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</si>
  <si>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</si>
  <si>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</si>
  <si>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</si>
  <si>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</si>
  <si>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</si>
  <si>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</si>
  <si>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</si>
  <si>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</si>
  <si>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</si>
  <si>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</si>
  <si>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</si>
  <si>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</si>
  <si>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</si>
  <si>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</si>
  <si>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</si>
  <si>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</si>
  <si>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</si>
  <si>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</si>
  <si>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</si>
  <si>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</si>
  <si>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</si>
  <si>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</si>
  <si>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</si>
  <si>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</si>
  <si>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</si>
  <si>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</si>
  <si>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</si>
  <si>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</si>
  <si>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</si>
  <si>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</si>
  <si>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</si>
  <si>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</si>
  <si>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</si>
  <si>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</si>
  <si>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</si>
  <si>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</si>
  <si>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</si>
  <si>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</si>
  <si>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</si>
  <si>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</si>
  <si>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</si>
  <si>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</si>
  <si>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</si>
  <si>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</si>
  <si>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</si>
  <si>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</si>
  <si>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</si>
  <si>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</si>
  <si>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</si>
  <si>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</si>
  <si>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</si>
  <si>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</si>
  <si>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</si>
  <si>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</si>
  <si>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</si>
  <si>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</si>
  <si>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</si>
  <si>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</si>
  <si>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</si>
  <si>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</si>
  <si>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</si>
  <si>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</si>
  <si>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</si>
  <si>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</si>
  <si>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</si>
  <si>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</si>
  <si>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</si>
  <si>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</si>
  <si>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</si>
  <si>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</si>
  <si>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</si>
  <si>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</si>
  <si>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</si>
  <si>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</si>
  <si>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</si>
  <si>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</si>
  <si>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</si>
  <si>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</si>
  <si>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</si>
  <si>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</si>
  <si>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</si>
  <si>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</si>
  <si>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</si>
  <si>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</si>
  <si>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</si>
  <si>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</si>
  <si>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</si>
  <si>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</si>
  <si>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</si>
  <si>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</si>
  <si>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</si>
  <si>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</si>
  <si>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</si>
  <si>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</si>
  <si>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</si>
  <si>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</si>
  <si>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</si>
  <si>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</si>
  <si>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</si>
  <si>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</si>
  <si>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</si>
  <si>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</si>
  <si>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</si>
  <si>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</si>
  <si>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</si>
  <si>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</si>
  <si>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</si>
  <si>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</si>
  <si>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</si>
  <si>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</si>
  <si>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</si>
  <si>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</si>
  <si>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</si>
  <si>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</si>
  <si>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</si>
  <si>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</si>
  <si>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</si>
  <si>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</si>
  <si>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</si>
  <si>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</si>
  <si>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</si>
  <si>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</si>
  <si>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</si>
  <si>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</si>
  <si>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</si>
  <si>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</si>
  <si>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</si>
  <si>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</si>
  <si>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</si>
  <si>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</si>
  <si>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</si>
  <si>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</si>
  <si>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</si>
  <si>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</si>
  <si>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</si>
  <si>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</si>
  <si>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</si>
  <si>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</si>
  <si>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</si>
  <si>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</si>
  <si>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</si>
  <si>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</si>
  <si>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</si>
  <si>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</si>
  <si>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</si>
  <si>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</si>
  <si>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</si>
  <si>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</si>
  <si>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</si>
  <si>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</si>
  <si>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</si>
  <si>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</si>
  <si>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</si>
  <si>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</si>
  <si>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</si>
  <si>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</si>
  <si>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</si>
  <si>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</si>
  <si>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</si>
  <si>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</si>
  <si>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</si>
  <si>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</si>
  <si>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</si>
  <si>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</si>
  <si>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</si>
  <si>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</si>
  <si>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</si>
  <si>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</si>
  <si>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</si>
  <si>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</si>
  <si>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</si>
  <si>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</si>
  <si>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</si>
  <si>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</si>
  <si>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</si>
  <si>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</si>
  <si>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</si>
  <si>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</si>
  <si>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</si>
  <si>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</si>
  <si>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</si>
  <si>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</si>
  <si>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</si>
  <si>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</si>
  <si>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</si>
  <si>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</si>
  <si>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</si>
  <si>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</si>
  <si>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</si>
  <si>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</si>
  <si>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</si>
  <si>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</si>
  <si>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</si>
  <si>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</si>
  <si>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</si>
  <si>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</si>
  <si>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</si>
  <si>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</si>
  <si>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</si>
  <si>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</si>
  <si>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</si>
  <si>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</si>
  <si>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</si>
  <si>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</si>
  <si>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</si>
  <si>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</si>
  <si>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</si>
  <si>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</si>
  <si>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</si>
  <si>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</si>
  <si>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</si>
  <si>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</si>
  <si>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</si>
  <si>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</si>
  <si>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</si>
  <si>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</si>
  <si>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</si>
  <si>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</si>
  <si>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</si>
  <si>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</si>
  <si>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</si>
  <si>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</si>
  <si>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</si>
  <si>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</si>
  <si>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</si>
  <si>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</si>
  <si>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</si>
  <si>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</si>
  <si>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</si>
  <si>
    <t xml:space="preserve">     TOTAL EMERGENCY DEPARTMENT OUTPATIENT GROSS REVENUE</t>
  </si>
  <si>
    <t xml:space="preserve">*A.- 0. The total operating expenses amount above must agree with the total operating expenses amount on Report 150.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</si>
</sst>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72131779</v>
      </c>
      <c r="D13" s="23">
        <v>93136217</v>
      </c>
      <c r="E13" s="23">
        <f t="shared" ref="E13:E22" si="0">D13-C13</f>
        <v>21004438</v>
      </c>
      <c r="F13" s="24">
        <f t="shared" ref="F13:F22" si="1">IF(C13=0,0,E13/C13)</f>
        <v>0.29119534123787522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0.75" customHeight="1" x14ac:dyDescent="0.2">
      <c r="A15" s="21">
        <v>3</v>
      </c>
      <c r="B15" s="22" t="s">
        <v>18</v>
      </c>
      <c r="C15" s="23">
        <v>30758941</v>
      </c>
      <c r="D15" s="23">
        <v>32373122</v>
      </c>
      <c r="E15" s="23">
        <f t="shared" si="0"/>
        <v>1614181</v>
      </c>
      <c r="F15" s="24">
        <f t="shared" si="1"/>
        <v>5.2478432206102286E-2</v>
      </c>
    </row>
    <row r="16" spans="1:8" ht="24" customHeight="1" x14ac:dyDescent="0.2">
      <c r="A16" s="21">
        <v>4</v>
      </c>
      <c r="B16" s="22" t="s">
        <v>19</v>
      </c>
      <c r="C16" s="23">
        <v>7931590</v>
      </c>
      <c r="D16" s="23">
        <v>5885482</v>
      </c>
      <c r="E16" s="23">
        <f t="shared" si="0"/>
        <v>-2046108</v>
      </c>
      <c r="F16" s="24">
        <f t="shared" si="1"/>
        <v>-0.25796946135642412</v>
      </c>
    </row>
    <row r="17" spans="1:11" ht="24" customHeight="1" x14ac:dyDescent="0.2">
      <c r="A17" s="21">
        <v>5</v>
      </c>
      <c r="B17" s="22" t="s">
        <v>20</v>
      </c>
      <c r="C17" s="23">
        <v>647255</v>
      </c>
      <c r="D17" s="23">
        <v>161210</v>
      </c>
      <c r="E17" s="23">
        <f t="shared" si="0"/>
        <v>-486045</v>
      </c>
      <c r="F17" s="24">
        <f t="shared" si="1"/>
        <v>-0.75093278537825126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3799896</v>
      </c>
      <c r="D19" s="23">
        <v>3704067</v>
      </c>
      <c r="E19" s="23">
        <f t="shared" si="0"/>
        <v>-95829</v>
      </c>
      <c r="F19" s="24">
        <f t="shared" si="1"/>
        <v>-2.5218848094789963E-2</v>
      </c>
    </row>
    <row r="20" spans="1:11" ht="24" customHeight="1" x14ac:dyDescent="0.2">
      <c r="A20" s="21">
        <v>8</v>
      </c>
      <c r="B20" s="22" t="s">
        <v>23</v>
      </c>
      <c r="C20" s="23">
        <v>1271686</v>
      </c>
      <c r="D20" s="23">
        <v>1608996</v>
      </c>
      <c r="E20" s="23">
        <f t="shared" si="0"/>
        <v>337310</v>
      </c>
      <c r="F20" s="24">
        <f t="shared" si="1"/>
        <v>0.26524629507598574</v>
      </c>
    </row>
    <row r="21" spans="1:11" ht="24" customHeight="1" x14ac:dyDescent="0.2">
      <c r="A21" s="21">
        <v>9</v>
      </c>
      <c r="B21" s="22" t="s">
        <v>24</v>
      </c>
      <c r="C21" s="23">
        <v>185866</v>
      </c>
      <c r="D21" s="23">
        <v>101211</v>
      </c>
      <c r="E21" s="23">
        <f t="shared" si="0"/>
        <v>-84655</v>
      </c>
      <c r="F21" s="24">
        <f t="shared" si="1"/>
        <v>-0.45546253752703558</v>
      </c>
    </row>
    <row r="22" spans="1:11" ht="24" customHeight="1" x14ac:dyDescent="0.25">
      <c r="A22" s="25"/>
      <c r="B22" s="26" t="s">
        <v>25</v>
      </c>
      <c r="C22" s="27">
        <f>SUM(C13:C21)</f>
        <v>116727013</v>
      </c>
      <c r="D22" s="27">
        <f>SUM(D13:D21)</f>
        <v>136970305</v>
      </c>
      <c r="E22" s="27">
        <f t="shared" si="0"/>
        <v>20243292</v>
      </c>
      <c r="F22" s="28">
        <f t="shared" si="1"/>
        <v>0.17342422700390697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26988802</v>
      </c>
      <c r="D25" s="23">
        <v>28078427</v>
      </c>
      <c r="E25" s="23">
        <f>D25-C25</f>
        <v>1089625</v>
      </c>
      <c r="F25" s="24">
        <f>IF(C25=0,0,E25/C25)</f>
        <v>4.0373225903098629E-2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88694819</v>
      </c>
      <c r="D26" s="23">
        <v>99552920</v>
      </c>
      <c r="E26" s="23">
        <f>D26-C26</f>
        <v>10858101</v>
      </c>
      <c r="F26" s="24">
        <f>IF(C26=0,0,E26/C26)</f>
        <v>0.12242091615294913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115683621</v>
      </c>
      <c r="D29" s="27">
        <f>SUM(D25:D28)</f>
        <v>127631347</v>
      </c>
      <c r="E29" s="27">
        <f>D29-C29</f>
        <v>11947726</v>
      </c>
      <c r="F29" s="28">
        <f>IF(C29=0,0,E29/C29)</f>
        <v>0.10327932248939545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3537228</v>
      </c>
      <c r="D33" s="23">
        <v>3384622</v>
      </c>
      <c r="E33" s="23">
        <f>D33-C33</f>
        <v>-152606</v>
      </c>
      <c r="F33" s="24">
        <f>IF(C33=0,0,E33/C33)</f>
        <v>-4.3142822571799161E-2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231218906</v>
      </c>
      <c r="D36" s="23">
        <v>229404094</v>
      </c>
      <c r="E36" s="23">
        <f>D36-C36</f>
        <v>-1814812</v>
      </c>
      <c r="F36" s="24">
        <f>IF(C36=0,0,E36/C36)</f>
        <v>-7.8488910418078005E-3</v>
      </c>
    </row>
    <row r="37" spans="1:8" ht="24" customHeight="1" x14ac:dyDescent="0.2">
      <c r="A37" s="21">
        <v>2</v>
      </c>
      <c r="B37" s="22" t="s">
        <v>39</v>
      </c>
      <c r="C37" s="23">
        <v>132727325</v>
      </c>
      <c r="D37" s="23">
        <v>140786203</v>
      </c>
      <c r="E37" s="23">
        <f>D37-C37</f>
        <v>8058878</v>
      </c>
      <c r="F37" s="24">
        <f>IF(C37=0,0,E37/C37)</f>
        <v>6.071755005986898E-2</v>
      </c>
    </row>
    <row r="38" spans="1:8" ht="24" customHeight="1" x14ac:dyDescent="0.25">
      <c r="A38" s="25"/>
      <c r="B38" s="26" t="s">
        <v>40</v>
      </c>
      <c r="C38" s="27">
        <f>C36-C37</f>
        <v>98491581</v>
      </c>
      <c r="D38" s="27">
        <f>D36-D37</f>
        <v>88617891</v>
      </c>
      <c r="E38" s="27">
        <f>D38-C38</f>
        <v>-9873690</v>
      </c>
      <c r="F38" s="28">
        <f>IF(C38=0,0,E38/C38)</f>
        <v>-0.10024907611138864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630806</v>
      </c>
      <c r="D40" s="23">
        <v>1365773</v>
      </c>
      <c r="E40" s="23">
        <f>D40-C40</f>
        <v>734967</v>
      </c>
      <c r="F40" s="24">
        <f>IF(C40=0,0,E40/C40)</f>
        <v>1.1651236671813521</v>
      </c>
    </row>
    <row r="41" spans="1:8" ht="24" customHeight="1" x14ac:dyDescent="0.25">
      <c r="A41" s="25"/>
      <c r="B41" s="26" t="s">
        <v>42</v>
      </c>
      <c r="C41" s="27">
        <f>+C38+C40</f>
        <v>99122387</v>
      </c>
      <c r="D41" s="27">
        <f>+D38+D40</f>
        <v>89983664</v>
      </c>
      <c r="E41" s="27">
        <f>D41-C41</f>
        <v>-9138723</v>
      </c>
      <c r="F41" s="28">
        <f>IF(C41=0,0,E41/C41)</f>
        <v>-9.219635721645808E-2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335070249</v>
      </c>
      <c r="D43" s="27">
        <f>D22+D29+D31+D32+D33+D41</f>
        <v>357969938</v>
      </c>
      <c r="E43" s="27">
        <f>D43-C43</f>
        <v>22899689</v>
      </c>
      <c r="F43" s="28">
        <f>IF(C43=0,0,E43/C43)</f>
        <v>6.8342949182575746E-2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10129146</v>
      </c>
      <c r="D49" s="23">
        <v>9918459</v>
      </c>
      <c r="E49" s="23">
        <f t="shared" ref="E49:E56" si="2">D49-C49</f>
        <v>-210687</v>
      </c>
      <c r="F49" s="24">
        <f t="shared" ref="F49:F56" si="3">IF(C49=0,0,E49/C49)</f>
        <v>-2.0800075346924608E-2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6206054</v>
      </c>
      <c r="D50" s="23">
        <v>6666138</v>
      </c>
      <c r="E50" s="23">
        <f t="shared" si="2"/>
        <v>460084</v>
      </c>
      <c r="F50" s="24">
        <f t="shared" si="3"/>
        <v>7.4134707819171405E-2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2614222</v>
      </c>
      <c r="D51" s="23">
        <v>4683178</v>
      </c>
      <c r="E51" s="23">
        <f t="shared" si="2"/>
        <v>2068956</v>
      </c>
      <c r="F51" s="24">
        <f t="shared" si="3"/>
        <v>0.79142322266433374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1895000</v>
      </c>
      <c r="D53" s="23">
        <v>1965000</v>
      </c>
      <c r="E53" s="23">
        <f t="shared" si="2"/>
        <v>70000</v>
      </c>
      <c r="F53" s="24">
        <f t="shared" si="3"/>
        <v>3.6939313984168866E-2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137691</v>
      </c>
      <c r="D54" s="23">
        <v>150360</v>
      </c>
      <c r="E54" s="23">
        <f t="shared" si="2"/>
        <v>12669</v>
      </c>
      <c r="F54" s="24">
        <f t="shared" si="3"/>
        <v>9.201037104821666E-2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8966442</v>
      </c>
      <c r="D55" s="23">
        <v>9676707</v>
      </c>
      <c r="E55" s="23">
        <f t="shared" si="2"/>
        <v>710265</v>
      </c>
      <c r="F55" s="24">
        <f t="shared" si="3"/>
        <v>7.9213694796665166E-2</v>
      </c>
    </row>
    <row r="56" spans="1:6" ht="24" customHeight="1" x14ac:dyDescent="0.25">
      <c r="A56" s="25"/>
      <c r="B56" s="26" t="s">
        <v>54</v>
      </c>
      <c r="C56" s="27">
        <f>SUM(C49:C55)</f>
        <v>29948555</v>
      </c>
      <c r="D56" s="27">
        <f>SUM(D49:D55)</f>
        <v>33059842</v>
      </c>
      <c r="E56" s="27">
        <f t="shared" si="2"/>
        <v>3111287</v>
      </c>
      <c r="F56" s="28">
        <f t="shared" si="3"/>
        <v>0.10388771678633577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61987072</v>
      </c>
      <c r="D59" s="23">
        <v>59976971</v>
      </c>
      <c r="E59" s="23">
        <f>D59-C59</f>
        <v>-2010101</v>
      </c>
      <c r="F59" s="24">
        <f>IF(C59=0,0,E59/C59)</f>
        <v>-3.2427745578949105E-2</v>
      </c>
    </row>
    <row r="60" spans="1:6" ht="24" customHeight="1" x14ac:dyDescent="0.2">
      <c r="A60" s="21">
        <v>2</v>
      </c>
      <c r="B60" s="22" t="s">
        <v>57</v>
      </c>
      <c r="C60" s="23">
        <v>2604759</v>
      </c>
      <c r="D60" s="23">
        <v>2412742</v>
      </c>
      <c r="E60" s="23">
        <f>D60-C60</f>
        <v>-192017</v>
      </c>
      <c r="F60" s="24">
        <f>IF(C60=0,0,E60/C60)</f>
        <v>-7.3717760453078388E-2</v>
      </c>
    </row>
    <row r="61" spans="1:6" ht="24" customHeight="1" x14ac:dyDescent="0.25">
      <c r="A61" s="25"/>
      <c r="B61" s="26" t="s">
        <v>58</v>
      </c>
      <c r="C61" s="27">
        <f>SUM(C59:C60)</f>
        <v>64591831</v>
      </c>
      <c r="D61" s="27">
        <f>SUM(D59:D60)</f>
        <v>62389713</v>
      </c>
      <c r="E61" s="27">
        <f>D61-C61</f>
        <v>-2202118</v>
      </c>
      <c r="F61" s="28">
        <f>IF(C61=0,0,E61/C61)</f>
        <v>-3.4092825143786372E-2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50267036</v>
      </c>
      <c r="D63" s="23">
        <v>62916776</v>
      </c>
      <c r="E63" s="23">
        <f>D63-C63</f>
        <v>12649740</v>
      </c>
      <c r="F63" s="24">
        <f>IF(C63=0,0,E63/C63)</f>
        <v>0.25165080352062136</v>
      </c>
    </row>
    <row r="64" spans="1:6" ht="24" customHeight="1" x14ac:dyDescent="0.2">
      <c r="A64" s="21">
        <v>4</v>
      </c>
      <c r="B64" s="22" t="s">
        <v>60</v>
      </c>
      <c r="C64" s="23">
        <v>31337809</v>
      </c>
      <c r="D64" s="23">
        <v>37427574</v>
      </c>
      <c r="E64" s="23">
        <f>D64-C64</f>
        <v>6089765</v>
      </c>
      <c r="F64" s="24">
        <f>IF(C64=0,0,E64/C64)</f>
        <v>0.19432644445564143</v>
      </c>
    </row>
    <row r="65" spans="1:6" ht="24" customHeight="1" x14ac:dyDescent="0.25">
      <c r="A65" s="25"/>
      <c r="B65" s="26" t="s">
        <v>61</v>
      </c>
      <c r="C65" s="27">
        <f>SUM(C61:C64)</f>
        <v>146196676</v>
      </c>
      <c r="D65" s="27">
        <f>SUM(D61:D64)</f>
        <v>162734063</v>
      </c>
      <c r="E65" s="27">
        <f>D65-C65</f>
        <v>16537387</v>
      </c>
      <c r="F65" s="28">
        <f>IF(C65=0,0,E65/C65)</f>
        <v>0.11311739399601671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147348055</v>
      </c>
      <c r="D70" s="23">
        <v>153327362</v>
      </c>
      <c r="E70" s="23">
        <f>D70-C70</f>
        <v>5979307</v>
      </c>
      <c r="F70" s="24">
        <f>IF(C70=0,0,E70/C70)</f>
        <v>4.0579476939821162E-2</v>
      </c>
    </row>
    <row r="71" spans="1:6" ht="24" customHeight="1" x14ac:dyDescent="0.2">
      <c r="A71" s="21">
        <v>2</v>
      </c>
      <c r="B71" s="22" t="s">
        <v>65</v>
      </c>
      <c r="C71" s="23">
        <v>4101543</v>
      </c>
      <c r="D71" s="23">
        <v>1399547</v>
      </c>
      <c r="E71" s="23">
        <f>D71-C71</f>
        <v>-2701996</v>
      </c>
      <c r="F71" s="24">
        <f>IF(C71=0,0,E71/C71)</f>
        <v>-0.65877549010213965</v>
      </c>
    </row>
    <row r="72" spans="1:6" ht="24" customHeight="1" x14ac:dyDescent="0.2">
      <c r="A72" s="21">
        <v>3</v>
      </c>
      <c r="B72" s="22" t="s">
        <v>66</v>
      </c>
      <c r="C72" s="23">
        <v>7475420</v>
      </c>
      <c r="D72" s="23">
        <v>7449124</v>
      </c>
      <c r="E72" s="23">
        <f>D72-C72</f>
        <v>-26296</v>
      </c>
      <c r="F72" s="24">
        <f>IF(C72=0,0,E72/C72)</f>
        <v>-3.517661883880772E-3</v>
      </c>
    </row>
    <row r="73" spans="1:6" ht="24" customHeight="1" x14ac:dyDescent="0.25">
      <c r="A73" s="21"/>
      <c r="B73" s="26" t="s">
        <v>67</v>
      </c>
      <c r="C73" s="27">
        <f>SUM(C70:C72)</f>
        <v>158925018</v>
      </c>
      <c r="D73" s="27">
        <f>SUM(D70:D72)</f>
        <v>162176033</v>
      </c>
      <c r="E73" s="27">
        <f>D73-C73</f>
        <v>3251015</v>
      </c>
      <c r="F73" s="28">
        <f>IF(C73=0,0,E73/C73)</f>
        <v>2.0456282093987241E-2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335070249</v>
      </c>
      <c r="D75" s="27">
        <f>D56+D65+D67+D73</f>
        <v>357969938</v>
      </c>
      <c r="E75" s="27">
        <f>D75-C75</f>
        <v>22899689</v>
      </c>
      <c r="F75" s="28">
        <f>IF(C75=0,0,E75/C75)</f>
        <v>6.8342949182575746E-2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/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477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480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305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481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482</v>
      </c>
      <c r="C11" s="51">
        <v>271765388</v>
      </c>
      <c r="D11" s="51">
        <v>282901504</v>
      </c>
      <c r="E11" s="51">
        <v>285207565</v>
      </c>
      <c r="F11" s="28"/>
    </row>
    <row r="12" spans="1:6" ht="24" customHeight="1" x14ac:dyDescent="0.25">
      <c r="A12" s="44">
        <v>2</v>
      </c>
      <c r="B12" s="48" t="s">
        <v>76</v>
      </c>
      <c r="C12" s="49">
        <v>4498687</v>
      </c>
      <c r="D12" s="49">
        <v>4448488</v>
      </c>
      <c r="E12" s="49">
        <v>4981011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276264075</v>
      </c>
      <c r="D13" s="51">
        <f>+D11+D12</f>
        <v>287349992</v>
      </c>
      <c r="E13" s="51">
        <f>+E11+E12</f>
        <v>290188576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268287931</v>
      </c>
      <c r="D14" s="49">
        <v>276737448</v>
      </c>
      <c r="E14" s="49">
        <v>268647757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7976144</v>
      </c>
      <c r="D15" s="51">
        <f>+D13-D14</f>
        <v>10612544</v>
      </c>
      <c r="E15" s="51">
        <f>+E13-E14</f>
        <v>21540819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5607279</v>
      </c>
      <c r="D16" s="49">
        <v>8892661</v>
      </c>
      <c r="E16" s="49">
        <v>2038205</v>
      </c>
      <c r="F16" s="70"/>
    </row>
    <row r="17" spans="1:14" s="56" customFormat="1" ht="24" customHeight="1" x14ac:dyDescent="0.2">
      <c r="A17" s="44">
        <v>7</v>
      </c>
      <c r="B17" s="45" t="s">
        <v>308</v>
      </c>
      <c r="C17" s="51">
        <f>C15+C16</f>
        <v>13583423</v>
      </c>
      <c r="D17" s="51">
        <f>D15+D16</f>
        <v>19505205</v>
      </c>
      <c r="E17" s="51">
        <f>E15+E16</f>
        <v>23579024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483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484</v>
      </c>
      <c r="C20" s="169">
        <f>IF(+C27=0,0,+C24/+C27)</f>
        <v>2.8297107481166744E-2</v>
      </c>
      <c r="D20" s="169">
        <f>IF(+D27=0,0,+D24/+D27)</f>
        <v>3.5823821764113084E-2</v>
      </c>
      <c r="E20" s="169">
        <f>IF(+E27=0,0,+E24/+E27)</f>
        <v>7.3712679331741332E-2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485</v>
      </c>
      <c r="C21" s="169">
        <f>IF(+C27=0,0,+C26/+C27)</f>
        <v>1.9893043122076178E-2</v>
      </c>
      <c r="D21" s="169">
        <f>IF(+D27=0,0,+D26/+D27)</f>
        <v>3.0018165547551993E-2</v>
      </c>
      <c r="E21" s="169">
        <f>IF(+E27=0,0,+E26/+E27)</f>
        <v>6.9747371990522659E-3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486</v>
      </c>
      <c r="C22" s="169">
        <f>IF(+C27=0,0,+C28/+C27)</f>
        <v>4.8190150603242922E-2</v>
      </c>
      <c r="D22" s="169">
        <f>IF(+D27=0,0,+D28/+D27)</f>
        <v>6.5841987311665073E-2</v>
      </c>
      <c r="E22" s="169">
        <f>IF(+E27=0,0,+E28/+E27)</f>
        <v>8.0687416530793601E-2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7976144</v>
      </c>
      <c r="D24" s="51">
        <f>+D15</f>
        <v>10612544</v>
      </c>
      <c r="E24" s="51">
        <f>+E15</f>
        <v>21540819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276264075</v>
      </c>
      <c r="D25" s="51">
        <f>+D13</f>
        <v>287349992</v>
      </c>
      <c r="E25" s="51">
        <f>+E13</f>
        <v>290188576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5607279</v>
      </c>
      <c r="D26" s="51">
        <f>+D16</f>
        <v>8892661</v>
      </c>
      <c r="E26" s="51">
        <f>+E16</f>
        <v>2038205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313</v>
      </c>
      <c r="C27" s="51">
        <f>SUM(C25:C26)</f>
        <v>281871354</v>
      </c>
      <c r="D27" s="51">
        <f>SUM(D25:D26)</f>
        <v>296242653</v>
      </c>
      <c r="E27" s="51">
        <f>SUM(E25:E26)</f>
        <v>292226781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308</v>
      </c>
      <c r="C28" s="51">
        <f>+C17</f>
        <v>13583423</v>
      </c>
      <c r="D28" s="51">
        <f>+D17</f>
        <v>19505205</v>
      </c>
      <c r="E28" s="51">
        <f>+E17</f>
        <v>23579024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487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488</v>
      </c>
      <c r="C31" s="51">
        <v>104776463</v>
      </c>
      <c r="D31" s="51">
        <v>149253750</v>
      </c>
      <c r="E31" s="52">
        <v>153913943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489</v>
      </c>
      <c r="C32" s="51">
        <v>115085725</v>
      </c>
      <c r="D32" s="51">
        <v>160830713</v>
      </c>
      <c r="E32" s="51">
        <v>162762614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490</v>
      </c>
      <c r="C33" s="51">
        <v>-30015876</v>
      </c>
      <c r="D33" s="51">
        <f>+D32-C32</f>
        <v>45744988</v>
      </c>
      <c r="E33" s="51">
        <f>+E32-D32</f>
        <v>1931901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491</v>
      </c>
      <c r="C34" s="171">
        <v>0.79310000000000003</v>
      </c>
      <c r="D34" s="171">
        <f>IF(C32=0,0,+D33/C32)</f>
        <v>0.39748620430552961</v>
      </c>
      <c r="E34" s="171">
        <f>IF(D32=0,0,+E33/D32)</f>
        <v>1.2012015391612422E-2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319</v>
      </c>
      <c r="B36" s="16" t="s">
        <v>341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342</v>
      </c>
      <c r="C38" s="269">
        <f>IF(+C40=0,0,+C39/+C40)</f>
        <v>3.322966918058877</v>
      </c>
      <c r="D38" s="269">
        <f>IF(+D40=0,0,+D39/+D40)</f>
        <v>3.5994822568857803</v>
      </c>
      <c r="E38" s="269">
        <f>IF(+E40=0,0,+E39/+E40)</f>
        <v>4.0606028316016003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112352984</v>
      </c>
      <c r="D39" s="270">
        <v>120782920</v>
      </c>
      <c r="E39" s="270">
        <v>141187465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33811045</v>
      </c>
      <c r="D40" s="270">
        <v>33555637</v>
      </c>
      <c r="E40" s="270">
        <v>34770075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343</v>
      </c>
      <c r="C42" s="271">
        <f>IF((C48/365)=0,0,+C45/(C48/365))</f>
        <v>90.401819712731992</v>
      </c>
      <c r="D42" s="271">
        <f>IF((D48/365)=0,0,+D45/(D48/365))</f>
        <v>105.51316824118581</v>
      </c>
      <c r="E42" s="271">
        <f>IF((E48/365)=0,0,+E45/(E48/365))</f>
        <v>138.44717803015811</v>
      </c>
    </row>
    <row r="43" spans="1:14" ht="24" customHeight="1" x14ac:dyDescent="0.2">
      <c r="A43" s="17">
        <v>5</v>
      </c>
      <c r="B43" s="188" t="s">
        <v>16</v>
      </c>
      <c r="C43" s="272">
        <v>62155067</v>
      </c>
      <c r="D43" s="272">
        <v>74929624</v>
      </c>
      <c r="E43" s="272">
        <v>95434551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344</v>
      </c>
      <c r="C45" s="270">
        <f>+C43+C44</f>
        <v>62155067</v>
      </c>
      <c r="D45" s="270">
        <f>+D43+D44</f>
        <v>74929624</v>
      </c>
      <c r="E45" s="270">
        <f>+E43+E44</f>
        <v>95434551</v>
      </c>
    </row>
    <row r="46" spans="1:14" ht="24" customHeight="1" x14ac:dyDescent="0.2">
      <c r="A46" s="17">
        <v>8</v>
      </c>
      <c r="B46" s="45" t="s">
        <v>322</v>
      </c>
      <c r="C46" s="270">
        <f>+C14</f>
        <v>268287931</v>
      </c>
      <c r="D46" s="270">
        <f>+D14</f>
        <v>276737448</v>
      </c>
      <c r="E46" s="270">
        <f>+E14</f>
        <v>268647757</v>
      </c>
    </row>
    <row r="47" spans="1:14" ht="24" customHeight="1" x14ac:dyDescent="0.2">
      <c r="A47" s="17">
        <v>9</v>
      </c>
      <c r="B47" s="45" t="s">
        <v>345</v>
      </c>
      <c r="C47" s="270">
        <v>17335024</v>
      </c>
      <c r="D47" s="270">
        <v>17534609</v>
      </c>
      <c r="E47" s="270">
        <v>17045582</v>
      </c>
    </row>
    <row r="48" spans="1:14" ht="24" customHeight="1" x14ac:dyDescent="0.2">
      <c r="A48" s="17">
        <v>10</v>
      </c>
      <c r="B48" s="45" t="s">
        <v>346</v>
      </c>
      <c r="C48" s="270">
        <f>+C46-C47</f>
        <v>250952907</v>
      </c>
      <c r="D48" s="270">
        <f>+D46-D47</f>
        <v>259202839</v>
      </c>
      <c r="E48" s="270">
        <f>+E46-E47</f>
        <v>251602175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347</v>
      </c>
      <c r="C50" s="278">
        <f>IF((C55/365)=0,0,+C54/(C55/365))</f>
        <v>47.976435928625314</v>
      </c>
      <c r="D50" s="278">
        <f>IF((D55/365)=0,0,+D54/(D55/365))</f>
        <v>38.168656042210365</v>
      </c>
      <c r="E50" s="278">
        <f>IF((E55/365)=0,0,+E54/(E55/365))</f>
        <v>37.630569669496666</v>
      </c>
    </row>
    <row r="51" spans="1:5" ht="24" customHeight="1" x14ac:dyDescent="0.2">
      <c r="A51" s="17">
        <v>12</v>
      </c>
      <c r="B51" s="188" t="s">
        <v>348</v>
      </c>
      <c r="C51" s="279">
        <v>38032269</v>
      </c>
      <c r="D51" s="279">
        <v>32546895</v>
      </c>
      <c r="E51" s="279">
        <v>34428013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2310804</v>
      </c>
      <c r="D53" s="270">
        <v>2963415</v>
      </c>
      <c r="E53" s="270">
        <v>5023840</v>
      </c>
    </row>
    <row r="54" spans="1:5" ht="32.25" customHeight="1" x14ac:dyDescent="0.2">
      <c r="A54" s="17">
        <v>15</v>
      </c>
      <c r="B54" s="45" t="s">
        <v>349</v>
      </c>
      <c r="C54" s="280">
        <f>+C51+C52-C53</f>
        <v>35721465</v>
      </c>
      <c r="D54" s="280">
        <f>+D51+D52-D53</f>
        <v>29583480</v>
      </c>
      <c r="E54" s="280">
        <f>+E51+E52-E53</f>
        <v>29404173</v>
      </c>
    </row>
    <row r="55" spans="1:5" ht="24" customHeight="1" x14ac:dyDescent="0.2">
      <c r="A55" s="17">
        <v>16</v>
      </c>
      <c r="B55" s="45" t="s">
        <v>75</v>
      </c>
      <c r="C55" s="270">
        <f>+C11</f>
        <v>271765388</v>
      </c>
      <c r="D55" s="270">
        <f>+D11</f>
        <v>282901504</v>
      </c>
      <c r="E55" s="270">
        <f>+E11</f>
        <v>285207565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350</v>
      </c>
      <c r="C57" s="283">
        <f>IF((C61/365)=0,0,+C58/(C61/365))</f>
        <v>49.176682480111694</v>
      </c>
      <c r="D57" s="283">
        <f>IF((D61/365)=0,0,+D58/(D61/365))</f>
        <v>47.251826223245956</v>
      </c>
      <c r="E57" s="283">
        <f>IF((E61/365)=0,0,+E58/(E61/365))</f>
        <v>50.441047955964606</v>
      </c>
    </row>
    <row r="58" spans="1:5" ht="24" customHeight="1" x14ac:dyDescent="0.2">
      <c r="A58" s="17">
        <v>18</v>
      </c>
      <c r="B58" s="45" t="s">
        <v>54</v>
      </c>
      <c r="C58" s="281">
        <f>+C40</f>
        <v>33811045</v>
      </c>
      <c r="D58" s="281">
        <f>+D40</f>
        <v>33555637</v>
      </c>
      <c r="E58" s="281">
        <f>+E40</f>
        <v>34770075</v>
      </c>
    </row>
    <row r="59" spans="1:5" ht="24" customHeight="1" x14ac:dyDescent="0.2">
      <c r="A59" s="17">
        <v>19</v>
      </c>
      <c r="B59" s="45" t="s">
        <v>322</v>
      </c>
      <c r="C59" s="281">
        <f t="shared" ref="C59:E60" si="0">+C46</f>
        <v>268287931</v>
      </c>
      <c r="D59" s="281">
        <f t="shared" si="0"/>
        <v>276737448</v>
      </c>
      <c r="E59" s="281">
        <f t="shared" si="0"/>
        <v>268647757</v>
      </c>
    </row>
    <row r="60" spans="1:5" ht="24" customHeight="1" x14ac:dyDescent="0.2">
      <c r="A60" s="17">
        <v>20</v>
      </c>
      <c r="B60" s="45" t="s">
        <v>345</v>
      </c>
      <c r="C60" s="176">
        <f t="shared" si="0"/>
        <v>17335024</v>
      </c>
      <c r="D60" s="176">
        <f t="shared" si="0"/>
        <v>17534609</v>
      </c>
      <c r="E60" s="176">
        <f t="shared" si="0"/>
        <v>17045582</v>
      </c>
    </row>
    <row r="61" spans="1:5" ht="24" customHeight="1" x14ac:dyDescent="0.2">
      <c r="A61" s="17">
        <v>21</v>
      </c>
      <c r="B61" s="45" t="s">
        <v>351</v>
      </c>
      <c r="C61" s="281">
        <f>+C59-C60</f>
        <v>250952907</v>
      </c>
      <c r="D61" s="281">
        <f>+D59-D60</f>
        <v>259202839</v>
      </c>
      <c r="E61" s="281">
        <f>+E59-E60</f>
        <v>251602175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340</v>
      </c>
      <c r="B63" s="16" t="s">
        <v>353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354</v>
      </c>
      <c r="C65" s="284">
        <f>IF(C67=0,0,(C66/C67)*100)</f>
        <v>35.975725183415101</v>
      </c>
      <c r="D65" s="284">
        <f>IF(D67=0,0,(D66/D67)*100)</f>
        <v>47.222175129772907</v>
      </c>
      <c r="E65" s="284">
        <f>IF(E67=0,0,(E66/E67)*100)</f>
        <v>44.784624374541764</v>
      </c>
    </row>
    <row r="66" spans="1:5" ht="24" customHeight="1" x14ac:dyDescent="0.2">
      <c r="A66" s="17">
        <v>2</v>
      </c>
      <c r="B66" s="45" t="s">
        <v>67</v>
      </c>
      <c r="C66" s="281">
        <f>+C32</f>
        <v>115085725</v>
      </c>
      <c r="D66" s="281">
        <f>+D32</f>
        <v>160830713</v>
      </c>
      <c r="E66" s="281">
        <f>+E32</f>
        <v>162762614</v>
      </c>
    </row>
    <row r="67" spans="1:5" ht="24" customHeight="1" x14ac:dyDescent="0.2">
      <c r="A67" s="17">
        <v>3</v>
      </c>
      <c r="B67" s="45" t="s">
        <v>43</v>
      </c>
      <c r="C67" s="281">
        <v>319898277</v>
      </c>
      <c r="D67" s="281">
        <v>340583026</v>
      </c>
      <c r="E67" s="281">
        <v>363434139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355</v>
      </c>
      <c r="C69" s="284">
        <f>IF(C75=0,0,(C72/C75)*100)</f>
        <v>31.291844760566651</v>
      </c>
      <c r="D69" s="284">
        <f>IF(D75=0,0,(D72/D75)*100)</f>
        <v>37.738939938827556</v>
      </c>
      <c r="E69" s="284">
        <f>IF(E75=0,0,(E72/E75)*100)</f>
        <v>41.812159985363486</v>
      </c>
    </row>
    <row r="70" spans="1:5" ht="24" customHeight="1" x14ac:dyDescent="0.2">
      <c r="A70" s="17">
        <v>5</v>
      </c>
      <c r="B70" s="45" t="s">
        <v>356</v>
      </c>
      <c r="C70" s="281">
        <f>+C28</f>
        <v>13583423</v>
      </c>
      <c r="D70" s="281">
        <f>+D28</f>
        <v>19505205</v>
      </c>
      <c r="E70" s="281">
        <f>+E28</f>
        <v>23579024</v>
      </c>
    </row>
    <row r="71" spans="1:5" ht="24" customHeight="1" x14ac:dyDescent="0.2">
      <c r="A71" s="17">
        <v>6</v>
      </c>
      <c r="B71" s="45" t="s">
        <v>345</v>
      </c>
      <c r="C71" s="176">
        <f>+C47</f>
        <v>17335024</v>
      </c>
      <c r="D71" s="176">
        <f>+D47</f>
        <v>17534609</v>
      </c>
      <c r="E71" s="176">
        <f>+E47</f>
        <v>17045582</v>
      </c>
    </row>
    <row r="72" spans="1:5" ht="24" customHeight="1" x14ac:dyDescent="0.2">
      <c r="A72" s="17">
        <v>7</v>
      </c>
      <c r="B72" s="45" t="s">
        <v>357</v>
      </c>
      <c r="C72" s="281">
        <f>+C70+C71</f>
        <v>30918447</v>
      </c>
      <c r="D72" s="281">
        <f>+D70+D71</f>
        <v>37039814</v>
      </c>
      <c r="E72" s="281">
        <f>+E70+E71</f>
        <v>40624606</v>
      </c>
    </row>
    <row r="73" spans="1:5" ht="24" customHeight="1" x14ac:dyDescent="0.2">
      <c r="A73" s="17">
        <v>8</v>
      </c>
      <c r="B73" s="45" t="s">
        <v>54</v>
      </c>
      <c r="C73" s="270">
        <f>+C40</f>
        <v>33811045</v>
      </c>
      <c r="D73" s="270">
        <f>+D40</f>
        <v>33555637</v>
      </c>
      <c r="E73" s="270">
        <f>+E40</f>
        <v>34770075</v>
      </c>
    </row>
    <row r="74" spans="1:5" ht="24" customHeight="1" x14ac:dyDescent="0.2">
      <c r="A74" s="17">
        <v>9</v>
      </c>
      <c r="B74" s="45" t="s">
        <v>58</v>
      </c>
      <c r="C74" s="281">
        <v>64995680</v>
      </c>
      <c r="D74" s="281">
        <v>64591831</v>
      </c>
      <c r="E74" s="281">
        <v>62389713</v>
      </c>
    </row>
    <row r="75" spans="1:5" ht="24" customHeight="1" x14ac:dyDescent="0.2">
      <c r="A75" s="17">
        <v>10</v>
      </c>
      <c r="B75" s="285" t="s">
        <v>358</v>
      </c>
      <c r="C75" s="270">
        <f>+C73+C74</f>
        <v>98806725</v>
      </c>
      <c r="D75" s="270">
        <f>+D73+D74</f>
        <v>98147468</v>
      </c>
      <c r="E75" s="270">
        <f>+E73+E74</f>
        <v>97159788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359</v>
      </c>
      <c r="C77" s="286">
        <f>IF(C80=0,0,(C78/C80)*100)</f>
        <v>36.092388328489548</v>
      </c>
      <c r="D77" s="286">
        <f>IF(D80=0,0,(D78/D80)*100)</f>
        <v>28.653669617001569</v>
      </c>
      <c r="E77" s="286">
        <f>IF(E80=0,0,(E78/E80)*100)</f>
        <v>27.710001416063534</v>
      </c>
    </row>
    <row r="78" spans="1:5" ht="24" customHeight="1" x14ac:dyDescent="0.2">
      <c r="A78" s="17">
        <v>12</v>
      </c>
      <c r="B78" s="45" t="s">
        <v>58</v>
      </c>
      <c r="C78" s="270">
        <f>+C74</f>
        <v>64995680</v>
      </c>
      <c r="D78" s="270">
        <f>+D74</f>
        <v>64591831</v>
      </c>
      <c r="E78" s="270">
        <f>+E74</f>
        <v>62389713</v>
      </c>
    </row>
    <row r="79" spans="1:5" ht="24" customHeight="1" x14ac:dyDescent="0.2">
      <c r="A79" s="17">
        <v>13</v>
      </c>
      <c r="B79" s="45" t="s">
        <v>67</v>
      </c>
      <c r="C79" s="270">
        <f>+C32</f>
        <v>115085725</v>
      </c>
      <c r="D79" s="270">
        <f>+D32</f>
        <v>160830713</v>
      </c>
      <c r="E79" s="270">
        <f>+E32</f>
        <v>162762614</v>
      </c>
    </row>
    <row r="80" spans="1:5" ht="24" customHeight="1" x14ac:dyDescent="0.2">
      <c r="A80" s="17">
        <v>14</v>
      </c>
      <c r="B80" s="45" t="s">
        <v>360</v>
      </c>
      <c r="C80" s="270">
        <f>+C78+C79</f>
        <v>180081405</v>
      </c>
      <c r="D80" s="270">
        <f>+D78+D79</f>
        <v>225422544</v>
      </c>
      <c r="E80" s="270">
        <f>+E78+E79</f>
        <v>225152327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r:id="rId1"/>
  <headerFooter>
    <oddHeader>&amp;L&amp;8OFFICE OF HEALTH CARE ACCESS&amp;C&amp;8TWELVE MONTHS ACTUAL FILING&amp;R&amp;8BACKUS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492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493</v>
      </c>
      <c r="E6" s="126" t="s">
        <v>494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495</v>
      </c>
      <c r="I7" s="126" t="s">
        <v>495</v>
      </c>
      <c r="J7" s="125"/>
      <c r="K7" s="289"/>
    </row>
    <row r="8" spans="1:11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6" t="s">
        <v>501</v>
      </c>
      <c r="I8" s="126" t="s">
        <v>502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503</v>
      </c>
      <c r="D9" s="292" t="s">
        <v>504</v>
      </c>
      <c r="E9" s="292" t="s">
        <v>505</v>
      </c>
      <c r="F9" s="292" t="s">
        <v>506</v>
      </c>
      <c r="G9" s="292" t="s">
        <v>507</v>
      </c>
      <c r="H9" s="292" t="s">
        <v>506</v>
      </c>
      <c r="I9" s="292" t="s">
        <v>507</v>
      </c>
      <c r="J9" s="125"/>
      <c r="K9" s="56"/>
    </row>
    <row r="10" spans="1:11" ht="15.75" customHeight="1" x14ac:dyDescent="0.25">
      <c r="A10" s="293" t="s">
        <v>505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508</v>
      </c>
      <c r="C11" s="296">
        <v>37427</v>
      </c>
      <c r="D11" s="296">
        <v>9471</v>
      </c>
      <c r="E11" s="296">
        <v>9568</v>
      </c>
      <c r="F11" s="297">
        <v>139</v>
      </c>
      <c r="G11" s="297">
        <v>166</v>
      </c>
      <c r="H11" s="298">
        <f>IF(F11=0,0,$C11/(F11*365))</f>
        <v>0.73769587070069975</v>
      </c>
      <c r="I11" s="298">
        <f>IF(G11=0,0,$C11/(G11*365))</f>
        <v>0.61770919293612803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509</v>
      </c>
      <c r="C13" s="296">
        <v>3304</v>
      </c>
      <c r="D13" s="296">
        <v>190</v>
      </c>
      <c r="E13" s="296">
        <v>0</v>
      </c>
      <c r="F13" s="297">
        <v>12</v>
      </c>
      <c r="G13" s="297">
        <v>12</v>
      </c>
      <c r="H13" s="298">
        <f>IF(F13=0,0,$C13/(F13*365))</f>
        <v>0.75433789954337904</v>
      </c>
      <c r="I13" s="298">
        <f>IF(G13=0,0,$C13/(G13*365))</f>
        <v>0.75433789954337904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510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511</v>
      </c>
      <c r="C16" s="296">
        <v>4597</v>
      </c>
      <c r="D16" s="296">
        <v>634</v>
      </c>
      <c r="E16" s="296">
        <v>629</v>
      </c>
      <c r="F16" s="297">
        <v>18</v>
      </c>
      <c r="G16" s="297">
        <v>20</v>
      </c>
      <c r="H16" s="298">
        <f t="shared" si="0"/>
        <v>0.6996955859969558</v>
      </c>
      <c r="I16" s="298">
        <f t="shared" si="0"/>
        <v>0.62972602739726025</v>
      </c>
      <c r="J16" s="125"/>
      <c r="K16" s="299"/>
    </row>
    <row r="17" spans="1:11" ht="15.75" customHeight="1" x14ac:dyDescent="0.25">
      <c r="A17" s="293"/>
      <c r="B17" s="135" t="s">
        <v>512</v>
      </c>
      <c r="C17" s="300">
        <f>SUM(C15:C16)</f>
        <v>4597</v>
      </c>
      <c r="D17" s="300">
        <f>SUM(D15:D16)</f>
        <v>634</v>
      </c>
      <c r="E17" s="300">
        <f>SUM(E15:E16)</f>
        <v>629</v>
      </c>
      <c r="F17" s="300">
        <f>SUM(F15:F16)</f>
        <v>18</v>
      </c>
      <c r="G17" s="300">
        <f>SUM(G15:G16)</f>
        <v>20</v>
      </c>
      <c r="H17" s="301">
        <f t="shared" si="0"/>
        <v>0.6996955859969558</v>
      </c>
      <c r="I17" s="301">
        <f t="shared" si="0"/>
        <v>0.62972602739726025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513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514</v>
      </c>
      <c r="C21" s="296">
        <v>2200</v>
      </c>
      <c r="D21" s="296">
        <v>946</v>
      </c>
      <c r="E21" s="296">
        <v>853</v>
      </c>
      <c r="F21" s="297">
        <v>15</v>
      </c>
      <c r="G21" s="297">
        <v>15</v>
      </c>
      <c r="H21" s="298">
        <f>IF(F21=0,0,$C21/(F21*365))</f>
        <v>0.40182648401826482</v>
      </c>
      <c r="I21" s="298">
        <f>IF(G21=0,0,$C21/(G21*365))</f>
        <v>0.40182648401826482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515</v>
      </c>
      <c r="C23" s="296">
        <v>2126</v>
      </c>
      <c r="D23" s="296">
        <v>948</v>
      </c>
      <c r="E23" s="296">
        <v>942</v>
      </c>
      <c r="F23" s="297">
        <v>18</v>
      </c>
      <c r="G23" s="297">
        <v>20</v>
      </c>
      <c r="H23" s="298">
        <f>IF(F23=0,0,$C23/(F23*365))</f>
        <v>0.32359208523592087</v>
      </c>
      <c r="I23" s="298">
        <f>IF(G23=0,0,$C23/(G23*365))</f>
        <v>0.29123287671232878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294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516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517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518</v>
      </c>
      <c r="C31" s="300">
        <f>SUM(C10:C29)-C17-C23</f>
        <v>47528</v>
      </c>
      <c r="D31" s="300">
        <f>SUM(D10:D29)-D13-D17-D23</f>
        <v>11051</v>
      </c>
      <c r="E31" s="300">
        <f>SUM(E10:E29)-E17-E23</f>
        <v>11050</v>
      </c>
      <c r="F31" s="300">
        <f>SUM(F10:F29)-F17-F23</f>
        <v>184</v>
      </c>
      <c r="G31" s="300">
        <f>SUM(G10:G29)-G17-G23</f>
        <v>213</v>
      </c>
      <c r="H31" s="301">
        <f>IF(F31=0,0,$C31/(F31*365))</f>
        <v>0.7076831447290054</v>
      </c>
      <c r="I31" s="301">
        <f>IF(G31=0,0,$C31/(G31*365))</f>
        <v>0.61133191845134738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519</v>
      </c>
      <c r="C33" s="300">
        <f>SUM(C10:C29)-C17</f>
        <v>49654</v>
      </c>
      <c r="D33" s="300">
        <f>SUM(D10:D29)-D13-D17</f>
        <v>11999</v>
      </c>
      <c r="E33" s="300">
        <f>SUM(E10:E29)-E17</f>
        <v>11992</v>
      </c>
      <c r="F33" s="300">
        <f>SUM(F10:F29)-F17</f>
        <v>202</v>
      </c>
      <c r="G33" s="300">
        <f>SUM(G10:G29)-G17</f>
        <v>233</v>
      </c>
      <c r="H33" s="301">
        <f>IF(F33=0,0,$C33/(F33*365))</f>
        <v>0.67345720873457204</v>
      </c>
      <c r="I33" s="301">
        <f>IF(G33=0,0,$C33/(G33*365))</f>
        <v>0.58385560585572349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520</v>
      </c>
      <c r="C36" s="300">
        <f t="shared" ref="C36:I36" si="1">+C33</f>
        <v>49654</v>
      </c>
      <c r="D36" s="300">
        <f t="shared" si="1"/>
        <v>11999</v>
      </c>
      <c r="E36" s="300">
        <f t="shared" si="1"/>
        <v>11992</v>
      </c>
      <c r="F36" s="300">
        <f t="shared" si="1"/>
        <v>202</v>
      </c>
      <c r="G36" s="300">
        <f t="shared" si="1"/>
        <v>233</v>
      </c>
      <c r="H36" s="301">
        <f t="shared" si="1"/>
        <v>0.67345720873457204</v>
      </c>
      <c r="I36" s="301">
        <f t="shared" si="1"/>
        <v>0.58385560585572349</v>
      </c>
      <c r="J36" s="125"/>
      <c r="K36" s="299"/>
    </row>
    <row r="37" spans="1:11" ht="15.75" customHeight="1" x14ac:dyDescent="0.25">
      <c r="A37" s="293"/>
      <c r="B37" s="135" t="s">
        <v>521</v>
      </c>
      <c r="C37" s="300">
        <v>49096</v>
      </c>
      <c r="D37" s="300">
        <v>0</v>
      </c>
      <c r="E37" s="300">
        <v>0</v>
      </c>
      <c r="F37" s="302">
        <v>202</v>
      </c>
      <c r="G37" s="302">
        <v>233</v>
      </c>
      <c r="H37" s="301">
        <f>IF(F37=0,0,$C37/(F37*365))</f>
        <v>0.66588905465889059</v>
      </c>
      <c r="I37" s="301">
        <f>IF(G37=0,0,$C37/(G37*365))</f>
        <v>0.57729437356693514</v>
      </c>
      <c r="J37" s="125"/>
      <c r="K37" s="299"/>
    </row>
    <row r="38" spans="1:11" ht="15.75" customHeight="1" x14ac:dyDescent="0.25">
      <c r="A38" s="293"/>
      <c r="B38" s="135" t="s">
        <v>522</v>
      </c>
      <c r="C38" s="300">
        <f t="shared" ref="C38:I38" si="2">+C36-C37</f>
        <v>558</v>
      </c>
      <c r="D38" s="300">
        <f t="shared" si="2"/>
        <v>11999</v>
      </c>
      <c r="E38" s="300">
        <f t="shared" si="2"/>
        <v>11992</v>
      </c>
      <c r="F38" s="300">
        <f t="shared" si="2"/>
        <v>0</v>
      </c>
      <c r="G38" s="300">
        <f t="shared" si="2"/>
        <v>0</v>
      </c>
      <c r="H38" s="301">
        <f t="shared" si="2"/>
        <v>7.5681540756814547E-3</v>
      </c>
      <c r="I38" s="301">
        <f t="shared" si="2"/>
        <v>6.5612322887883545E-3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523</v>
      </c>
      <c r="C40" s="148">
        <f t="shared" ref="C40:I40" si="3">IF(C37=0,0,C38/C37)</f>
        <v>1.1365488023464234E-2</v>
      </c>
      <c r="D40" s="148">
        <f t="shared" si="3"/>
        <v>0</v>
      </c>
      <c r="E40" s="148">
        <f t="shared" si="3"/>
        <v>0</v>
      </c>
      <c r="F40" s="148">
        <f t="shared" si="3"/>
        <v>0</v>
      </c>
      <c r="G40" s="148">
        <f t="shared" si="3"/>
        <v>0</v>
      </c>
      <c r="H40" s="148">
        <f t="shared" si="3"/>
        <v>1.1365488023464104E-2</v>
      </c>
      <c r="I40" s="148">
        <f t="shared" si="3"/>
        <v>1.1365488023464348E-2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524</v>
      </c>
      <c r="C42" s="295">
        <v>233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525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505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r:id="rId1"/>
  <headerFooter>
    <oddHeader>&amp;LOFFICE OF HEALTH CARE ACCESS&amp;CTWELVE MONTHS ACTUAL FILING&amp;RWILLIAM W. BACKUS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/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526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527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528</v>
      </c>
      <c r="C12" s="296">
        <v>7598</v>
      </c>
      <c r="D12" s="296">
        <v>7810</v>
      </c>
      <c r="E12" s="296">
        <f>+D12-C12</f>
        <v>212</v>
      </c>
      <c r="F12" s="316">
        <f>IF(C12=0,0,+E12/C12)</f>
        <v>2.7902079494603844E-2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529</v>
      </c>
      <c r="C13" s="296">
        <v>14217</v>
      </c>
      <c r="D13" s="296">
        <v>13339</v>
      </c>
      <c r="E13" s="296">
        <f>+D13-C13</f>
        <v>-878</v>
      </c>
      <c r="F13" s="316">
        <f>IF(C13=0,0,+E13/C13)</f>
        <v>-6.1757051417317299E-2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530</v>
      </c>
      <c r="C14" s="296">
        <v>11534</v>
      </c>
      <c r="D14" s="296">
        <v>10882</v>
      </c>
      <c r="E14" s="296">
        <f>+D14-C14</f>
        <v>-652</v>
      </c>
      <c r="F14" s="316">
        <f>IF(C14=0,0,+E14/C14)</f>
        <v>-5.6528524362753595E-2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531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532</v>
      </c>
      <c r="C16" s="300">
        <f>SUM(C12:C15)</f>
        <v>33349</v>
      </c>
      <c r="D16" s="300">
        <f>SUM(D12:D15)</f>
        <v>32031</v>
      </c>
      <c r="E16" s="300">
        <f>+D16-C16</f>
        <v>-1318</v>
      </c>
      <c r="F16" s="309">
        <f>IF(C16=0,0,+E16/C16)</f>
        <v>-3.9521424930282767E-2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533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528</v>
      </c>
      <c r="C19" s="296">
        <v>965</v>
      </c>
      <c r="D19" s="296">
        <v>1087</v>
      </c>
      <c r="E19" s="296">
        <f>+D19-C19</f>
        <v>122</v>
      </c>
      <c r="F19" s="316">
        <f>IF(C19=0,0,+E19/C19)</f>
        <v>0.12642487046632125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529</v>
      </c>
      <c r="C20" s="296">
        <v>8969</v>
      </c>
      <c r="D20" s="296">
        <v>9259</v>
      </c>
      <c r="E20" s="296">
        <f>+D20-C20</f>
        <v>290</v>
      </c>
      <c r="F20" s="316">
        <f>IF(C20=0,0,+E20/C20)</f>
        <v>3.233359348868324E-2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530</v>
      </c>
      <c r="C21" s="296">
        <v>268</v>
      </c>
      <c r="D21" s="296">
        <v>310</v>
      </c>
      <c r="E21" s="296">
        <f>+D21-C21</f>
        <v>42</v>
      </c>
      <c r="F21" s="316">
        <f>IF(C21=0,0,+E21/C21)</f>
        <v>0.15671641791044777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531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534</v>
      </c>
      <c r="C23" s="300">
        <f>SUM(C19:C22)</f>
        <v>10202</v>
      </c>
      <c r="D23" s="300">
        <f>SUM(D19:D22)</f>
        <v>10656</v>
      </c>
      <c r="E23" s="300">
        <f>+D23-C23</f>
        <v>454</v>
      </c>
      <c r="F23" s="309">
        <f>IF(C23=0,0,+E23/C23)</f>
        <v>4.4501078219956872E-2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535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528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529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530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531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536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319</v>
      </c>
      <c r="B32" s="291" t="s">
        <v>537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528</v>
      </c>
      <c r="C33" s="296">
        <v>11</v>
      </c>
      <c r="D33" s="296">
        <v>11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529</v>
      </c>
      <c r="C34" s="296">
        <v>808</v>
      </c>
      <c r="D34" s="296">
        <v>781</v>
      </c>
      <c r="E34" s="296">
        <f>+D34-C34</f>
        <v>-27</v>
      </c>
      <c r="F34" s="316">
        <f>IF(C34=0,0,+E34/C34)</f>
        <v>-3.3415841584158418E-2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530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531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538</v>
      </c>
      <c r="C37" s="300">
        <f>SUM(C33:C36)</f>
        <v>819</v>
      </c>
      <c r="D37" s="300">
        <f>SUM(D33:D36)</f>
        <v>792</v>
      </c>
      <c r="E37" s="300">
        <f>+D37-C37</f>
        <v>-27</v>
      </c>
      <c r="F37" s="309">
        <f>IF(C37=0,0,+E37/C37)</f>
        <v>-3.2967032967032968E-2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539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540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340</v>
      </c>
      <c r="B42" s="291" t="s">
        <v>541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542</v>
      </c>
      <c r="C43" s="296">
        <v>536</v>
      </c>
      <c r="D43" s="296">
        <v>426</v>
      </c>
      <c r="E43" s="296">
        <f>+D43-C43</f>
        <v>-110</v>
      </c>
      <c r="F43" s="316">
        <f>IF(C43=0,0,+E43/C43)</f>
        <v>-0.20522388059701493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543</v>
      </c>
      <c r="C44" s="296">
        <v>10620</v>
      </c>
      <c r="D44" s="296">
        <v>9767</v>
      </c>
      <c r="E44" s="296">
        <f>+D44-C44</f>
        <v>-853</v>
      </c>
      <c r="F44" s="316">
        <f>IF(C44=0,0,+E44/C44)</f>
        <v>-8.0320150659133713E-2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544</v>
      </c>
      <c r="C45" s="300">
        <f>SUM(C43:C44)</f>
        <v>11156</v>
      </c>
      <c r="D45" s="300">
        <f>SUM(D43:D44)</f>
        <v>10193</v>
      </c>
      <c r="E45" s="300">
        <f>+D45-C45</f>
        <v>-963</v>
      </c>
      <c r="F45" s="309">
        <f>IF(C45=0,0,+E45/C45)</f>
        <v>-8.6321262101111504E-2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352</v>
      </c>
      <c r="B47" s="291" t="s">
        <v>545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542</v>
      </c>
      <c r="C48" s="296">
        <v>113</v>
      </c>
      <c r="D48" s="296">
        <v>119</v>
      </c>
      <c r="E48" s="296">
        <f>+D48-C48</f>
        <v>6</v>
      </c>
      <c r="F48" s="316">
        <f>IF(C48=0,0,+E48/C48)</f>
        <v>5.3097345132743362E-2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543</v>
      </c>
      <c r="C49" s="296">
        <v>209</v>
      </c>
      <c r="D49" s="296">
        <v>217</v>
      </c>
      <c r="E49" s="296">
        <f>+D49-C49</f>
        <v>8</v>
      </c>
      <c r="F49" s="316">
        <f>IF(C49=0,0,+E49/C49)</f>
        <v>3.8277511961722487E-2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546</v>
      </c>
      <c r="C50" s="300">
        <f>SUM(C48:C49)</f>
        <v>322</v>
      </c>
      <c r="D50" s="300">
        <f>SUM(D48:D49)</f>
        <v>336</v>
      </c>
      <c r="E50" s="300">
        <f>+D50-C50</f>
        <v>14</v>
      </c>
      <c r="F50" s="309">
        <f>IF(C50=0,0,+E50/C50)</f>
        <v>4.3478260869565216E-2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364</v>
      </c>
      <c r="B52" s="291" t="s">
        <v>547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548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549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550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368</v>
      </c>
      <c r="B57" s="291" t="s">
        <v>551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552</v>
      </c>
      <c r="C58" s="296">
        <v>47</v>
      </c>
      <c r="D58" s="296">
        <v>28</v>
      </c>
      <c r="E58" s="296">
        <f>+D58-C58</f>
        <v>-19</v>
      </c>
      <c r="F58" s="316">
        <f>IF(C58=0,0,+E58/C58)</f>
        <v>-0.40425531914893614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553</v>
      </c>
      <c r="C59" s="296">
        <v>29</v>
      </c>
      <c r="D59" s="296">
        <v>40</v>
      </c>
      <c r="E59" s="296">
        <f>+D59-C59</f>
        <v>11</v>
      </c>
      <c r="F59" s="316">
        <f>IF(C59=0,0,+E59/C59)</f>
        <v>0.37931034482758619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554</v>
      </c>
      <c r="C60" s="300">
        <f>SUM(C58:C59)</f>
        <v>76</v>
      </c>
      <c r="D60" s="300">
        <f>SUM(D58:D59)</f>
        <v>68</v>
      </c>
      <c r="E60" s="300">
        <f>SUM(E58:E59)</f>
        <v>-8</v>
      </c>
      <c r="F60" s="309">
        <f>IF(C60=0,0,+E60/C60)</f>
        <v>-0.10526315789473684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555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556</v>
      </c>
      <c r="C63" s="296">
        <v>3246</v>
      </c>
      <c r="D63" s="296">
        <v>3152</v>
      </c>
      <c r="E63" s="296">
        <f>+D63-C63</f>
        <v>-94</v>
      </c>
      <c r="F63" s="316">
        <f>IF(C63=0,0,+E63/C63)</f>
        <v>-2.895871842267406E-2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557</v>
      </c>
      <c r="C64" s="296">
        <v>7453</v>
      </c>
      <c r="D64" s="296">
        <v>7347</v>
      </c>
      <c r="E64" s="296">
        <f>+D64-C64</f>
        <v>-106</v>
      </c>
      <c r="F64" s="316">
        <f>IF(C64=0,0,+E64/C64)</f>
        <v>-1.4222460754058768E-2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558</v>
      </c>
      <c r="C65" s="300">
        <f>SUM(C63:C64)</f>
        <v>10699</v>
      </c>
      <c r="D65" s="300">
        <f>SUM(D63:D64)</f>
        <v>10499</v>
      </c>
      <c r="E65" s="300">
        <f>+D65-C65</f>
        <v>-200</v>
      </c>
      <c r="F65" s="309">
        <f>IF(C65=0,0,+E65/C65)</f>
        <v>-1.8693335825778111E-2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394</v>
      </c>
      <c r="B67" s="291" t="s">
        <v>559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560</v>
      </c>
      <c r="C68" s="296">
        <v>489</v>
      </c>
      <c r="D68" s="296">
        <v>518</v>
      </c>
      <c r="E68" s="296">
        <f>+D68-C68</f>
        <v>29</v>
      </c>
      <c r="F68" s="316">
        <f>IF(C68=0,0,+E68/C68)</f>
        <v>5.9304703476482618E-2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561</v>
      </c>
      <c r="C69" s="296">
        <v>2127</v>
      </c>
      <c r="D69" s="296">
        <v>2069</v>
      </c>
      <c r="E69" s="296">
        <f>+D69-C69</f>
        <v>-58</v>
      </c>
      <c r="F69" s="318">
        <f>IF(C69=0,0,+E69/C69)</f>
        <v>-2.7268453220498354E-2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562</v>
      </c>
      <c r="C70" s="300">
        <f>SUM(C68:C69)</f>
        <v>2616</v>
      </c>
      <c r="D70" s="300">
        <f>SUM(D68:D69)</f>
        <v>2587</v>
      </c>
      <c r="E70" s="300">
        <f>+D70-C70</f>
        <v>-29</v>
      </c>
      <c r="F70" s="309">
        <f>IF(C70=0,0,+E70/C70)</f>
        <v>-1.1085626911314985E-2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410</v>
      </c>
      <c r="B72" s="291" t="s">
        <v>563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564</v>
      </c>
      <c r="C73" s="319">
        <v>6391</v>
      </c>
      <c r="D73" s="319">
        <v>6846</v>
      </c>
      <c r="E73" s="296">
        <f>+D73-C73</f>
        <v>455</v>
      </c>
      <c r="F73" s="316">
        <f>IF(C73=0,0,+E73/C73)</f>
        <v>7.1193866374589271E-2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565</v>
      </c>
      <c r="C74" s="319">
        <v>59170</v>
      </c>
      <c r="D74" s="319">
        <v>56352</v>
      </c>
      <c r="E74" s="296">
        <f>+D74-C74</f>
        <v>-2818</v>
      </c>
      <c r="F74" s="316">
        <f>IF(C74=0,0,+E74/C74)</f>
        <v>-4.7625485888118976E-2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426</v>
      </c>
      <c r="C75" s="300">
        <f>SUM(C73:C74)</f>
        <v>65561</v>
      </c>
      <c r="D75" s="300">
        <f>SUM(D73:D74)</f>
        <v>63198</v>
      </c>
      <c r="E75" s="300">
        <f>SUM(E73:E74)</f>
        <v>-2363</v>
      </c>
      <c r="F75" s="309">
        <f>IF(C75=0,0,+E75/C75)</f>
        <v>-3.6042769329326887E-2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419</v>
      </c>
      <c r="B78" s="291" t="s">
        <v>566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567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568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569</v>
      </c>
      <c r="C81" s="319">
        <v>22179</v>
      </c>
      <c r="D81" s="319">
        <v>19490</v>
      </c>
      <c r="E81" s="296">
        <f t="shared" si="0"/>
        <v>-2689</v>
      </c>
      <c r="F81" s="316">
        <f t="shared" si="1"/>
        <v>-0.12124081338202805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570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571</v>
      </c>
      <c r="C83" s="319">
        <v>46023</v>
      </c>
      <c r="D83" s="319">
        <v>56774</v>
      </c>
      <c r="E83" s="296">
        <f t="shared" si="0"/>
        <v>10751</v>
      </c>
      <c r="F83" s="316">
        <f t="shared" si="1"/>
        <v>0.23360059100884339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572</v>
      </c>
      <c r="C84" s="320">
        <f>SUM(C79:C83)</f>
        <v>68202</v>
      </c>
      <c r="D84" s="320">
        <f>SUM(D79:D83)</f>
        <v>76264</v>
      </c>
      <c r="E84" s="300">
        <f t="shared" si="0"/>
        <v>8062</v>
      </c>
      <c r="F84" s="309">
        <f t="shared" si="1"/>
        <v>0.11820767719421718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422</v>
      </c>
      <c r="B86" s="291" t="s">
        <v>573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574</v>
      </c>
      <c r="C87" s="322">
        <v>13032</v>
      </c>
      <c r="D87" s="322">
        <v>15315</v>
      </c>
      <c r="E87" s="323">
        <f t="shared" ref="E87:E92" si="2">+D87-C87</f>
        <v>2283</v>
      </c>
      <c r="F87" s="318">
        <f t="shared" ref="F87:F92" si="3">IF(C87=0,0,+E87/C87)</f>
        <v>0.17518416206261511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262</v>
      </c>
      <c r="C88" s="322">
        <v>6176</v>
      </c>
      <c r="D88" s="322">
        <v>6015</v>
      </c>
      <c r="E88" s="296">
        <f t="shared" si="2"/>
        <v>-161</v>
      </c>
      <c r="F88" s="316">
        <f t="shared" si="3"/>
        <v>-2.6068652849740932E-2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575</v>
      </c>
      <c r="C89" s="322">
        <v>2214</v>
      </c>
      <c r="D89" s="322">
        <v>2364</v>
      </c>
      <c r="E89" s="296">
        <f t="shared" si="2"/>
        <v>150</v>
      </c>
      <c r="F89" s="316">
        <f t="shared" si="3"/>
        <v>6.7750677506775062E-2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576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577</v>
      </c>
      <c r="C91" s="322">
        <v>195522</v>
      </c>
      <c r="D91" s="322">
        <v>172664</v>
      </c>
      <c r="E91" s="296">
        <f t="shared" si="2"/>
        <v>-22858</v>
      </c>
      <c r="F91" s="316">
        <f t="shared" si="3"/>
        <v>-0.11690756027454711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578</v>
      </c>
      <c r="C92" s="320">
        <f>SUM(C87:C91)</f>
        <v>216944</v>
      </c>
      <c r="D92" s="320">
        <f>SUM(D87:D91)</f>
        <v>196358</v>
      </c>
      <c r="E92" s="300">
        <f t="shared" si="2"/>
        <v>-20586</v>
      </c>
      <c r="F92" s="309">
        <f t="shared" si="3"/>
        <v>-9.4890847407625933E-2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579</v>
      </c>
      <c r="B95" s="291" t="s">
        <v>580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581</v>
      </c>
      <c r="C96" s="325">
        <v>450.8</v>
      </c>
      <c r="D96" s="325">
        <v>455.6</v>
      </c>
      <c r="E96" s="326">
        <f>+D96-C96</f>
        <v>4.8000000000000114</v>
      </c>
      <c r="F96" s="316">
        <f>IF(C96=0,0,+E96/C96)</f>
        <v>1.0647737355811916E-2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582</v>
      </c>
      <c r="C97" s="325">
        <v>36.700000000000003</v>
      </c>
      <c r="D97" s="325">
        <v>36.299999999999997</v>
      </c>
      <c r="E97" s="326">
        <f>+D97-C97</f>
        <v>-0.40000000000000568</v>
      </c>
      <c r="F97" s="316">
        <f>IF(C97=0,0,+E97/C97)</f>
        <v>-1.0899182561308056E-2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583</v>
      </c>
      <c r="C98" s="325">
        <v>1054.5999999999999</v>
      </c>
      <c r="D98" s="325">
        <v>1022</v>
      </c>
      <c r="E98" s="326">
        <f>+D98-C98</f>
        <v>-32.599999999999909</v>
      </c>
      <c r="F98" s="316">
        <f>IF(C98=0,0,+E98/C98)</f>
        <v>-3.0912194196851803E-2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584</v>
      </c>
      <c r="C99" s="327">
        <f>SUM(C96:C98)</f>
        <v>1542.1</v>
      </c>
      <c r="D99" s="327">
        <f>SUM(D96:D98)</f>
        <v>1513.9</v>
      </c>
      <c r="E99" s="327">
        <f>+D99-C99</f>
        <v>-28.199999999999818</v>
      </c>
      <c r="F99" s="309">
        <f>IF(C99=0,0,+E99/C99)</f>
        <v>-1.8286751831917396E-2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r:id="rId1"/>
  <headerFooter>
    <oddHeader>&amp;LOFFICE OF HEALTH CARE ACCESS&amp;CTWELVE MONTHS ACTUAL FILING&amp;RWILLIAM W. BACKUS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/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585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557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586</v>
      </c>
      <c r="C12" s="296">
        <v>7453</v>
      </c>
      <c r="D12" s="296">
        <v>7347</v>
      </c>
      <c r="E12" s="296">
        <f>+D12-C12</f>
        <v>-106</v>
      </c>
      <c r="F12" s="316">
        <f>IF(C12=0,0,+E12/C12)</f>
        <v>-1.4222460754058768E-2</v>
      </c>
    </row>
    <row r="13" spans="1:16" ht="15.75" customHeight="1" x14ac:dyDescent="0.25">
      <c r="A13" s="294"/>
      <c r="B13" s="135" t="s">
        <v>587</v>
      </c>
      <c r="C13" s="300">
        <f>SUM(C11:C12)</f>
        <v>7453</v>
      </c>
      <c r="D13" s="300">
        <f>SUM(D11:D12)</f>
        <v>7347</v>
      </c>
      <c r="E13" s="300">
        <f>+D13-C13</f>
        <v>-106</v>
      </c>
      <c r="F13" s="309">
        <f>IF(C13=0,0,+E13/C13)</f>
        <v>-1.4222460754058768E-2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561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586</v>
      </c>
      <c r="C16" s="296">
        <v>2127</v>
      </c>
      <c r="D16" s="296">
        <v>2069</v>
      </c>
      <c r="E16" s="296">
        <f>+D16-C16</f>
        <v>-58</v>
      </c>
      <c r="F16" s="316">
        <f>IF(C16=0,0,+E16/C16)</f>
        <v>-2.7268453220498354E-2</v>
      </c>
    </row>
    <row r="17" spans="1:6" ht="15.75" customHeight="1" x14ac:dyDescent="0.25">
      <c r="A17" s="294"/>
      <c r="B17" s="135" t="s">
        <v>588</v>
      </c>
      <c r="C17" s="300">
        <f>SUM(C15:C16)</f>
        <v>2127</v>
      </c>
      <c r="D17" s="300">
        <f>SUM(D15:D16)</f>
        <v>2069</v>
      </c>
      <c r="E17" s="300">
        <f>+D17-C17</f>
        <v>-58</v>
      </c>
      <c r="F17" s="309">
        <f>IF(C17=0,0,+E17/C17)</f>
        <v>-2.7268453220498354E-2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589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586</v>
      </c>
      <c r="C20" s="296">
        <v>59170</v>
      </c>
      <c r="D20" s="296">
        <v>56352</v>
      </c>
      <c r="E20" s="296">
        <f>+D20-C20</f>
        <v>-2818</v>
      </c>
      <c r="F20" s="316">
        <f>IF(C20=0,0,+E20/C20)</f>
        <v>-4.7625485888118976E-2</v>
      </c>
    </row>
    <row r="21" spans="1:6" ht="15.75" customHeight="1" x14ac:dyDescent="0.25">
      <c r="A21" s="294"/>
      <c r="B21" s="135" t="s">
        <v>590</v>
      </c>
      <c r="C21" s="300">
        <f>SUM(C19:C20)</f>
        <v>59170</v>
      </c>
      <c r="D21" s="300">
        <f>SUM(D19:D20)</f>
        <v>56352</v>
      </c>
      <c r="E21" s="300">
        <f>+D21-C21</f>
        <v>-2818</v>
      </c>
      <c r="F21" s="309">
        <f>IF(C21=0,0,+E21/C21)</f>
        <v>-4.7625485888118976E-2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591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592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593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FILING&amp;RWILLIAM W. BACKUS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/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594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595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596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597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598</v>
      </c>
      <c r="D7" s="341" t="s">
        <v>598</v>
      </c>
      <c r="E7" s="341" t="s">
        <v>599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600</v>
      </c>
      <c r="D8" s="344" t="s">
        <v>601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602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603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604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605</v>
      </c>
      <c r="C15" s="361">
        <v>118711488</v>
      </c>
      <c r="D15" s="361">
        <v>122661517</v>
      </c>
      <c r="E15" s="361">
        <f t="shared" ref="E15:E24" si="0">D15-C15</f>
        <v>3950029</v>
      </c>
      <c r="F15" s="362">
        <f t="shared" ref="F15:F24" si="1">IF(C15=0,0,E15/C15)</f>
        <v>3.3274193311434191E-2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606</v>
      </c>
      <c r="C16" s="361">
        <v>50024630</v>
      </c>
      <c r="D16" s="361">
        <v>51533821</v>
      </c>
      <c r="E16" s="361">
        <f t="shared" si="0"/>
        <v>1509191</v>
      </c>
      <c r="F16" s="362">
        <f t="shared" si="1"/>
        <v>3.016895877090945E-2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607</v>
      </c>
      <c r="C17" s="366">
        <f>IF(C15=0,0,C16/C15)</f>
        <v>0.42139670593632861</v>
      </c>
      <c r="D17" s="366">
        <f>IF(LN_IA1=0,0,LN_IA2/LN_IA1)</f>
        <v>0.42013030867700746</v>
      </c>
      <c r="E17" s="367">
        <f t="shared" si="0"/>
        <v>-1.2663972593211503E-3</v>
      </c>
      <c r="F17" s="362">
        <f t="shared" si="1"/>
        <v>-3.005237680981061E-3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5229</v>
      </c>
      <c r="D18" s="369">
        <v>5200</v>
      </c>
      <c r="E18" s="369">
        <f t="shared" si="0"/>
        <v>-29</v>
      </c>
      <c r="F18" s="362">
        <f t="shared" si="1"/>
        <v>-5.5459934978007268E-3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608</v>
      </c>
      <c r="C19" s="372">
        <v>1.417</v>
      </c>
      <c r="D19" s="372">
        <v>1.4507000000000001</v>
      </c>
      <c r="E19" s="373">
        <f t="shared" si="0"/>
        <v>3.3700000000000063E-2</v>
      </c>
      <c r="F19" s="362">
        <f t="shared" si="1"/>
        <v>2.3782639378969697E-2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609</v>
      </c>
      <c r="C20" s="376">
        <f>C18*C19</f>
        <v>7409.4930000000004</v>
      </c>
      <c r="D20" s="376">
        <f>LN_IA4*LN_IA5</f>
        <v>7543.64</v>
      </c>
      <c r="E20" s="376">
        <f t="shared" si="0"/>
        <v>134.14699999999993</v>
      </c>
      <c r="F20" s="362">
        <f t="shared" si="1"/>
        <v>1.8104747517812613E-2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610</v>
      </c>
      <c r="C21" s="378">
        <f>IF(C20=0,0,C16/C20)</f>
        <v>6751.4241527726654</v>
      </c>
      <c r="D21" s="378">
        <f>IF(LN_IA6=0,0,LN_IA2/LN_IA6)</f>
        <v>6831.426340599498</v>
      </c>
      <c r="E21" s="378">
        <f t="shared" si="0"/>
        <v>80.002187826832596</v>
      </c>
      <c r="F21" s="362">
        <f t="shared" si="1"/>
        <v>1.1849675863421706E-2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25493</v>
      </c>
      <c r="D22" s="369">
        <v>25583</v>
      </c>
      <c r="E22" s="369">
        <f t="shared" si="0"/>
        <v>90</v>
      </c>
      <c r="F22" s="362">
        <f t="shared" si="1"/>
        <v>3.5303808888714548E-3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611</v>
      </c>
      <c r="C23" s="378">
        <f>IF(C22=0,0,C16/C22)</f>
        <v>1962.2888636096184</v>
      </c>
      <c r="D23" s="378">
        <f>IF(LN_IA8=0,0,LN_IA2/LN_IA8)</f>
        <v>2014.3775554078879</v>
      </c>
      <c r="E23" s="378">
        <f t="shared" si="0"/>
        <v>52.088691798269565</v>
      </c>
      <c r="F23" s="362">
        <f t="shared" si="1"/>
        <v>2.6544864400062249E-2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612</v>
      </c>
      <c r="C24" s="379">
        <f>IF(C18=0,0,C22/C18)</f>
        <v>4.8753107668770319</v>
      </c>
      <c r="D24" s="379">
        <f>IF(LN_IA4=0,0,LN_IA8/LN_IA4)</f>
        <v>4.9198076923076925</v>
      </c>
      <c r="E24" s="379">
        <f t="shared" si="0"/>
        <v>4.4496925430660639E-2</v>
      </c>
      <c r="F24" s="362">
        <f t="shared" si="1"/>
        <v>9.1269926284440629E-3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613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614</v>
      </c>
      <c r="C27" s="361">
        <v>106993930</v>
      </c>
      <c r="D27" s="361">
        <v>107995681</v>
      </c>
      <c r="E27" s="361">
        <f t="shared" ref="E27:E32" si="2">D27-C27</f>
        <v>1001751</v>
      </c>
      <c r="F27" s="362">
        <f t="shared" ref="F27:F32" si="3">IF(C27=0,0,E27/C27)</f>
        <v>9.3626900142839871E-3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615</v>
      </c>
      <c r="C28" s="361">
        <v>26944789</v>
      </c>
      <c r="D28" s="361">
        <v>27092973</v>
      </c>
      <c r="E28" s="361">
        <f t="shared" si="2"/>
        <v>148184</v>
      </c>
      <c r="F28" s="362">
        <f t="shared" si="3"/>
        <v>5.4995420450314157E-3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616</v>
      </c>
      <c r="C29" s="366">
        <f>IF(C27=0,0,C28/C27)</f>
        <v>0.25183474427007213</v>
      </c>
      <c r="D29" s="366">
        <f>IF(LN_IA11=0,0,LN_IA12/LN_IA11)</f>
        <v>0.25087089362397741</v>
      </c>
      <c r="E29" s="367">
        <f t="shared" si="2"/>
        <v>-9.638506460947216E-4</v>
      </c>
      <c r="F29" s="362">
        <f t="shared" si="3"/>
        <v>-3.8273140145470585E-3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617</v>
      </c>
      <c r="C30" s="366">
        <f>IF(C15=0,0,C27/C15)</f>
        <v>0.90129381580997447</v>
      </c>
      <c r="D30" s="366">
        <f>IF(LN_IA1=0,0,LN_IA11/LN_IA1)</f>
        <v>0.88043653495659935</v>
      </c>
      <c r="E30" s="367">
        <f t="shared" si="2"/>
        <v>-2.0857280853375126E-2</v>
      </c>
      <c r="F30" s="362">
        <f t="shared" si="3"/>
        <v>-2.3141488921269375E-2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618</v>
      </c>
      <c r="C31" s="376">
        <f>C30*C18</f>
        <v>4712.8653628703569</v>
      </c>
      <c r="D31" s="376">
        <f>LN_IA14*LN_IA4</f>
        <v>4578.2699817743169</v>
      </c>
      <c r="E31" s="376">
        <f t="shared" si="2"/>
        <v>-134.59538109604</v>
      </c>
      <c r="F31" s="362">
        <f t="shared" si="3"/>
        <v>-2.855913987198333E-2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619</v>
      </c>
      <c r="C32" s="378">
        <f>IF(C31=0,0,C28/C31)</f>
        <v>5717.2838444061463</v>
      </c>
      <c r="D32" s="378">
        <f>IF(LN_IA15=0,0,LN_IA12/LN_IA15)</f>
        <v>5917.7316121274416</v>
      </c>
      <c r="E32" s="378">
        <f t="shared" si="2"/>
        <v>200.44776772129535</v>
      </c>
      <c r="F32" s="362">
        <f t="shared" si="3"/>
        <v>3.5059964342581254E-2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620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621</v>
      </c>
      <c r="C35" s="361">
        <f>C15+C27</f>
        <v>225705418</v>
      </c>
      <c r="D35" s="361">
        <f>LN_IA1+LN_IA11</f>
        <v>230657198</v>
      </c>
      <c r="E35" s="361">
        <f>D35-C35</f>
        <v>4951780</v>
      </c>
      <c r="F35" s="362">
        <f>IF(C35=0,0,E35/C35)</f>
        <v>2.1939127752795017E-2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622</v>
      </c>
      <c r="C36" s="361">
        <f>C16+C28</f>
        <v>76969419</v>
      </c>
      <c r="D36" s="361">
        <f>LN_IA2+LN_IA12</f>
        <v>78626794</v>
      </c>
      <c r="E36" s="361">
        <f>D36-C36</f>
        <v>1657375</v>
      </c>
      <c r="F36" s="362">
        <f>IF(C36=0,0,E36/C36)</f>
        <v>2.153290256744695E-2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623</v>
      </c>
      <c r="C37" s="361">
        <f>C35-C36</f>
        <v>148735999</v>
      </c>
      <c r="D37" s="361">
        <f>LN_IA17-LN_IA18</f>
        <v>152030404</v>
      </c>
      <c r="E37" s="361">
        <f>D37-C37</f>
        <v>3294405</v>
      </c>
      <c r="F37" s="362">
        <f>IF(C37=0,0,E37/C37)</f>
        <v>2.2149345297368124E-2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624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625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605</v>
      </c>
      <c r="C42" s="361">
        <v>78155513</v>
      </c>
      <c r="D42" s="361">
        <v>80104999</v>
      </c>
      <c r="E42" s="361">
        <f t="shared" ref="E42:E53" si="4">D42-C42</f>
        <v>1949486</v>
      </c>
      <c r="F42" s="362">
        <f t="shared" ref="F42:F53" si="5">IF(C42=0,0,E42/C42)</f>
        <v>2.49436786372319E-2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606</v>
      </c>
      <c r="C43" s="361">
        <v>57243662</v>
      </c>
      <c r="D43" s="361">
        <v>60420640</v>
      </c>
      <c r="E43" s="361">
        <f t="shared" si="4"/>
        <v>3176978</v>
      </c>
      <c r="F43" s="362">
        <f t="shared" si="5"/>
        <v>5.5499209676697484E-2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607</v>
      </c>
      <c r="C44" s="366">
        <f>IF(C42=0,0,C43/C42)</f>
        <v>0.73243280995417437</v>
      </c>
      <c r="D44" s="366">
        <f>IF(LN_IB1=0,0,LN_IB2/LN_IB1)</f>
        <v>0.75426803263551634</v>
      </c>
      <c r="E44" s="367">
        <f t="shared" si="4"/>
        <v>2.183522268134197E-2</v>
      </c>
      <c r="F44" s="362">
        <f t="shared" si="5"/>
        <v>2.9811912279992098E-2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4440</v>
      </c>
      <c r="D45" s="369">
        <v>4178</v>
      </c>
      <c r="E45" s="369">
        <f t="shared" si="4"/>
        <v>-262</v>
      </c>
      <c r="F45" s="362">
        <f t="shared" si="5"/>
        <v>-5.900900900900901E-2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608</v>
      </c>
      <c r="C46" s="372">
        <v>1.216</v>
      </c>
      <c r="D46" s="372">
        <v>1.2574000000000001</v>
      </c>
      <c r="E46" s="373">
        <f t="shared" si="4"/>
        <v>4.1400000000000103E-2</v>
      </c>
      <c r="F46" s="362">
        <f t="shared" si="5"/>
        <v>3.4046052631579032E-2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609</v>
      </c>
      <c r="C47" s="376">
        <f>C45*C46</f>
        <v>5399.04</v>
      </c>
      <c r="D47" s="376">
        <f>LN_IB4*LN_IB5</f>
        <v>5253.4171999999999</v>
      </c>
      <c r="E47" s="376">
        <f t="shared" si="4"/>
        <v>-145.6228000000001</v>
      </c>
      <c r="F47" s="362">
        <f t="shared" si="5"/>
        <v>-2.6971980203888118E-2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610</v>
      </c>
      <c r="C48" s="378">
        <f>IF(C47=0,0,C43/C47)</f>
        <v>10602.563048245614</v>
      </c>
      <c r="D48" s="378">
        <f>IF(LN_IB6=0,0,LN_IB2/LN_IB6)</f>
        <v>11501.207252300464</v>
      </c>
      <c r="E48" s="378">
        <f t="shared" si="4"/>
        <v>898.64420405484998</v>
      </c>
      <c r="F48" s="362">
        <f t="shared" si="5"/>
        <v>8.4757261047699872E-2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626</v>
      </c>
      <c r="C49" s="378">
        <f>C21-C48</f>
        <v>-3851.1388954729491</v>
      </c>
      <c r="D49" s="378">
        <f>LN_IA7-LN_IB7</f>
        <v>-4669.7809117009665</v>
      </c>
      <c r="E49" s="378">
        <f t="shared" si="4"/>
        <v>-818.64201622801738</v>
      </c>
      <c r="F49" s="362">
        <f t="shared" si="5"/>
        <v>0.21257140769197885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627</v>
      </c>
      <c r="C50" s="391">
        <f>C49*C47</f>
        <v>-20792452.942214273</v>
      </c>
      <c r="D50" s="391">
        <f>LN_IB8*LN_IB6</f>
        <v>-24532307.361761536</v>
      </c>
      <c r="E50" s="391">
        <f t="shared" si="4"/>
        <v>-3739854.4195472635</v>
      </c>
      <c r="F50" s="362">
        <f t="shared" si="5"/>
        <v>0.17986595568790986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14787</v>
      </c>
      <c r="D51" s="369">
        <v>14019</v>
      </c>
      <c r="E51" s="369">
        <f t="shared" si="4"/>
        <v>-768</v>
      </c>
      <c r="F51" s="362">
        <f t="shared" si="5"/>
        <v>-5.1937512680056808E-2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611</v>
      </c>
      <c r="C52" s="378">
        <f>IF(C51=0,0,C43/C51)</f>
        <v>3871.215391898289</v>
      </c>
      <c r="D52" s="378">
        <f>IF(LN_IB10=0,0,LN_IB2/LN_IB10)</f>
        <v>4309.910835294957</v>
      </c>
      <c r="E52" s="378">
        <f t="shared" si="4"/>
        <v>438.695443396668</v>
      </c>
      <c r="F52" s="362">
        <f t="shared" si="5"/>
        <v>0.11332240626930069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612</v>
      </c>
      <c r="C53" s="379">
        <f>IF(C45=0,0,C51/C45)</f>
        <v>3.3304054054054055</v>
      </c>
      <c r="D53" s="379">
        <f>IF(LN_IB4=0,0,LN_IB10/LN_IB4)</f>
        <v>3.355433221637147</v>
      </c>
      <c r="E53" s="379">
        <f t="shared" si="4"/>
        <v>2.502781623174144E-2</v>
      </c>
      <c r="F53" s="362">
        <f t="shared" si="5"/>
        <v>7.5149458354589836E-3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628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614</v>
      </c>
      <c r="C56" s="361">
        <v>178390153</v>
      </c>
      <c r="D56" s="361">
        <v>178766277</v>
      </c>
      <c r="E56" s="361">
        <f t="shared" ref="E56:E63" si="6">D56-C56</f>
        <v>376124</v>
      </c>
      <c r="F56" s="362">
        <f t="shared" ref="F56:F63" si="7">IF(C56=0,0,E56/C56)</f>
        <v>2.108434763212519E-3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615</v>
      </c>
      <c r="C57" s="361">
        <v>98609680</v>
      </c>
      <c r="D57" s="361">
        <v>98487408</v>
      </c>
      <c r="E57" s="361">
        <f t="shared" si="6"/>
        <v>-122272</v>
      </c>
      <c r="F57" s="362">
        <f t="shared" si="7"/>
        <v>-1.2399594035798513E-3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616</v>
      </c>
      <c r="C58" s="366">
        <f>IF(C56=0,0,C57/C56)</f>
        <v>0.55277535414188472</v>
      </c>
      <c r="D58" s="366">
        <f>IF(LN_IB13=0,0,LN_IB14/LN_IB13)</f>
        <v>0.55092833868213298</v>
      </c>
      <c r="E58" s="367">
        <f t="shared" si="6"/>
        <v>-1.8470154597517441E-3</v>
      </c>
      <c r="F58" s="362">
        <f t="shared" si="7"/>
        <v>-3.3413491500882972E-3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617</v>
      </c>
      <c r="C59" s="366">
        <f>IF(C42=0,0,C56/C42)</f>
        <v>2.2825024896196382</v>
      </c>
      <c r="D59" s="366">
        <f>IF(LN_IB1=0,0,LN_IB13/LN_IB1)</f>
        <v>2.2316494504918474</v>
      </c>
      <c r="E59" s="367">
        <f t="shared" si="6"/>
        <v>-5.0853039127790822E-2</v>
      </c>
      <c r="F59" s="362">
        <f t="shared" si="7"/>
        <v>-2.2279510913596024E-2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618</v>
      </c>
      <c r="C60" s="376">
        <f>C59*C45</f>
        <v>10134.311053911193</v>
      </c>
      <c r="D60" s="376">
        <f>LN_IB16*LN_IB4</f>
        <v>9323.8314041549384</v>
      </c>
      <c r="E60" s="376">
        <f t="shared" si="6"/>
        <v>-810.47964975625473</v>
      </c>
      <c r="F60" s="362">
        <f t="shared" si="7"/>
        <v>-7.9973828062388286E-2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619</v>
      </c>
      <c r="C61" s="378">
        <f>IF(C60=0,0,C57/C60)</f>
        <v>9730.2795893503771</v>
      </c>
      <c r="D61" s="378">
        <f>IF(LN_IB17=0,0,LN_IB14/LN_IB17)</f>
        <v>10562.97606969936</v>
      </c>
      <c r="E61" s="378">
        <f t="shared" si="6"/>
        <v>832.69648034898273</v>
      </c>
      <c r="F61" s="362">
        <f t="shared" si="7"/>
        <v>8.5577857522239606E-2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629</v>
      </c>
      <c r="C62" s="378">
        <f>C32-C61</f>
        <v>-4012.9957449442309</v>
      </c>
      <c r="D62" s="378">
        <f>LN_IA16-LN_IB18</f>
        <v>-4645.2444575719182</v>
      </c>
      <c r="E62" s="378">
        <f t="shared" si="6"/>
        <v>-632.24871262768738</v>
      </c>
      <c r="F62" s="362">
        <f t="shared" si="7"/>
        <v>0.15755030725468008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630</v>
      </c>
      <c r="C63" s="361">
        <f>C62*C60</f>
        <v>-40668947.137286901</v>
      </c>
      <c r="D63" s="361">
        <f>LN_IB19*LN_IB17</f>
        <v>-43311476.153485723</v>
      </c>
      <c r="E63" s="361">
        <f t="shared" si="6"/>
        <v>-2642529.0161988214</v>
      </c>
      <c r="F63" s="362">
        <f t="shared" si="7"/>
        <v>6.4976578008729566E-2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631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621</v>
      </c>
      <c r="C66" s="361">
        <f>C42+C56</f>
        <v>256545666</v>
      </c>
      <c r="D66" s="361">
        <f>LN_IB1+LN_IB13</f>
        <v>258871276</v>
      </c>
      <c r="E66" s="361">
        <f>D66-C66</f>
        <v>2325610</v>
      </c>
      <c r="F66" s="362">
        <f>IF(C66=0,0,E66/C66)</f>
        <v>9.0650917486167944E-3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622</v>
      </c>
      <c r="C67" s="361">
        <f>C43+C57</f>
        <v>155853342</v>
      </c>
      <c r="D67" s="361">
        <f>LN_IB2+LN_IB14</f>
        <v>158908048</v>
      </c>
      <c r="E67" s="361">
        <f>D67-C67</f>
        <v>3054706</v>
      </c>
      <c r="F67" s="362">
        <f>IF(C67=0,0,E67/C67)</f>
        <v>1.9599874861842871E-2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623</v>
      </c>
      <c r="C68" s="361">
        <f>C66-C67</f>
        <v>100692324</v>
      </c>
      <c r="D68" s="361">
        <f>LN_IB21-LN_IB22</f>
        <v>99963228</v>
      </c>
      <c r="E68" s="361">
        <f>D68-C68</f>
        <v>-729096</v>
      </c>
      <c r="F68" s="362">
        <f>IF(C68=0,0,E68/C68)</f>
        <v>-7.2408299961375404E-3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632</v>
      </c>
      <c r="C70" s="353">
        <f>C50+C63</f>
        <v>-61461400.079501174</v>
      </c>
      <c r="D70" s="353">
        <f>LN_IB9+LN_IB20</f>
        <v>-67843783.515247256</v>
      </c>
      <c r="E70" s="361">
        <f>D70-C70</f>
        <v>-6382383.4357460812</v>
      </c>
      <c r="F70" s="362">
        <f>IF(C70=0,0,E70/C70)</f>
        <v>0.10384376905651969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633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634</v>
      </c>
      <c r="C73" s="400">
        <v>224385117</v>
      </c>
      <c r="D73" s="400">
        <v>231352289</v>
      </c>
      <c r="E73" s="400">
        <f>D73-C73</f>
        <v>6967172</v>
      </c>
      <c r="F73" s="401">
        <f>IF(C73=0,0,E73/C73)</f>
        <v>3.1050062914823356E-2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635</v>
      </c>
      <c r="C74" s="400">
        <v>150780057</v>
      </c>
      <c r="D74" s="400">
        <v>154670107</v>
      </c>
      <c r="E74" s="400">
        <f>D74-C74</f>
        <v>3890050</v>
      </c>
      <c r="F74" s="401">
        <f>IF(C74=0,0,E74/C74)</f>
        <v>2.5799499465635565E-2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636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637</v>
      </c>
      <c r="C76" s="353">
        <f>C73-C74</f>
        <v>73605060</v>
      </c>
      <c r="D76" s="353">
        <f>LN_IB32-LN_IB33</f>
        <v>76682182</v>
      </c>
      <c r="E76" s="400">
        <f>D76-C76</f>
        <v>3077122</v>
      </c>
      <c r="F76" s="401">
        <f>IF(C76=0,0,E76/C76)</f>
        <v>4.180584867399062E-2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638</v>
      </c>
      <c r="C77" s="366">
        <f>IF(C73=0,0,C76/C73)</f>
        <v>0.32803004488038306</v>
      </c>
      <c r="D77" s="366">
        <f>IF(LN_IB1=0,0,LN_IB34/LN_IB32)</f>
        <v>0.3314520134270208</v>
      </c>
      <c r="E77" s="405">
        <f>D77-C77</f>
        <v>3.4219685466377325E-3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639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640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605</v>
      </c>
      <c r="C83" s="361">
        <v>3827835</v>
      </c>
      <c r="D83" s="361">
        <v>3268265</v>
      </c>
      <c r="E83" s="361">
        <f t="shared" ref="E83:E95" si="8">D83-C83</f>
        <v>-559570</v>
      </c>
      <c r="F83" s="362">
        <f t="shared" ref="F83:F95" si="9">IF(C83=0,0,E83/C83)</f>
        <v>-0.14618446197393567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606</v>
      </c>
      <c r="C84" s="361">
        <v>928196</v>
      </c>
      <c r="D84" s="361">
        <v>702521</v>
      </c>
      <c r="E84" s="361">
        <f t="shared" si="8"/>
        <v>-225675</v>
      </c>
      <c r="F84" s="362">
        <f t="shared" si="9"/>
        <v>-0.24313291589276403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607</v>
      </c>
      <c r="C85" s="366">
        <f>IF(C83=0,0,C84/C83)</f>
        <v>0.24248589607441282</v>
      </c>
      <c r="D85" s="366">
        <f>IF(LN_IC1=0,0,LN_IC2/LN_IC1)</f>
        <v>0.2149522759017399</v>
      </c>
      <c r="E85" s="367">
        <f t="shared" si="8"/>
        <v>-2.7533620172672912E-2</v>
      </c>
      <c r="F85" s="362">
        <f t="shared" si="9"/>
        <v>-0.11354730571308584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176</v>
      </c>
      <c r="D86" s="369">
        <v>172</v>
      </c>
      <c r="E86" s="369">
        <f t="shared" si="8"/>
        <v>-4</v>
      </c>
      <c r="F86" s="362">
        <f t="shared" si="9"/>
        <v>-2.2727272727272728E-2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608</v>
      </c>
      <c r="C87" s="372">
        <v>1.0119</v>
      </c>
      <c r="D87" s="372">
        <v>1.0202</v>
      </c>
      <c r="E87" s="373">
        <f t="shared" si="8"/>
        <v>8.2999999999999741E-3</v>
      </c>
      <c r="F87" s="362">
        <f t="shared" si="9"/>
        <v>8.2023915406660482E-3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609</v>
      </c>
      <c r="C88" s="376">
        <f>C86*C87</f>
        <v>178.09440000000001</v>
      </c>
      <c r="D88" s="376">
        <f>LN_IC4*LN_IC5</f>
        <v>175.4744</v>
      </c>
      <c r="E88" s="376">
        <f t="shared" si="8"/>
        <v>-2.6200000000000045</v>
      </c>
      <c r="F88" s="362">
        <f t="shared" si="9"/>
        <v>-1.4711299176167271E-2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610</v>
      </c>
      <c r="C89" s="378">
        <f>IF(C88=0,0,C84/C88)</f>
        <v>5211.8202481380658</v>
      </c>
      <c r="D89" s="378">
        <f>IF(LN_IC6=0,0,LN_IC2/LN_IC6)</f>
        <v>4003.5526549741726</v>
      </c>
      <c r="E89" s="378">
        <f t="shared" si="8"/>
        <v>-1208.2675931638933</v>
      </c>
      <c r="F89" s="362">
        <f t="shared" si="9"/>
        <v>-0.23183216911510895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641</v>
      </c>
      <c r="C90" s="378">
        <f>C48-C89</f>
        <v>5390.7428001075486</v>
      </c>
      <c r="D90" s="378">
        <f>LN_IB7-LN_IC7</f>
        <v>7497.6545973262919</v>
      </c>
      <c r="E90" s="378">
        <f t="shared" si="8"/>
        <v>2106.9117972187432</v>
      </c>
      <c r="F90" s="362">
        <f t="shared" si="9"/>
        <v>0.39083886494764858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642</v>
      </c>
      <c r="C91" s="378">
        <f>C21-C89</f>
        <v>1539.6039046345995</v>
      </c>
      <c r="D91" s="378">
        <f>LN_IA7-LN_IC7</f>
        <v>2827.8736856253254</v>
      </c>
      <c r="E91" s="378">
        <f t="shared" si="8"/>
        <v>1288.2697809907258</v>
      </c>
      <c r="F91" s="362">
        <f t="shared" si="9"/>
        <v>0.83675403596516351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627</v>
      </c>
      <c r="C92" s="353">
        <f>C91*C88</f>
        <v>274194.83363355621</v>
      </c>
      <c r="D92" s="353">
        <f>LN_IC9*LN_IC6</f>
        <v>496219.43826089258</v>
      </c>
      <c r="E92" s="353">
        <f t="shared" si="8"/>
        <v>222024.60462733638</v>
      </c>
      <c r="F92" s="362">
        <f t="shared" si="9"/>
        <v>0.8097329978290474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878</v>
      </c>
      <c r="D93" s="369">
        <v>697</v>
      </c>
      <c r="E93" s="369">
        <f t="shared" si="8"/>
        <v>-181</v>
      </c>
      <c r="F93" s="362">
        <f t="shared" si="9"/>
        <v>-0.20615034168564919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611</v>
      </c>
      <c r="C94" s="411">
        <f>IF(C93=0,0,C84/C93)</f>
        <v>1057.1708428246013</v>
      </c>
      <c r="D94" s="411">
        <f>IF(LN_IC11=0,0,LN_IC2/LN_IC11)</f>
        <v>1007.9210903873744</v>
      </c>
      <c r="E94" s="411">
        <f t="shared" si="8"/>
        <v>-49.249752437226903</v>
      </c>
      <c r="F94" s="362">
        <f t="shared" si="9"/>
        <v>-4.6586370378546363E-2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612</v>
      </c>
      <c r="C95" s="379">
        <f>IF(C86=0,0,C93/C86)</f>
        <v>4.9886363636363633</v>
      </c>
      <c r="D95" s="379">
        <f>IF(LN_IC4=0,0,LN_IC11/LN_IC4)</f>
        <v>4.0523255813953485</v>
      </c>
      <c r="E95" s="379">
        <f t="shared" si="8"/>
        <v>-0.93631078224101483</v>
      </c>
      <c r="F95" s="362">
        <f t="shared" si="9"/>
        <v>-0.18768872172485038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643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614</v>
      </c>
      <c r="C98" s="361">
        <v>10114453</v>
      </c>
      <c r="D98" s="361">
        <v>10017380</v>
      </c>
      <c r="E98" s="361">
        <f t="shared" ref="E98:E106" si="10">D98-C98</f>
        <v>-97073</v>
      </c>
      <c r="F98" s="362">
        <f t="shared" ref="F98:F106" si="11">IF(C98=0,0,E98/C98)</f>
        <v>-9.5974542567947071E-3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615</v>
      </c>
      <c r="C99" s="361">
        <v>2171511</v>
      </c>
      <c r="D99" s="361">
        <v>2365301</v>
      </c>
      <c r="E99" s="361">
        <f t="shared" si="10"/>
        <v>193790</v>
      </c>
      <c r="F99" s="362">
        <f t="shared" si="11"/>
        <v>8.9242007063284501E-2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616</v>
      </c>
      <c r="C100" s="366">
        <f>IF(C98=0,0,C99/C98)</f>
        <v>0.21469386431475829</v>
      </c>
      <c r="D100" s="366">
        <f>IF(LN_IC14=0,0,LN_IC15/LN_IC14)</f>
        <v>0.23611972391982733</v>
      </c>
      <c r="E100" s="367">
        <f t="shared" si="10"/>
        <v>2.1425859605069042E-2</v>
      </c>
      <c r="F100" s="362">
        <f t="shared" si="11"/>
        <v>9.9797260967164986E-2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617</v>
      </c>
      <c r="C101" s="366">
        <f>IF(C83=0,0,C98/C83)</f>
        <v>2.6423429954530433</v>
      </c>
      <c r="D101" s="366">
        <f>IF(LN_IC1=0,0,LN_IC14/LN_IC1)</f>
        <v>3.0650452151217848</v>
      </c>
      <c r="E101" s="367">
        <f t="shared" si="10"/>
        <v>0.42270221966874155</v>
      </c>
      <c r="F101" s="362">
        <f t="shared" si="11"/>
        <v>0.15997250182740455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618</v>
      </c>
      <c r="C102" s="376">
        <f>C101*C86</f>
        <v>465.05236719973561</v>
      </c>
      <c r="D102" s="376">
        <f>LN_IC17*LN_IC4</f>
        <v>527.18777700094699</v>
      </c>
      <c r="E102" s="376">
        <f t="shared" si="10"/>
        <v>62.135409801211381</v>
      </c>
      <c r="F102" s="362">
        <f t="shared" si="11"/>
        <v>0.13360949042223627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619</v>
      </c>
      <c r="C103" s="378">
        <f>IF(C102=0,0,C99/C102)</f>
        <v>4669.3902733481982</v>
      </c>
      <c r="D103" s="378">
        <f>IF(LN_IC18=0,0,LN_IC15/LN_IC18)</f>
        <v>4486.6385435862467</v>
      </c>
      <c r="E103" s="378">
        <f t="shared" si="10"/>
        <v>-182.75172976195154</v>
      </c>
      <c r="F103" s="362">
        <f t="shared" si="11"/>
        <v>-3.9138242696280114E-2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644</v>
      </c>
      <c r="C104" s="378">
        <f>C61-C103</f>
        <v>5060.8893160021789</v>
      </c>
      <c r="D104" s="378">
        <f>LN_IB18-LN_IC19</f>
        <v>6076.3375261131132</v>
      </c>
      <c r="E104" s="378">
        <f t="shared" si="10"/>
        <v>1015.4482101109343</v>
      </c>
      <c r="F104" s="362">
        <f t="shared" si="11"/>
        <v>0.20064620004633532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645</v>
      </c>
      <c r="C105" s="378">
        <f>C32-C103</f>
        <v>1047.8935710579481</v>
      </c>
      <c r="D105" s="378">
        <f>LN_IA16-LN_IC19</f>
        <v>1431.093068541195</v>
      </c>
      <c r="E105" s="378">
        <f t="shared" si="10"/>
        <v>383.19949748324689</v>
      </c>
      <c r="F105" s="362">
        <f t="shared" si="11"/>
        <v>0.36568551240978664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630</v>
      </c>
      <c r="C106" s="361">
        <f>C105*C102</f>
        <v>487325.38579388312</v>
      </c>
      <c r="D106" s="361">
        <f>LN_IC21*LN_IC18</f>
        <v>754454.77348569641</v>
      </c>
      <c r="E106" s="361">
        <f t="shared" si="10"/>
        <v>267129.38769181329</v>
      </c>
      <c r="F106" s="362">
        <f t="shared" si="11"/>
        <v>0.54815405779988879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646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621</v>
      </c>
      <c r="C109" s="361">
        <f>C83+C98</f>
        <v>13942288</v>
      </c>
      <c r="D109" s="361">
        <f>LN_IC1+LN_IC14</f>
        <v>13285645</v>
      </c>
      <c r="E109" s="361">
        <f>D109-C109</f>
        <v>-656643</v>
      </c>
      <c r="F109" s="362">
        <f>IF(C109=0,0,E109/C109)</f>
        <v>-4.7097219624210887E-2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622</v>
      </c>
      <c r="C110" s="361">
        <f>C84+C99</f>
        <v>3099707</v>
      </c>
      <c r="D110" s="361">
        <f>LN_IC2+LN_IC15</f>
        <v>3067822</v>
      </c>
      <c r="E110" s="361">
        <f>D110-C110</f>
        <v>-31885</v>
      </c>
      <c r="F110" s="362">
        <f>IF(C110=0,0,E110/C110)</f>
        <v>-1.0286456106980434E-2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623</v>
      </c>
      <c r="C111" s="361">
        <f>C109-C110</f>
        <v>10842581</v>
      </c>
      <c r="D111" s="361">
        <f>LN_IC23-LN_IC24</f>
        <v>10217823</v>
      </c>
      <c r="E111" s="361">
        <f>D111-C111</f>
        <v>-624758</v>
      </c>
      <c r="F111" s="362">
        <f>IF(C111=0,0,E111/C111)</f>
        <v>-5.7620782358001291E-2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632</v>
      </c>
      <c r="C113" s="361">
        <f>C92+C106</f>
        <v>761520.21942743938</v>
      </c>
      <c r="D113" s="361">
        <f>LN_IC10+LN_IC22</f>
        <v>1250674.211746589</v>
      </c>
      <c r="E113" s="361">
        <f>D113-C113</f>
        <v>489153.99231914966</v>
      </c>
      <c r="F113" s="362">
        <f>IF(C113=0,0,E113/C113)</f>
        <v>0.64233881102582879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319</v>
      </c>
      <c r="B115" s="356" t="s">
        <v>647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648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605</v>
      </c>
      <c r="C118" s="361">
        <v>25029572</v>
      </c>
      <c r="D118" s="361">
        <v>37204651</v>
      </c>
      <c r="E118" s="361">
        <f t="shared" ref="E118:E130" si="12">D118-C118</f>
        <v>12175079</v>
      </c>
      <c r="F118" s="362">
        <f t="shared" ref="F118:F130" si="13">IF(C118=0,0,E118/C118)</f>
        <v>0.48642777431431911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606</v>
      </c>
      <c r="C119" s="361">
        <v>6568500</v>
      </c>
      <c r="D119" s="361">
        <v>10926316</v>
      </c>
      <c r="E119" s="361">
        <f t="shared" si="12"/>
        <v>4357816</v>
      </c>
      <c r="F119" s="362">
        <f t="shared" si="13"/>
        <v>0.66344157722463271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607</v>
      </c>
      <c r="C120" s="366">
        <f>IF(C118=0,0,C119/C118)</f>
        <v>0.26242957730160149</v>
      </c>
      <c r="D120" s="366">
        <f>IF(LN_ID1=0,0,LN_1D2/LN_ID1)</f>
        <v>0.29368145396660217</v>
      </c>
      <c r="E120" s="367">
        <f t="shared" si="12"/>
        <v>3.1251876665000677E-2</v>
      </c>
      <c r="F120" s="362">
        <f t="shared" si="13"/>
        <v>0.11908671646825825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1891</v>
      </c>
      <c r="D121" s="369">
        <v>2318</v>
      </c>
      <c r="E121" s="369">
        <f t="shared" si="12"/>
        <v>427</v>
      </c>
      <c r="F121" s="362">
        <f t="shared" si="13"/>
        <v>0.22580645161290322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608</v>
      </c>
      <c r="C122" s="372">
        <v>0.88619999999999999</v>
      </c>
      <c r="D122" s="372">
        <v>0.99650000000000005</v>
      </c>
      <c r="E122" s="373">
        <f t="shared" si="12"/>
        <v>0.11030000000000006</v>
      </c>
      <c r="F122" s="362">
        <f t="shared" si="13"/>
        <v>0.12446400361092312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609</v>
      </c>
      <c r="C123" s="376">
        <f>C121*C122</f>
        <v>1675.8042</v>
      </c>
      <c r="D123" s="376">
        <f>LN_ID4*LN_ID5</f>
        <v>2309.8870000000002</v>
      </c>
      <c r="E123" s="376">
        <f t="shared" si="12"/>
        <v>634.08280000000013</v>
      </c>
      <c r="F123" s="362">
        <f t="shared" si="13"/>
        <v>0.37837523023274444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610</v>
      </c>
      <c r="C124" s="378">
        <f>IF(C123=0,0,C119/C123)</f>
        <v>3919.6106561852512</v>
      </c>
      <c r="D124" s="378">
        <f>IF(LN_ID6=0,0,LN_1D2/LN_ID6)</f>
        <v>4730.2383190173368</v>
      </c>
      <c r="E124" s="378">
        <f t="shared" si="12"/>
        <v>810.62766283208566</v>
      </c>
      <c r="F124" s="362">
        <f t="shared" si="13"/>
        <v>0.20681331232552227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649</v>
      </c>
      <c r="C125" s="378">
        <f>C48-C124</f>
        <v>6682.9523920603633</v>
      </c>
      <c r="D125" s="378">
        <f>LN_IB7-LN_ID7</f>
        <v>6770.9689332831276</v>
      </c>
      <c r="E125" s="378">
        <f t="shared" si="12"/>
        <v>88.016541222764317</v>
      </c>
      <c r="F125" s="362">
        <f t="shared" si="13"/>
        <v>1.3170307980546409E-2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650</v>
      </c>
      <c r="C126" s="378">
        <f>C21-C124</f>
        <v>2831.8134965874142</v>
      </c>
      <c r="D126" s="378">
        <f>LN_IA7-LN_ID7</f>
        <v>2101.1880215821611</v>
      </c>
      <c r="E126" s="378">
        <f t="shared" si="12"/>
        <v>-730.62547500525307</v>
      </c>
      <c r="F126" s="362">
        <f t="shared" si="13"/>
        <v>-0.25800621258628842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627</v>
      </c>
      <c r="C127" s="391">
        <f>C126*C123</f>
        <v>4745564.9511978747</v>
      </c>
      <c r="D127" s="391">
        <f>LN_ID9*LN_ID6</f>
        <v>4853506.8956083534</v>
      </c>
      <c r="E127" s="391">
        <f t="shared" si="12"/>
        <v>107941.9444104787</v>
      </c>
      <c r="F127" s="362">
        <f t="shared" si="13"/>
        <v>2.2745857557640636E-2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6660</v>
      </c>
      <c r="D128" s="369">
        <v>9069</v>
      </c>
      <c r="E128" s="369">
        <f t="shared" si="12"/>
        <v>2409</v>
      </c>
      <c r="F128" s="362">
        <f t="shared" si="13"/>
        <v>0.36171171171171174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611</v>
      </c>
      <c r="C129" s="378">
        <f>IF(C128=0,0,C119/C128)</f>
        <v>986.26126126126121</v>
      </c>
      <c r="D129" s="378">
        <f>IF(LN_ID11=0,0,LN_1D2/LN_ID11)</f>
        <v>1204.7983239607454</v>
      </c>
      <c r="E129" s="378">
        <f t="shared" si="12"/>
        <v>218.53706269948418</v>
      </c>
      <c r="F129" s="362">
        <f t="shared" si="13"/>
        <v>0.2215813104329093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612</v>
      </c>
      <c r="C130" s="379">
        <f>IF(C121=0,0,C128/C121)</f>
        <v>3.521946060285563</v>
      </c>
      <c r="D130" s="379">
        <f>IF(LN_ID4=0,0,LN_ID11/LN_ID4)</f>
        <v>3.9124245038826575</v>
      </c>
      <c r="E130" s="379">
        <f t="shared" si="12"/>
        <v>0.39047844359709449</v>
      </c>
      <c r="F130" s="362">
        <f t="shared" si="13"/>
        <v>0.11087008060692279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651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614</v>
      </c>
      <c r="C133" s="361">
        <v>48966375</v>
      </c>
      <c r="D133" s="361">
        <v>65160639</v>
      </c>
      <c r="E133" s="361">
        <f t="shared" ref="E133:E141" si="14">D133-C133</f>
        <v>16194264</v>
      </c>
      <c r="F133" s="362">
        <f t="shared" ref="F133:F141" si="15">IF(C133=0,0,E133/C133)</f>
        <v>0.33072213330065786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615</v>
      </c>
      <c r="C134" s="361">
        <v>13349593</v>
      </c>
      <c r="D134" s="361">
        <v>15532626</v>
      </c>
      <c r="E134" s="361">
        <f t="shared" si="14"/>
        <v>2183033</v>
      </c>
      <c r="F134" s="362">
        <f t="shared" si="15"/>
        <v>0.16352805662314948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616</v>
      </c>
      <c r="C135" s="366">
        <f>IF(C133=0,0,C134/C133)</f>
        <v>0.27262775731305411</v>
      </c>
      <c r="D135" s="366">
        <f>IF(LN_ID14=0,0,LN_ID15/LN_ID14)</f>
        <v>0.23837436584991131</v>
      </c>
      <c r="E135" s="367">
        <f t="shared" si="14"/>
        <v>-3.4253391463142796E-2</v>
      </c>
      <c r="F135" s="362">
        <f t="shared" si="15"/>
        <v>-0.12564161404816229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617</v>
      </c>
      <c r="C136" s="366">
        <f>IF(C118=0,0,C133/C118)</f>
        <v>1.9563408834957305</v>
      </c>
      <c r="D136" s="366">
        <f>IF(LN_ID1=0,0,LN_ID14/LN_ID1)</f>
        <v>1.7514111071758205</v>
      </c>
      <c r="E136" s="367">
        <f t="shared" si="14"/>
        <v>-0.20492977631991005</v>
      </c>
      <c r="F136" s="362">
        <f t="shared" si="15"/>
        <v>-0.10475156862935195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618</v>
      </c>
      <c r="C137" s="376">
        <f>C136*C121</f>
        <v>3699.4406106904266</v>
      </c>
      <c r="D137" s="376">
        <f>LN_ID17*LN_ID4</f>
        <v>4059.7709464335521</v>
      </c>
      <c r="E137" s="376">
        <f t="shared" si="14"/>
        <v>360.33033574312549</v>
      </c>
      <c r="F137" s="362">
        <f t="shared" si="15"/>
        <v>9.7401302970471809E-2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619</v>
      </c>
      <c r="C138" s="378">
        <f>IF(C137=0,0,C134/C137)</f>
        <v>3608.5436704736194</v>
      </c>
      <c r="D138" s="378">
        <f>IF(LN_ID18=0,0,LN_ID15/LN_ID18)</f>
        <v>3825.985801894853</v>
      </c>
      <c r="E138" s="378">
        <f t="shared" si="14"/>
        <v>217.44213142123363</v>
      </c>
      <c r="F138" s="362">
        <f t="shared" si="15"/>
        <v>6.0257586239130773E-2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652</v>
      </c>
      <c r="C139" s="378">
        <f>C61-C138</f>
        <v>6121.7359188767578</v>
      </c>
      <c r="D139" s="378">
        <f>LN_IB18-LN_ID19</f>
        <v>6736.9902678045073</v>
      </c>
      <c r="E139" s="378">
        <f t="shared" si="14"/>
        <v>615.25434892774956</v>
      </c>
      <c r="F139" s="362">
        <f t="shared" si="15"/>
        <v>0.10050324892822869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653</v>
      </c>
      <c r="C140" s="378">
        <f>C32-C138</f>
        <v>2108.7401739325269</v>
      </c>
      <c r="D140" s="378">
        <f>LN_IA16-LN_ID19</f>
        <v>2091.7458102325886</v>
      </c>
      <c r="E140" s="378">
        <f t="shared" si="14"/>
        <v>-16.994363699938276</v>
      </c>
      <c r="F140" s="362">
        <f t="shared" si="15"/>
        <v>-8.0590126322893502E-3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630</v>
      </c>
      <c r="C141" s="353">
        <f>C140*C137</f>
        <v>7801159.0368403839</v>
      </c>
      <c r="D141" s="353">
        <f>LN_ID21*LN_ID18</f>
        <v>8492008.8677063733</v>
      </c>
      <c r="E141" s="353">
        <f t="shared" si="14"/>
        <v>690849.83086598944</v>
      </c>
      <c r="F141" s="362">
        <f t="shared" si="15"/>
        <v>8.8557332007141928E-2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654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621</v>
      </c>
      <c r="C144" s="361">
        <f>C118+C133</f>
        <v>73995947</v>
      </c>
      <c r="D144" s="361">
        <f>LN_ID1+LN_ID14</f>
        <v>102365290</v>
      </c>
      <c r="E144" s="361">
        <f>D144-C144</f>
        <v>28369343</v>
      </c>
      <c r="F144" s="362">
        <f>IF(C144=0,0,E144/C144)</f>
        <v>0.38339049840121647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622</v>
      </c>
      <c r="C145" s="361">
        <f>C119+C134</f>
        <v>19918093</v>
      </c>
      <c r="D145" s="361">
        <f>LN_1D2+LN_ID15</f>
        <v>26458942</v>
      </c>
      <c r="E145" s="361">
        <f>D145-C145</f>
        <v>6540849</v>
      </c>
      <c r="F145" s="362">
        <f>IF(C145=0,0,E145/C145)</f>
        <v>0.32838731097399737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623</v>
      </c>
      <c r="C146" s="361">
        <f>C144-C145</f>
        <v>54077854</v>
      </c>
      <c r="D146" s="361">
        <f>LN_ID23-LN_ID24</f>
        <v>75906348</v>
      </c>
      <c r="E146" s="361">
        <f>D146-C146</f>
        <v>21828494</v>
      </c>
      <c r="F146" s="362">
        <f>IF(C146=0,0,E146/C146)</f>
        <v>0.40364941256729603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632</v>
      </c>
      <c r="C148" s="361">
        <f>C127+C141</f>
        <v>12546723.988038259</v>
      </c>
      <c r="D148" s="361">
        <f>LN_ID10+LN_ID22</f>
        <v>13345515.763314728</v>
      </c>
      <c r="E148" s="361">
        <f>D148-C148</f>
        <v>798791.77527646907</v>
      </c>
      <c r="F148" s="415">
        <f>IF(C148=0,0,E148/C148)</f>
        <v>6.3665366038020574E-2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340</v>
      </c>
      <c r="B150" s="356" t="s">
        <v>655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656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605</v>
      </c>
      <c r="C153" s="361">
        <v>8170373</v>
      </c>
      <c r="D153" s="361">
        <v>1325716</v>
      </c>
      <c r="E153" s="361">
        <f t="shared" ref="E153:E165" si="16">D153-C153</f>
        <v>-6844657</v>
      </c>
      <c r="F153" s="362">
        <f t="shared" ref="F153:F165" si="17">IF(C153=0,0,E153/C153)</f>
        <v>-0.83774106763546785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606</v>
      </c>
      <c r="C154" s="361">
        <v>1085775</v>
      </c>
      <c r="D154" s="361">
        <v>284954</v>
      </c>
      <c r="E154" s="361">
        <f t="shared" si="16"/>
        <v>-800821</v>
      </c>
      <c r="F154" s="362">
        <f t="shared" si="17"/>
        <v>-0.73755704450737947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607</v>
      </c>
      <c r="C155" s="366">
        <f>IF(C153=0,0,C154/C153)</f>
        <v>0.13289172966766633</v>
      </c>
      <c r="D155" s="366">
        <f>IF(LN_IE1=0,0,LN_IE2/LN_IE1)</f>
        <v>0.21494347205585509</v>
      </c>
      <c r="E155" s="367">
        <f t="shared" si="16"/>
        <v>8.205174238818877E-2</v>
      </c>
      <c r="F155" s="362">
        <f t="shared" si="17"/>
        <v>0.61743302305856473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398</v>
      </c>
      <c r="D156" s="419">
        <v>66</v>
      </c>
      <c r="E156" s="419">
        <f t="shared" si="16"/>
        <v>-332</v>
      </c>
      <c r="F156" s="362">
        <f t="shared" si="17"/>
        <v>-0.83417085427135673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608</v>
      </c>
      <c r="C157" s="372">
        <v>1.1617</v>
      </c>
      <c r="D157" s="372">
        <v>1.1697</v>
      </c>
      <c r="E157" s="373">
        <f t="shared" si="16"/>
        <v>8.0000000000000071E-3</v>
      </c>
      <c r="F157" s="362">
        <f t="shared" si="17"/>
        <v>6.8864594990100782E-3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609</v>
      </c>
      <c r="C158" s="376">
        <f>C156*C157</f>
        <v>462.35659999999996</v>
      </c>
      <c r="D158" s="376">
        <f>LN_IE4*LN_IE5</f>
        <v>77.200199999999995</v>
      </c>
      <c r="E158" s="376">
        <f t="shared" si="16"/>
        <v>-385.15639999999996</v>
      </c>
      <c r="F158" s="362">
        <f t="shared" si="17"/>
        <v>-0.83302887857554109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610</v>
      </c>
      <c r="C159" s="378">
        <f>IF(C158=0,0,C154/C158)</f>
        <v>2348.3497369779088</v>
      </c>
      <c r="D159" s="378">
        <f>IF(LN_IE6=0,0,LN_IE2/LN_IE6)</f>
        <v>3691.1044271906035</v>
      </c>
      <c r="E159" s="378">
        <f t="shared" si="16"/>
        <v>1342.7546902126946</v>
      </c>
      <c r="F159" s="362">
        <f t="shared" si="17"/>
        <v>0.57178650567640132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657</v>
      </c>
      <c r="C160" s="378">
        <f>C48-C159</f>
        <v>8254.2133112677056</v>
      </c>
      <c r="D160" s="378">
        <f>LN_IB7-LN_IE7</f>
        <v>7810.1028251098614</v>
      </c>
      <c r="E160" s="378">
        <f t="shared" si="16"/>
        <v>-444.11048615784421</v>
      </c>
      <c r="F160" s="362">
        <f t="shared" si="17"/>
        <v>-5.380409609133744E-2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658</v>
      </c>
      <c r="C161" s="378">
        <f>C21-C159</f>
        <v>4403.0744157947565</v>
      </c>
      <c r="D161" s="378">
        <f>LN_IA7-LN_IE7</f>
        <v>3140.3219134088945</v>
      </c>
      <c r="E161" s="378">
        <f t="shared" si="16"/>
        <v>-1262.752502385862</v>
      </c>
      <c r="F161" s="362">
        <f t="shared" si="17"/>
        <v>-0.28678881689033064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627</v>
      </c>
      <c r="C162" s="391">
        <f>C161*C158</f>
        <v>2035790.5164338497</v>
      </c>
      <c r="D162" s="391">
        <f>LN_IE9*LN_IE6</f>
        <v>242433.47977954932</v>
      </c>
      <c r="E162" s="391">
        <f t="shared" si="16"/>
        <v>-1793357.0366543003</v>
      </c>
      <c r="F162" s="362">
        <f t="shared" si="17"/>
        <v>-0.88091432894371335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1607</v>
      </c>
      <c r="D163" s="369">
        <v>366</v>
      </c>
      <c r="E163" s="419">
        <f t="shared" si="16"/>
        <v>-1241</v>
      </c>
      <c r="F163" s="362">
        <f t="shared" si="17"/>
        <v>-0.77224642190416926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611</v>
      </c>
      <c r="C164" s="378">
        <f>IF(C163=0,0,C154/C163)</f>
        <v>675.65339141257004</v>
      </c>
      <c r="D164" s="378">
        <f>IF(LN_IE11=0,0,LN_IE2/LN_IE11)</f>
        <v>778.5628415300547</v>
      </c>
      <c r="E164" s="378">
        <f t="shared" si="16"/>
        <v>102.90945011748465</v>
      </c>
      <c r="F164" s="362">
        <f t="shared" si="17"/>
        <v>0.15231100949901943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612</v>
      </c>
      <c r="C165" s="379">
        <f>IF(C156=0,0,C163/C156)</f>
        <v>4.0376884422110555</v>
      </c>
      <c r="D165" s="379">
        <f>IF(LN_IE4=0,0,LN_IE11/LN_IE4)</f>
        <v>5.5454545454545459</v>
      </c>
      <c r="E165" s="379">
        <f t="shared" si="16"/>
        <v>1.5077661032434904</v>
      </c>
      <c r="F165" s="362">
        <f t="shared" si="17"/>
        <v>0.373423092153646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659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614</v>
      </c>
      <c r="C168" s="424">
        <v>11446758</v>
      </c>
      <c r="D168" s="424">
        <v>1097818</v>
      </c>
      <c r="E168" s="424">
        <f t="shared" ref="E168:E176" si="18">D168-C168</f>
        <v>-10348940</v>
      </c>
      <c r="F168" s="362">
        <f t="shared" ref="F168:F176" si="19">IF(C168=0,0,E168/C168)</f>
        <v>-0.90409354334214109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615</v>
      </c>
      <c r="C169" s="424">
        <v>1679893</v>
      </c>
      <c r="D169" s="424">
        <v>285216</v>
      </c>
      <c r="E169" s="424">
        <f t="shared" si="18"/>
        <v>-1394677</v>
      </c>
      <c r="F169" s="362">
        <f t="shared" si="19"/>
        <v>-0.83021775791672447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616</v>
      </c>
      <c r="C170" s="366">
        <f>IF(C168=0,0,C169/C168)</f>
        <v>0.14675709925902164</v>
      </c>
      <c r="D170" s="366">
        <f>IF(LN_IE14=0,0,LN_IE15/LN_IE14)</f>
        <v>0.25980262666489345</v>
      </c>
      <c r="E170" s="367">
        <f t="shared" si="18"/>
        <v>0.11304552740587182</v>
      </c>
      <c r="F170" s="362">
        <f t="shared" si="19"/>
        <v>0.77029000965977146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617</v>
      </c>
      <c r="C171" s="366">
        <f>IF(C153=0,0,C168/C153)</f>
        <v>1.4010080078351379</v>
      </c>
      <c r="D171" s="366">
        <f>IF(LN_IE1=0,0,LN_IE14/LN_IE1)</f>
        <v>0.82809440332620254</v>
      </c>
      <c r="E171" s="367">
        <f t="shared" si="18"/>
        <v>-0.57291360450893536</v>
      </c>
      <c r="F171" s="362">
        <f t="shared" si="19"/>
        <v>-0.40892957164050153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618</v>
      </c>
      <c r="C172" s="376">
        <f>C171*C156</f>
        <v>557.60118711838493</v>
      </c>
      <c r="D172" s="376">
        <f>LN_IE17*LN_IE4</f>
        <v>54.654230619529365</v>
      </c>
      <c r="E172" s="376">
        <f t="shared" si="18"/>
        <v>-502.94695649885557</v>
      </c>
      <c r="F172" s="362">
        <f t="shared" si="19"/>
        <v>-0.90198329579968117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619</v>
      </c>
      <c r="C173" s="378">
        <f>IF(C172=0,0,C169/C172)</f>
        <v>3012.7141742317344</v>
      </c>
      <c r="D173" s="378">
        <f>IF(LN_IE18=0,0,LN_IE15/LN_IE18)</f>
        <v>5218.5530153284235</v>
      </c>
      <c r="E173" s="378">
        <f t="shared" si="18"/>
        <v>2205.8388410966891</v>
      </c>
      <c r="F173" s="362">
        <f t="shared" si="19"/>
        <v>0.73217660671683038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660</v>
      </c>
      <c r="C174" s="378">
        <f>C61-C173</f>
        <v>6717.5654151186427</v>
      </c>
      <c r="D174" s="378">
        <f>LN_IB18-LN_IE19</f>
        <v>5344.4230543709364</v>
      </c>
      <c r="E174" s="378">
        <f t="shared" si="18"/>
        <v>-1373.1423607477063</v>
      </c>
      <c r="F174" s="362">
        <f t="shared" si="19"/>
        <v>-0.20441071666489377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661</v>
      </c>
      <c r="C175" s="378">
        <f>C32-C173</f>
        <v>2704.5696701744118</v>
      </c>
      <c r="D175" s="378">
        <f>LN_IA16-LN_IE19</f>
        <v>699.17859679901812</v>
      </c>
      <c r="E175" s="378">
        <f t="shared" si="18"/>
        <v>-2005.3910733753937</v>
      </c>
      <c r="F175" s="362">
        <f t="shared" si="19"/>
        <v>-0.74148249737862004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630</v>
      </c>
      <c r="C176" s="353">
        <f>C175*C172</f>
        <v>1508071.2587336309</v>
      </c>
      <c r="D176" s="353">
        <f>LN_IE21*LN_IE18</f>
        <v>38213.068273692472</v>
      </c>
      <c r="E176" s="353">
        <f t="shared" si="18"/>
        <v>-1469858.1904599385</v>
      </c>
      <c r="F176" s="362">
        <f t="shared" si="19"/>
        <v>-0.97466096641495514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662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621</v>
      </c>
      <c r="C179" s="361">
        <f>C153+C168</f>
        <v>19617131</v>
      </c>
      <c r="D179" s="361">
        <f>LN_IE1+LN_IE14</f>
        <v>2423534</v>
      </c>
      <c r="E179" s="361">
        <f>D179-C179</f>
        <v>-17193597</v>
      </c>
      <c r="F179" s="362">
        <f>IF(C179=0,0,E179/C179)</f>
        <v>-0.87645828536293102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622</v>
      </c>
      <c r="C180" s="361">
        <f>C154+C169</f>
        <v>2765668</v>
      </c>
      <c r="D180" s="361">
        <f>LN_IE15+LN_IE2</f>
        <v>570170</v>
      </c>
      <c r="E180" s="361">
        <f>D180-C180</f>
        <v>-2195498</v>
      </c>
      <c r="F180" s="362">
        <f>IF(C180=0,0,E180/C180)</f>
        <v>-0.79384004153788523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623</v>
      </c>
      <c r="C181" s="361">
        <f>C179-C180</f>
        <v>16851463</v>
      </c>
      <c r="D181" s="361">
        <f>LN_IE23-LN_IE24</f>
        <v>1853364</v>
      </c>
      <c r="E181" s="361">
        <f>D181-C181</f>
        <v>-14998099</v>
      </c>
      <c r="F181" s="362">
        <f>IF(C181=0,0,E181/C181)</f>
        <v>-0.89001762042856458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663</v>
      </c>
      <c r="C183" s="361">
        <f>C162+C176</f>
        <v>3543861.7751674806</v>
      </c>
      <c r="D183" s="361">
        <f>LN_IE10+LN_IE22</f>
        <v>280646.5480532418</v>
      </c>
      <c r="E183" s="353">
        <f>D183-C183</f>
        <v>-3263215.2271142388</v>
      </c>
      <c r="F183" s="362">
        <f>IF(C183=0,0,E183/C183)</f>
        <v>-0.92080770474181983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352</v>
      </c>
      <c r="B185" s="356" t="s">
        <v>664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665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605</v>
      </c>
      <c r="C188" s="361">
        <f>C118+C153</f>
        <v>33199945</v>
      </c>
      <c r="D188" s="361">
        <f>LN_ID1+LN_IE1</f>
        <v>38530367</v>
      </c>
      <c r="E188" s="361">
        <f t="shared" ref="E188:E200" si="20">D188-C188</f>
        <v>5330422</v>
      </c>
      <c r="F188" s="362">
        <f t="shared" ref="F188:F200" si="21">IF(C188=0,0,E188/C188)</f>
        <v>0.160555145497982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606</v>
      </c>
      <c r="C189" s="361">
        <f>C119+C154</f>
        <v>7654275</v>
      </c>
      <c r="D189" s="361">
        <f>LN_1D2+LN_IE2</f>
        <v>11211270</v>
      </c>
      <c r="E189" s="361">
        <f t="shared" si="20"/>
        <v>3556995</v>
      </c>
      <c r="F189" s="362">
        <f t="shared" si="21"/>
        <v>0.4647069774733727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607</v>
      </c>
      <c r="C190" s="366">
        <f>IF(C188=0,0,C189/C188)</f>
        <v>0.23055083374385107</v>
      </c>
      <c r="D190" s="366">
        <f>IF(LN_IF1=0,0,LN_IF2/LN_IF1)</f>
        <v>0.2909723128253619</v>
      </c>
      <c r="E190" s="367">
        <f t="shared" si="20"/>
        <v>6.0421479081510826E-2</v>
      </c>
      <c r="F190" s="362">
        <f t="shared" si="21"/>
        <v>0.26207443321866669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2289</v>
      </c>
      <c r="D191" s="369">
        <f>LN_ID4+LN_IE4</f>
        <v>2384</v>
      </c>
      <c r="E191" s="369">
        <f t="shared" si="20"/>
        <v>95</v>
      </c>
      <c r="F191" s="362">
        <f t="shared" si="21"/>
        <v>4.1502839667977284E-2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608</v>
      </c>
      <c r="C192" s="372">
        <f>IF((C121+C156)=0,0,(C123+C158)/(C121+C156))</f>
        <v>0.93410257754477943</v>
      </c>
      <c r="D192" s="372">
        <f>IF((LN_ID4+LN_IE4)=0,0,(LN_ID6+LN_IE6)/(LN_ID4+LN_IE4))</f>
        <v>1.0012949664429529</v>
      </c>
      <c r="E192" s="373">
        <f t="shared" si="20"/>
        <v>6.7192388898173472E-2</v>
      </c>
      <c r="F192" s="362">
        <f t="shared" si="21"/>
        <v>7.1932559135832561E-2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609</v>
      </c>
      <c r="C193" s="376">
        <f>C123+C158</f>
        <v>2138.1608000000001</v>
      </c>
      <c r="D193" s="376">
        <f>LN_IF4*LN_IF5</f>
        <v>2387.0871999999999</v>
      </c>
      <c r="E193" s="376">
        <f t="shared" si="20"/>
        <v>248.92639999999983</v>
      </c>
      <c r="F193" s="362">
        <f t="shared" si="21"/>
        <v>0.11642080427253171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610</v>
      </c>
      <c r="C194" s="378">
        <f>IF(C193=0,0,C189/C193)</f>
        <v>3579.8406742841789</v>
      </c>
      <c r="D194" s="378">
        <f>IF(LN_IF6=0,0,LN_IF2/LN_IF6)</f>
        <v>4696.6319454102895</v>
      </c>
      <c r="E194" s="378">
        <f t="shared" si="20"/>
        <v>1116.7912711261106</v>
      </c>
      <c r="F194" s="362">
        <f t="shared" si="21"/>
        <v>0.31196675291964576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666</v>
      </c>
      <c r="C195" s="378">
        <f>C48-C194</f>
        <v>7022.7223739614356</v>
      </c>
      <c r="D195" s="378">
        <f>LN_IB7-LN_IF7</f>
        <v>6804.5753068901749</v>
      </c>
      <c r="E195" s="378">
        <f t="shared" si="20"/>
        <v>-218.14706707126061</v>
      </c>
      <c r="F195" s="362">
        <f t="shared" si="21"/>
        <v>-3.1063034455141986E-2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667</v>
      </c>
      <c r="C196" s="378">
        <f>C21-C194</f>
        <v>3171.5834784884864</v>
      </c>
      <c r="D196" s="378">
        <f>LN_IA7-LN_IF7</f>
        <v>2134.7943951892084</v>
      </c>
      <c r="E196" s="378">
        <f t="shared" si="20"/>
        <v>-1036.789083299278</v>
      </c>
      <c r="F196" s="362">
        <f t="shared" si="21"/>
        <v>-0.32689950945052565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627</v>
      </c>
      <c r="C197" s="391">
        <f>C127+C162</f>
        <v>6781355.4676317247</v>
      </c>
      <c r="D197" s="391">
        <f>LN_IF9*LN_IF6</f>
        <v>5095940.3753879005</v>
      </c>
      <c r="E197" s="391">
        <f t="shared" si="20"/>
        <v>-1685415.0922438242</v>
      </c>
      <c r="F197" s="362">
        <f t="shared" si="21"/>
        <v>-0.24853660898452021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8267</v>
      </c>
      <c r="D198" s="369">
        <f>LN_ID11+LN_IE11</f>
        <v>9435</v>
      </c>
      <c r="E198" s="369">
        <f t="shared" si="20"/>
        <v>1168</v>
      </c>
      <c r="F198" s="362">
        <f t="shared" si="21"/>
        <v>0.14128462561993468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611</v>
      </c>
      <c r="C199" s="432">
        <f>IF(C198=0,0,C189/C198)</f>
        <v>925.88302891012461</v>
      </c>
      <c r="D199" s="432">
        <f>IF(LN_IF11=0,0,LN_IF2/LN_IF11)</f>
        <v>1188.2639109697934</v>
      </c>
      <c r="E199" s="432">
        <f t="shared" si="20"/>
        <v>262.38088205966881</v>
      </c>
      <c r="F199" s="362">
        <f t="shared" si="21"/>
        <v>0.28338448148090867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612</v>
      </c>
      <c r="C200" s="379">
        <f>IF(C191=0,0,C198/C191)</f>
        <v>3.6116207951070338</v>
      </c>
      <c r="D200" s="379">
        <f>IF(LN_IF4=0,0,LN_IF11/LN_IF4)</f>
        <v>3.9576342281879193</v>
      </c>
      <c r="E200" s="379">
        <f t="shared" si="20"/>
        <v>0.3460134330808855</v>
      </c>
      <c r="F200" s="362">
        <f t="shared" si="21"/>
        <v>9.5805582233234168E-2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668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614</v>
      </c>
      <c r="C203" s="361">
        <f>C133+C168</f>
        <v>60413133</v>
      </c>
      <c r="D203" s="361">
        <f>LN_ID14+LN_IE14</f>
        <v>66258457</v>
      </c>
      <c r="E203" s="361">
        <f t="shared" ref="E203:E211" si="22">D203-C203</f>
        <v>5845324</v>
      </c>
      <c r="F203" s="362">
        <f t="shared" ref="F203:F211" si="23">IF(C203=0,0,E203/C203)</f>
        <v>9.6755849427640178E-2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615</v>
      </c>
      <c r="C204" s="361">
        <f>C134+C169</f>
        <v>15029486</v>
      </c>
      <c r="D204" s="361">
        <f>LN_ID15+LN_IE15</f>
        <v>15817842</v>
      </c>
      <c r="E204" s="361">
        <f t="shared" si="22"/>
        <v>788356</v>
      </c>
      <c r="F204" s="362">
        <f t="shared" si="23"/>
        <v>5.2453956176545226E-2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616</v>
      </c>
      <c r="C205" s="366">
        <f>IF(C203=0,0,C204/C203)</f>
        <v>0.24877845682990815</v>
      </c>
      <c r="D205" s="366">
        <f>IF(LN_IF14=0,0,LN_IF15/LN_IF14)</f>
        <v>0.23872940476111601</v>
      </c>
      <c r="E205" s="367">
        <f t="shared" si="22"/>
        <v>-1.0049052068792141E-2</v>
      </c>
      <c r="F205" s="362">
        <f t="shared" si="23"/>
        <v>-4.0393578273792252E-2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617</v>
      </c>
      <c r="C206" s="366">
        <f>IF(C188=0,0,C203/C188)</f>
        <v>1.8196756952458806</v>
      </c>
      <c r="D206" s="366">
        <f>IF(LN_IF1=0,0,LN_IF14/LN_IF1)</f>
        <v>1.7196425095042567</v>
      </c>
      <c r="E206" s="367">
        <f t="shared" si="22"/>
        <v>-0.1000331857416239</v>
      </c>
      <c r="F206" s="362">
        <f t="shared" si="23"/>
        <v>-5.497308449135882E-2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618</v>
      </c>
      <c r="C207" s="376">
        <f>C137+C172</f>
        <v>4257.0417978088117</v>
      </c>
      <c r="D207" s="376">
        <f>LN_ID18+LN_IE18</f>
        <v>4114.4251770530818</v>
      </c>
      <c r="E207" s="376">
        <f t="shared" si="22"/>
        <v>-142.61662075572985</v>
      </c>
      <c r="F207" s="362">
        <f t="shared" si="23"/>
        <v>-3.3501343780354145E-2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619</v>
      </c>
      <c r="C208" s="378">
        <f>IF(C207=0,0,C204/C207)</f>
        <v>3530.4999842228449</v>
      </c>
      <c r="D208" s="378">
        <f>IF(LN_IF18=0,0,LN_IF15/LN_IF18)</f>
        <v>3844.4840577534528</v>
      </c>
      <c r="E208" s="378">
        <f t="shared" si="22"/>
        <v>313.98407353060793</v>
      </c>
      <c r="F208" s="362">
        <f t="shared" si="23"/>
        <v>8.8934733021879334E-2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669</v>
      </c>
      <c r="C209" s="378">
        <f>C61-C208</f>
        <v>6199.7796051275327</v>
      </c>
      <c r="D209" s="378">
        <f>LN_IB18-LN_IF19</f>
        <v>6718.4920119459075</v>
      </c>
      <c r="E209" s="378">
        <f t="shared" si="22"/>
        <v>518.7124068183748</v>
      </c>
      <c r="F209" s="362">
        <f t="shared" si="23"/>
        <v>8.366626555391958E-2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670</v>
      </c>
      <c r="C210" s="378">
        <f>C32-C208</f>
        <v>2186.7838601833014</v>
      </c>
      <c r="D210" s="378">
        <f>LN_IA16-LN_IF19</f>
        <v>2073.2475543739888</v>
      </c>
      <c r="E210" s="378">
        <f t="shared" si="22"/>
        <v>-113.53630580931258</v>
      </c>
      <c r="F210" s="362">
        <f t="shared" si="23"/>
        <v>-5.1919308476968407E-2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630</v>
      </c>
      <c r="C211" s="391">
        <f>C141+C176</f>
        <v>9309230.295574015</v>
      </c>
      <c r="D211" s="353">
        <f>LN_IF21*LN_IF18</f>
        <v>8530221.9359800685</v>
      </c>
      <c r="E211" s="353">
        <f t="shared" si="22"/>
        <v>-779008.35959394649</v>
      </c>
      <c r="F211" s="362">
        <f t="shared" si="23"/>
        <v>-8.3681285655197363E-2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671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621</v>
      </c>
      <c r="C214" s="361">
        <f>C188+C203</f>
        <v>93613078</v>
      </c>
      <c r="D214" s="361">
        <f>LN_IF1+LN_IF14</f>
        <v>104788824</v>
      </c>
      <c r="E214" s="361">
        <f>D214-C214</f>
        <v>11175746</v>
      </c>
      <c r="F214" s="362">
        <f>IF(C214=0,0,E214/C214)</f>
        <v>0.11938231536409902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622</v>
      </c>
      <c r="C215" s="361">
        <f>C189+C204</f>
        <v>22683761</v>
      </c>
      <c r="D215" s="361">
        <f>LN_IF2+LN_IF15</f>
        <v>27029112</v>
      </c>
      <c r="E215" s="361">
        <f>D215-C215</f>
        <v>4345351</v>
      </c>
      <c r="F215" s="362">
        <f>IF(C215=0,0,E215/C215)</f>
        <v>0.19156219288327012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623</v>
      </c>
      <c r="C216" s="361">
        <f>C214-C215</f>
        <v>70929317</v>
      </c>
      <c r="D216" s="361">
        <f>LN_IF23-LN_IF24</f>
        <v>77759712</v>
      </c>
      <c r="E216" s="361">
        <f>D216-C216</f>
        <v>6830395</v>
      </c>
      <c r="F216" s="362">
        <f>IF(C216=0,0,E216/C216)</f>
        <v>9.629861514104246E-2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364</v>
      </c>
      <c r="B218" s="356" t="s">
        <v>672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673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605</v>
      </c>
      <c r="C221" s="361">
        <v>2330732</v>
      </c>
      <c r="D221" s="361">
        <v>2882913</v>
      </c>
      <c r="E221" s="361">
        <f t="shared" ref="E221:E230" si="24">D221-C221</f>
        <v>552181</v>
      </c>
      <c r="F221" s="362">
        <f t="shared" ref="F221:F230" si="25">IF(C221=0,0,E221/C221)</f>
        <v>0.23691312428885003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606</v>
      </c>
      <c r="C222" s="361">
        <v>909649</v>
      </c>
      <c r="D222" s="361">
        <v>1160549</v>
      </c>
      <c r="E222" s="361">
        <f t="shared" si="24"/>
        <v>250900</v>
      </c>
      <c r="F222" s="362">
        <f t="shared" si="25"/>
        <v>0.27582067368842267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607</v>
      </c>
      <c r="C223" s="366">
        <f>IF(C221=0,0,C222/C221)</f>
        <v>0.39028468309526793</v>
      </c>
      <c r="D223" s="366">
        <f>IF(LN_IG1=0,0,LN_IG2/LN_IG1)</f>
        <v>0.40256122886816215</v>
      </c>
      <c r="E223" s="367">
        <f t="shared" si="24"/>
        <v>1.2276545772894221E-2</v>
      </c>
      <c r="F223" s="362">
        <f t="shared" si="25"/>
        <v>3.1455361444193634E-2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217</v>
      </c>
      <c r="D224" s="369">
        <v>237</v>
      </c>
      <c r="E224" s="369">
        <f t="shared" si="24"/>
        <v>20</v>
      </c>
      <c r="F224" s="362">
        <f t="shared" si="25"/>
        <v>9.2165898617511524E-2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608</v>
      </c>
      <c r="C225" s="372">
        <v>0.78739999999999999</v>
      </c>
      <c r="D225" s="372">
        <v>0.83979999999999999</v>
      </c>
      <c r="E225" s="373">
        <f t="shared" si="24"/>
        <v>5.2400000000000002E-2</v>
      </c>
      <c r="F225" s="362">
        <f t="shared" si="25"/>
        <v>6.6548133096266199E-2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609</v>
      </c>
      <c r="C226" s="376">
        <f>C224*C225</f>
        <v>170.86580000000001</v>
      </c>
      <c r="D226" s="376">
        <f>LN_IG3*LN_IG4</f>
        <v>199.0326</v>
      </c>
      <c r="E226" s="376">
        <f t="shared" si="24"/>
        <v>28.166799999999995</v>
      </c>
      <c r="F226" s="362">
        <f t="shared" si="25"/>
        <v>0.1648475002019128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610</v>
      </c>
      <c r="C227" s="378">
        <f>IF(C226=0,0,C222/C226)</f>
        <v>5323.7628595072856</v>
      </c>
      <c r="D227" s="378">
        <f>IF(LN_IG5=0,0,LN_IG2/LN_IG5)</f>
        <v>5830.9493017726745</v>
      </c>
      <c r="E227" s="378">
        <f t="shared" si="24"/>
        <v>507.18644226538891</v>
      </c>
      <c r="F227" s="362">
        <f t="shared" si="25"/>
        <v>9.5268413648373698E-2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549</v>
      </c>
      <c r="D228" s="369">
        <v>617</v>
      </c>
      <c r="E228" s="369">
        <f t="shared" si="24"/>
        <v>68</v>
      </c>
      <c r="F228" s="362">
        <f t="shared" si="25"/>
        <v>0.12386156648451731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611</v>
      </c>
      <c r="C229" s="378">
        <f>IF(C228=0,0,C222/C228)</f>
        <v>1656.91985428051</v>
      </c>
      <c r="D229" s="378">
        <f>IF(LN_IG6=0,0,LN_IG2/LN_IG6)</f>
        <v>1880.9546191247973</v>
      </c>
      <c r="E229" s="378">
        <f t="shared" si="24"/>
        <v>224.03476484428734</v>
      </c>
      <c r="F229" s="362">
        <f t="shared" si="25"/>
        <v>0.13521158809553327</v>
      </c>
      <c r="Q229" s="330"/>
      <c r="U229" s="375"/>
    </row>
    <row r="230" spans="1:21" ht="11.25" customHeight="1" x14ac:dyDescent="0.2">
      <c r="A230" s="364">
        <v>10</v>
      </c>
      <c r="B230" s="360" t="s">
        <v>612</v>
      </c>
      <c r="C230" s="379">
        <f>IF(C224=0,0,C228/C224)</f>
        <v>2.5299539170506913</v>
      </c>
      <c r="D230" s="379">
        <f>IF(LN_IG3=0,0,LN_IG6/LN_IG3)</f>
        <v>2.6033755274261603</v>
      </c>
      <c r="E230" s="379">
        <f t="shared" si="24"/>
        <v>7.3421610375469015E-2</v>
      </c>
      <c r="F230" s="362">
        <f t="shared" si="25"/>
        <v>2.9020927962617078E-2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674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614</v>
      </c>
      <c r="C233" s="361">
        <v>7195831</v>
      </c>
      <c r="D233" s="361">
        <v>6860374</v>
      </c>
      <c r="E233" s="361">
        <f>D233-C233</f>
        <v>-335457</v>
      </c>
      <c r="F233" s="362">
        <f>IF(C233=0,0,E233/C233)</f>
        <v>-4.6618243257797468E-2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615</v>
      </c>
      <c r="C234" s="361">
        <v>2206442</v>
      </c>
      <c r="D234" s="361">
        <v>1906524</v>
      </c>
      <c r="E234" s="361">
        <f>D234-C234</f>
        <v>-299918</v>
      </c>
      <c r="F234" s="362">
        <f>IF(C234=0,0,E234/C234)</f>
        <v>-0.13592834074043189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675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621</v>
      </c>
      <c r="C237" s="361">
        <f>C221+C233</f>
        <v>9526563</v>
      </c>
      <c r="D237" s="361">
        <f>LN_IG1+LN_IG9</f>
        <v>9743287</v>
      </c>
      <c r="E237" s="361">
        <f>D237-C237</f>
        <v>216724</v>
      </c>
      <c r="F237" s="362">
        <f>IF(C237=0,0,E237/C237)</f>
        <v>2.2749442794846367E-2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622</v>
      </c>
      <c r="C238" s="361">
        <f>C222+C234</f>
        <v>3116091</v>
      </c>
      <c r="D238" s="361">
        <f>LN_IG2+LN_IG10</f>
        <v>3067073</v>
      </c>
      <c r="E238" s="361">
        <f>D238-C238</f>
        <v>-49018</v>
      </c>
      <c r="F238" s="362">
        <f>IF(C238=0,0,E238/C238)</f>
        <v>-1.5730606070233508E-2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623</v>
      </c>
      <c r="C239" s="361">
        <f>C237-C238</f>
        <v>6410472</v>
      </c>
      <c r="D239" s="361">
        <f>LN_IG13-LN_IG14</f>
        <v>6676214</v>
      </c>
      <c r="E239" s="361">
        <f>D239-C239</f>
        <v>265742</v>
      </c>
      <c r="F239" s="362">
        <f>IF(C239=0,0,E239/C239)</f>
        <v>4.1454357807038232E-2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368</v>
      </c>
      <c r="B241" s="356" t="s">
        <v>676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677</v>
      </c>
      <c r="C243" s="361">
        <v>4374927</v>
      </c>
      <c r="D243" s="361">
        <v>5109286</v>
      </c>
      <c r="E243" s="353">
        <f>D243-C243</f>
        <v>734359</v>
      </c>
      <c r="F243" s="415">
        <f>IF(C243=0,0,E243/C243)</f>
        <v>0.16785628651632359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678</v>
      </c>
      <c r="C244" s="361">
        <v>262102283</v>
      </c>
      <c r="D244" s="361">
        <v>252073735</v>
      </c>
      <c r="E244" s="353">
        <f>D244-C244</f>
        <v>-10028548</v>
      </c>
      <c r="F244" s="415">
        <f>IF(C244=0,0,E244/C244)</f>
        <v>-3.8261963555655101E-2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679</v>
      </c>
      <c r="C245" s="400">
        <v>2166356</v>
      </c>
      <c r="D245" s="400">
        <v>0</v>
      </c>
      <c r="E245" s="400">
        <f>D245-C245</f>
        <v>-2166356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680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681</v>
      </c>
      <c r="C248" s="353">
        <v>6321367</v>
      </c>
      <c r="D248" s="353">
        <v>4672730</v>
      </c>
      <c r="E248" s="353">
        <f>D248-C248</f>
        <v>-1648637</v>
      </c>
      <c r="F248" s="362">
        <f>IF(C248=0,0,E248/C248)</f>
        <v>-0.26080387359253149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682</v>
      </c>
      <c r="C249" s="353">
        <v>14508284</v>
      </c>
      <c r="D249" s="353">
        <v>12690606</v>
      </c>
      <c r="E249" s="353">
        <f>D249-C249</f>
        <v>-1817678</v>
      </c>
      <c r="F249" s="362">
        <f>IF(C249=0,0,E249/C249)</f>
        <v>-0.12528552653091157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683</v>
      </c>
      <c r="C250" s="353">
        <f>C248+C249</f>
        <v>20829651</v>
      </c>
      <c r="D250" s="353">
        <f>LN_IH4+LN_IH5</f>
        <v>17363336</v>
      </c>
      <c r="E250" s="353">
        <f>D250-C250</f>
        <v>-3466315</v>
      </c>
      <c r="F250" s="362">
        <f>IF(C250=0,0,E250/C250)</f>
        <v>-0.16641253374816506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684</v>
      </c>
      <c r="C251" s="353">
        <f>C250*C313</f>
        <v>9279517.0776740108</v>
      </c>
      <c r="D251" s="353">
        <f>LN_IH6*LN_III10</f>
        <v>7692883.0670620101</v>
      </c>
      <c r="E251" s="353">
        <f>D251-C251</f>
        <v>-1586634.0106120007</v>
      </c>
      <c r="F251" s="362">
        <f>IF(C251=0,0,E251/C251)</f>
        <v>-0.17098239028293311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685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621</v>
      </c>
      <c r="C254" s="353">
        <f>C188+C203</f>
        <v>93613078</v>
      </c>
      <c r="D254" s="353">
        <f>LN_IF23</f>
        <v>104788824</v>
      </c>
      <c r="E254" s="353">
        <f>D254-C254</f>
        <v>11175746</v>
      </c>
      <c r="F254" s="362">
        <f>IF(C254=0,0,E254/C254)</f>
        <v>0.11938231536409902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622</v>
      </c>
      <c r="C255" s="353">
        <f>C189+C204</f>
        <v>22683761</v>
      </c>
      <c r="D255" s="353">
        <f>LN_IF24</f>
        <v>27029112</v>
      </c>
      <c r="E255" s="353">
        <f>D255-C255</f>
        <v>4345351</v>
      </c>
      <c r="F255" s="362">
        <f>IF(C255=0,0,E255/C255)</f>
        <v>0.19156219288327012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686</v>
      </c>
      <c r="C256" s="353">
        <f>C254*C313</f>
        <v>41704210.790407829</v>
      </c>
      <c r="D256" s="353">
        <f>LN_IH8*LN_III10</f>
        <v>46427032.787186816</v>
      </c>
      <c r="E256" s="353">
        <f>D256-C256</f>
        <v>4722821.9967789873</v>
      </c>
      <c r="F256" s="362">
        <f>IF(C256=0,0,E256/C256)</f>
        <v>0.11324568688074202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687</v>
      </c>
      <c r="C257" s="353">
        <f>C256-C255</f>
        <v>19020449.790407829</v>
      </c>
      <c r="D257" s="353">
        <f>LN_IH10-LN_IH9</f>
        <v>19397920.787186816</v>
      </c>
      <c r="E257" s="353">
        <f>D257-C257</f>
        <v>377470.99677898735</v>
      </c>
      <c r="F257" s="362">
        <f>IF(C257=0,0,E257/C257)</f>
        <v>1.9845534723860688E-2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688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689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690</v>
      </c>
      <c r="C261" s="361">
        <f>C15+C42+C188+C221</f>
        <v>232397678</v>
      </c>
      <c r="D261" s="361">
        <f>LN_IA1+LN_IB1+LN_IF1+LN_IG1</f>
        <v>244179796</v>
      </c>
      <c r="E261" s="361">
        <f t="shared" ref="E261:E274" si="26">D261-C261</f>
        <v>11782118</v>
      </c>
      <c r="F261" s="415">
        <f t="shared" ref="F261:F274" si="27">IF(C261=0,0,E261/C261)</f>
        <v>5.0698088300176559E-2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691</v>
      </c>
      <c r="C262" s="361">
        <f>C16+C43+C189+C222</f>
        <v>115832216</v>
      </c>
      <c r="D262" s="361">
        <f>+LN_IA2+LN_IB2+LN_IF2+LN_IG2</f>
        <v>124326280</v>
      </c>
      <c r="E262" s="361">
        <f t="shared" si="26"/>
        <v>8494064</v>
      </c>
      <c r="F262" s="415">
        <f t="shared" si="27"/>
        <v>7.3330756272503669E-2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692</v>
      </c>
      <c r="C263" s="366">
        <f>IF(C261=0,0,C262/C261)</f>
        <v>0.49842243260279046</v>
      </c>
      <c r="D263" s="366">
        <f>IF(LN_IIA1=0,0,LN_IIA2/LN_IIA1)</f>
        <v>0.50915875120151222</v>
      </c>
      <c r="E263" s="367">
        <f t="shared" si="26"/>
        <v>1.0736318598721761E-2</v>
      </c>
      <c r="F263" s="371">
        <f t="shared" si="27"/>
        <v>2.154060069619277E-2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693</v>
      </c>
      <c r="C264" s="369">
        <f>C18+C45+C191+C224</f>
        <v>12175</v>
      </c>
      <c r="D264" s="369">
        <f>LN_IA4+LN_IB4+LN_IF4+LN_IG3</f>
        <v>11999</v>
      </c>
      <c r="E264" s="369">
        <f t="shared" si="26"/>
        <v>-176</v>
      </c>
      <c r="F264" s="415">
        <f t="shared" si="27"/>
        <v>-1.4455852156057495E-2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694</v>
      </c>
      <c r="C265" s="439">
        <f>IF(C264=0,0,C266/C264)</f>
        <v>1.2416886735112935</v>
      </c>
      <c r="D265" s="439">
        <f>IF(LN_IIA4=0,0,LN_IIA6/LN_IIA4)</f>
        <v>1.2820382531877657</v>
      </c>
      <c r="E265" s="439">
        <f t="shared" si="26"/>
        <v>4.0349579676472125E-2</v>
      </c>
      <c r="F265" s="415">
        <f t="shared" si="27"/>
        <v>3.2495729837311055E-2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695</v>
      </c>
      <c r="C266" s="376">
        <f>C20+C47+C193+C226</f>
        <v>15117.559599999999</v>
      </c>
      <c r="D266" s="376">
        <f>LN_IA6+LN_IB6+LN_IF6+LN_IG5</f>
        <v>15383.177</v>
      </c>
      <c r="E266" s="376">
        <f t="shared" si="26"/>
        <v>265.617400000001</v>
      </c>
      <c r="F266" s="415">
        <f t="shared" si="27"/>
        <v>1.757012421502218E-2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696</v>
      </c>
      <c r="C267" s="361">
        <f>C27+C56+C203+C233</f>
        <v>352993047</v>
      </c>
      <c r="D267" s="361">
        <f>LN_IA11+LN_IB13+LN_IF14+LN_IG9</f>
        <v>359880789</v>
      </c>
      <c r="E267" s="361">
        <f t="shared" si="26"/>
        <v>6887742</v>
      </c>
      <c r="F267" s="415">
        <f t="shared" si="27"/>
        <v>1.9512401330669837E-2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617</v>
      </c>
      <c r="C268" s="366">
        <f>IF(C261=0,0,C267/C261)</f>
        <v>1.5189181322198926</v>
      </c>
      <c r="D268" s="366">
        <f>IF(LN_IIA1=0,0,LN_IIA7/LN_IIA1)</f>
        <v>1.473835243109139</v>
      </c>
      <c r="E268" s="367">
        <f t="shared" si="26"/>
        <v>-4.5082889110753532E-2</v>
      </c>
      <c r="F268" s="371">
        <f t="shared" si="27"/>
        <v>-2.9680921015055022E-2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697</v>
      </c>
      <c r="C269" s="361">
        <f>C28+C57+C204+C234</f>
        <v>142790397</v>
      </c>
      <c r="D269" s="361">
        <f>LN_IA12+LN_IB14+LN_IF15+LN_IG10</f>
        <v>143304747</v>
      </c>
      <c r="E269" s="361">
        <f t="shared" si="26"/>
        <v>514350</v>
      </c>
      <c r="F269" s="415">
        <f t="shared" si="27"/>
        <v>3.6021329921787386E-3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616</v>
      </c>
      <c r="C270" s="366">
        <f>IF(C267=0,0,C269/C267)</f>
        <v>0.4045133415899832</v>
      </c>
      <c r="D270" s="366">
        <f>IF(LN_IIA7=0,0,LN_IIA9/LN_IIA7)</f>
        <v>0.39820060247783884</v>
      </c>
      <c r="E270" s="367">
        <f t="shared" si="26"/>
        <v>-6.312739112144361E-3</v>
      </c>
      <c r="F270" s="371">
        <f t="shared" si="27"/>
        <v>-1.5605762438715769E-2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698</v>
      </c>
      <c r="C271" s="353">
        <f>C261+C267</f>
        <v>585390725</v>
      </c>
      <c r="D271" s="353">
        <f>LN_IIA1+LN_IIA7</f>
        <v>604060585</v>
      </c>
      <c r="E271" s="353">
        <f t="shared" si="26"/>
        <v>18669860</v>
      </c>
      <c r="F271" s="415">
        <f t="shared" si="27"/>
        <v>3.1892989080071266E-2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699</v>
      </c>
      <c r="C272" s="353">
        <f>C262+C269</f>
        <v>258622613</v>
      </c>
      <c r="D272" s="353">
        <f>LN_IIA2+LN_IIA9</f>
        <v>267631027</v>
      </c>
      <c r="E272" s="353">
        <f t="shared" si="26"/>
        <v>9008414</v>
      </c>
      <c r="F272" s="415">
        <f t="shared" si="27"/>
        <v>3.4832275088025652E-2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700</v>
      </c>
      <c r="C273" s="366">
        <f>IF(C271=0,0,C272/C271)</f>
        <v>0.44179485932237822</v>
      </c>
      <c r="D273" s="366">
        <f>IF(LN_IIA11=0,0,LN_IIA12/LN_IIA11)</f>
        <v>0.44305328578920605</v>
      </c>
      <c r="E273" s="367">
        <f t="shared" si="26"/>
        <v>1.2584264668278333E-3</v>
      </c>
      <c r="F273" s="371">
        <f t="shared" si="27"/>
        <v>2.8484407192016646E-3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49096</v>
      </c>
      <c r="D274" s="421">
        <f>LN_IA8+LN_IB10+LN_IF11+LN_IG6</f>
        <v>49654</v>
      </c>
      <c r="E274" s="442">
        <f t="shared" si="26"/>
        <v>558</v>
      </c>
      <c r="F274" s="371">
        <f t="shared" si="27"/>
        <v>1.1365488023464234E-2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701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702</v>
      </c>
      <c r="C277" s="361">
        <f>C15+C188+C221</f>
        <v>154242165</v>
      </c>
      <c r="D277" s="361">
        <f>LN_IA1+LN_IF1+LN_IG1</f>
        <v>164074797</v>
      </c>
      <c r="E277" s="361">
        <f t="shared" ref="E277:E291" si="28">D277-C277</f>
        <v>9832632</v>
      </c>
      <c r="F277" s="415">
        <f t="shared" ref="F277:F291" si="29">IF(C277=0,0,E277/C277)</f>
        <v>6.3748015985123141E-2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703</v>
      </c>
      <c r="C278" s="361">
        <f>C16+C189+C222</f>
        <v>58588554</v>
      </c>
      <c r="D278" s="361">
        <f>LN_IA2+LN_IF2+LN_IG2</f>
        <v>63905640</v>
      </c>
      <c r="E278" s="361">
        <f t="shared" si="28"/>
        <v>5317086</v>
      </c>
      <c r="F278" s="415">
        <f t="shared" si="29"/>
        <v>9.0752982229259316E-2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704</v>
      </c>
      <c r="C279" s="366">
        <f>IF(C277=0,0,C278/C277)</f>
        <v>0.37984784510772396</v>
      </c>
      <c r="D279" s="366">
        <f>IF(D277=0,0,LN_IIB2/D277)</f>
        <v>0.38949089786166247</v>
      </c>
      <c r="E279" s="367">
        <f t="shared" si="28"/>
        <v>9.643052753938508E-3</v>
      </c>
      <c r="F279" s="371">
        <f t="shared" si="29"/>
        <v>2.5386619611344013E-2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705</v>
      </c>
      <c r="C280" s="369">
        <f>C18+C191+C224</f>
        <v>7735</v>
      </c>
      <c r="D280" s="369">
        <f>LN_IA4+LN_IF4+LN_IG3</f>
        <v>7821</v>
      </c>
      <c r="E280" s="369">
        <f t="shared" si="28"/>
        <v>86</v>
      </c>
      <c r="F280" s="415">
        <f t="shared" si="29"/>
        <v>1.1118293471234648E-2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706</v>
      </c>
      <c r="C281" s="439">
        <f>IF(C280=0,0,C282/C280)</f>
        <v>1.2564343374272786</v>
      </c>
      <c r="D281" s="439">
        <f>IF(LN_IIB4=0,0,LN_IIB6/LN_IIB4)</f>
        <v>1.2952000767165326</v>
      </c>
      <c r="E281" s="439">
        <f t="shared" si="28"/>
        <v>3.8765739289253975E-2</v>
      </c>
      <c r="F281" s="415">
        <f t="shared" si="29"/>
        <v>3.0853772564535396E-2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707</v>
      </c>
      <c r="C282" s="376">
        <f>C20+C193+C226</f>
        <v>9718.5195999999996</v>
      </c>
      <c r="D282" s="376">
        <f>LN_IA6+LN_IF6+LN_IG5</f>
        <v>10129.759800000002</v>
      </c>
      <c r="E282" s="376">
        <f t="shared" si="28"/>
        <v>411.24020000000201</v>
      </c>
      <c r="F282" s="415">
        <f t="shared" si="29"/>
        <v>4.2315107333837351E-2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708</v>
      </c>
      <c r="C283" s="361">
        <f>C27+C203+C233</f>
        <v>174602894</v>
      </c>
      <c r="D283" s="361">
        <f>LN_IA11+LN_IF14+LN_IG9</f>
        <v>181114512</v>
      </c>
      <c r="E283" s="361">
        <f t="shared" si="28"/>
        <v>6511618</v>
      </c>
      <c r="F283" s="415">
        <f t="shared" si="29"/>
        <v>3.7293872116461027E-2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709</v>
      </c>
      <c r="C284" s="366">
        <f>IF(C277=0,0,C283/C277)</f>
        <v>1.1320049481929926</v>
      </c>
      <c r="D284" s="366">
        <f>IF(D277=0,0,LN_IIB7/D277)</f>
        <v>1.1038533358660807</v>
      </c>
      <c r="E284" s="367">
        <f t="shared" si="28"/>
        <v>-2.8151612326911879E-2</v>
      </c>
      <c r="F284" s="371">
        <f t="shared" si="29"/>
        <v>-2.4868806776728314E-2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710</v>
      </c>
      <c r="C285" s="361">
        <f>C28+C204+C234</f>
        <v>44180717</v>
      </c>
      <c r="D285" s="361">
        <f>LN_IA12+LN_IF15+LN_IG10</f>
        <v>44817339</v>
      </c>
      <c r="E285" s="361">
        <f t="shared" si="28"/>
        <v>636622</v>
      </c>
      <c r="F285" s="415">
        <f t="shared" si="29"/>
        <v>1.4409499058152451E-2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711</v>
      </c>
      <c r="C286" s="366">
        <f>IF(C283=0,0,C285/C283)</f>
        <v>0.25303542219638125</v>
      </c>
      <c r="D286" s="366">
        <f>IF(LN_IIB7=0,0,LN_IIB9/LN_IIB7)</f>
        <v>0.24745305334781786</v>
      </c>
      <c r="E286" s="367">
        <f t="shared" si="28"/>
        <v>-5.5823688485633904E-3</v>
      </c>
      <c r="F286" s="371">
        <f t="shared" si="29"/>
        <v>-2.2061610189228382E-2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712</v>
      </c>
      <c r="C287" s="353">
        <f>C277+C283</f>
        <v>328845059</v>
      </c>
      <c r="D287" s="353">
        <f>D277+LN_IIB7</f>
        <v>345189309</v>
      </c>
      <c r="E287" s="353">
        <f t="shared" si="28"/>
        <v>16344250</v>
      </c>
      <c r="F287" s="415">
        <f t="shared" si="29"/>
        <v>4.9701978341112917E-2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713</v>
      </c>
      <c r="C288" s="353">
        <f>C278+C285</f>
        <v>102769271</v>
      </c>
      <c r="D288" s="353">
        <f>LN_IIB2+LN_IIB9</f>
        <v>108722979</v>
      </c>
      <c r="E288" s="353">
        <f t="shared" si="28"/>
        <v>5953708</v>
      </c>
      <c r="F288" s="415">
        <f t="shared" si="29"/>
        <v>5.7932764746380268E-2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714</v>
      </c>
      <c r="C289" s="366">
        <f>IF(C287=0,0,C288/C287)</f>
        <v>0.31251578269874508</v>
      </c>
      <c r="D289" s="366">
        <f>IF(LN_IIB11=0,0,LN_IIB12/LN_IIB11)</f>
        <v>0.31496624074183016</v>
      </c>
      <c r="E289" s="367">
        <f t="shared" si="28"/>
        <v>2.4504580430850798E-3</v>
      </c>
      <c r="F289" s="371">
        <f t="shared" si="29"/>
        <v>7.8410697274999414E-3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34309</v>
      </c>
      <c r="D290" s="421">
        <f>LN_IA8+LN_IF11+LN_IG6</f>
        <v>35635</v>
      </c>
      <c r="E290" s="442">
        <f t="shared" si="28"/>
        <v>1326</v>
      </c>
      <c r="F290" s="371">
        <f t="shared" si="29"/>
        <v>3.8648751056574074E-2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715</v>
      </c>
      <c r="C291" s="361">
        <f>C287-C288</f>
        <v>226075788</v>
      </c>
      <c r="D291" s="429">
        <f>LN_IIB11-LN_IIB12</f>
        <v>236466330</v>
      </c>
      <c r="E291" s="353">
        <f t="shared" si="28"/>
        <v>10390542</v>
      </c>
      <c r="F291" s="415">
        <f t="shared" si="29"/>
        <v>4.5960436948692625E-2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612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603</v>
      </c>
      <c r="C294" s="379">
        <f>IF(C18=0,0,C22/C18)</f>
        <v>4.8753107668770319</v>
      </c>
      <c r="D294" s="379">
        <f>IF(LN_IA4=0,0,LN_IA8/LN_IA4)</f>
        <v>4.9198076923076925</v>
      </c>
      <c r="E294" s="379">
        <f t="shared" ref="E294:E300" si="30">D294-C294</f>
        <v>4.4496925430660639E-2</v>
      </c>
      <c r="F294" s="415">
        <f t="shared" ref="F294:F300" si="31">IF(C294=0,0,E294/C294)</f>
        <v>9.1269926284440629E-3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624</v>
      </c>
      <c r="C295" s="379">
        <f>IF(C45=0,0,C51/C45)</f>
        <v>3.3304054054054055</v>
      </c>
      <c r="D295" s="379">
        <f>IF(LN_IB4=0,0,(LN_IB10)/(LN_IB4))</f>
        <v>3.355433221637147</v>
      </c>
      <c r="E295" s="379">
        <f t="shared" si="30"/>
        <v>2.502781623174144E-2</v>
      </c>
      <c r="F295" s="415">
        <f t="shared" si="31"/>
        <v>7.5149458354589836E-3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639</v>
      </c>
      <c r="C296" s="379">
        <f>IF(C86=0,0,C93/C86)</f>
        <v>4.9886363636363633</v>
      </c>
      <c r="D296" s="379">
        <f>IF(LN_IC4=0,0,LN_IC11/LN_IC4)</f>
        <v>4.0523255813953485</v>
      </c>
      <c r="E296" s="379">
        <f t="shared" si="30"/>
        <v>-0.93631078224101483</v>
      </c>
      <c r="F296" s="415">
        <f t="shared" si="31"/>
        <v>-0.18768872172485038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3.521946060285563</v>
      </c>
      <c r="D297" s="379">
        <f>IF(LN_ID4=0,0,LN_ID11/LN_ID4)</f>
        <v>3.9124245038826575</v>
      </c>
      <c r="E297" s="379">
        <f t="shared" si="30"/>
        <v>0.39047844359709449</v>
      </c>
      <c r="F297" s="415">
        <f t="shared" si="31"/>
        <v>0.11087008060692279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716</v>
      </c>
      <c r="C298" s="379">
        <f>IF(C156=0,0,C163/C156)</f>
        <v>4.0376884422110555</v>
      </c>
      <c r="D298" s="379">
        <f>IF(LN_IE4=0,0,LN_IE11/LN_IE4)</f>
        <v>5.5454545454545459</v>
      </c>
      <c r="E298" s="379">
        <f t="shared" si="30"/>
        <v>1.5077661032434904</v>
      </c>
      <c r="F298" s="415">
        <f t="shared" si="31"/>
        <v>0.373423092153646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416</v>
      </c>
      <c r="C299" s="379">
        <f>IF(C224=0,0,C228/C224)</f>
        <v>2.5299539170506913</v>
      </c>
      <c r="D299" s="379">
        <f>IF(LN_IG3=0,0,LN_IG6/LN_IG3)</f>
        <v>2.6033755274261603</v>
      </c>
      <c r="E299" s="379">
        <f t="shared" si="30"/>
        <v>7.3421610375469015E-2</v>
      </c>
      <c r="F299" s="415">
        <f t="shared" si="31"/>
        <v>2.9020927962617078E-2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717</v>
      </c>
      <c r="C300" s="379">
        <f>IF(C264=0,0,C274/C264)</f>
        <v>4.0325256673511296</v>
      </c>
      <c r="D300" s="379">
        <f>IF(LN_IIA4=0,0,LN_IIA14/LN_IIA4)</f>
        <v>4.1381781815151264</v>
      </c>
      <c r="E300" s="379">
        <f t="shared" si="30"/>
        <v>0.10565251416399679</v>
      </c>
      <c r="F300" s="415">
        <f t="shared" si="31"/>
        <v>2.6200084730867299E-2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718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712</v>
      </c>
      <c r="C304" s="353">
        <f>C35+C66+C214+C221+C233</f>
        <v>585390725</v>
      </c>
      <c r="D304" s="353">
        <f>LN_IIA11</f>
        <v>604060585</v>
      </c>
      <c r="E304" s="353">
        <f t="shared" ref="E304:E316" si="32">D304-C304</f>
        <v>18669860</v>
      </c>
      <c r="F304" s="362">
        <f>IF(C304=0,0,E304/C304)</f>
        <v>3.1892989080071266E-2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715</v>
      </c>
      <c r="C305" s="353">
        <f>C291</f>
        <v>226075788</v>
      </c>
      <c r="D305" s="353">
        <f>LN_IIB14</f>
        <v>236466330</v>
      </c>
      <c r="E305" s="353">
        <f t="shared" si="32"/>
        <v>10390542</v>
      </c>
      <c r="F305" s="362">
        <f>IF(C305=0,0,E305/C305)</f>
        <v>4.5960436948692625E-2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719</v>
      </c>
      <c r="C306" s="353">
        <f>C250</f>
        <v>20829651</v>
      </c>
      <c r="D306" s="353">
        <f>LN_IH6</f>
        <v>17363336</v>
      </c>
      <c r="E306" s="353">
        <f t="shared" si="32"/>
        <v>-3466315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720</v>
      </c>
      <c r="C307" s="353">
        <f>C73-C74</f>
        <v>73605060</v>
      </c>
      <c r="D307" s="353">
        <f>LN_IB32-LN_IB33</f>
        <v>76682182</v>
      </c>
      <c r="E307" s="353">
        <f t="shared" si="32"/>
        <v>3077122</v>
      </c>
      <c r="F307" s="362">
        <f t="shared" ref="F307:F316" si="33">IF(C307=0,0,E307/C307)</f>
        <v>4.180584867399062E-2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721</v>
      </c>
      <c r="C308" s="353">
        <v>6257612</v>
      </c>
      <c r="D308" s="353">
        <v>5917710</v>
      </c>
      <c r="E308" s="353">
        <f t="shared" si="32"/>
        <v>-339902</v>
      </c>
      <c r="F308" s="362">
        <f t="shared" si="33"/>
        <v>-5.4318164820701571E-2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722</v>
      </c>
      <c r="C309" s="353">
        <f>C305+C307+C308+C306</f>
        <v>326768111</v>
      </c>
      <c r="D309" s="353">
        <f>LN_III2+LN_III3+LN_III4+LN_III5</f>
        <v>336429558</v>
      </c>
      <c r="E309" s="353">
        <f t="shared" si="32"/>
        <v>9661447</v>
      </c>
      <c r="F309" s="362">
        <f t="shared" si="33"/>
        <v>2.9566676412925739E-2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723</v>
      </c>
      <c r="C310" s="353">
        <f>C304-C309</f>
        <v>258622614</v>
      </c>
      <c r="D310" s="353">
        <f>LN_III1-LN_III6</f>
        <v>267631027</v>
      </c>
      <c r="E310" s="353">
        <f t="shared" si="32"/>
        <v>9008413</v>
      </c>
      <c r="F310" s="362">
        <f t="shared" si="33"/>
        <v>3.4832271086703961E-2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724</v>
      </c>
      <c r="C311" s="353">
        <f>C245</f>
        <v>2166356</v>
      </c>
      <c r="D311" s="353">
        <f>LN_IH3</f>
        <v>0</v>
      </c>
      <c r="E311" s="353">
        <f t="shared" si="32"/>
        <v>-2166356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725</v>
      </c>
      <c r="C312" s="353">
        <f>C310+C311</f>
        <v>260788970</v>
      </c>
      <c r="D312" s="353">
        <f>LN_III7+LN_III8</f>
        <v>267631027</v>
      </c>
      <c r="E312" s="353">
        <f t="shared" si="32"/>
        <v>6842057</v>
      </c>
      <c r="F312" s="362">
        <f t="shared" si="33"/>
        <v>2.6235990732276754E-2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726</v>
      </c>
      <c r="C313" s="448">
        <f>IF(C304=0,0,C312/C304)</f>
        <v>0.44549556195992002</v>
      </c>
      <c r="D313" s="448">
        <f>IF(LN_III1=0,0,LN_III9/LN_III1)</f>
        <v>0.44305328578920605</v>
      </c>
      <c r="E313" s="448">
        <f t="shared" si="32"/>
        <v>-2.442276170713964E-3</v>
      </c>
      <c r="F313" s="362">
        <f t="shared" si="33"/>
        <v>-5.4821560061549812E-3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684</v>
      </c>
      <c r="C314" s="353">
        <f>C306*C313</f>
        <v>9279517.0776740108</v>
      </c>
      <c r="D314" s="353">
        <f>D313*LN_III5</f>
        <v>7692883.0670620101</v>
      </c>
      <c r="E314" s="353">
        <f t="shared" si="32"/>
        <v>-1586634.0106120007</v>
      </c>
      <c r="F314" s="362">
        <f t="shared" si="33"/>
        <v>-0.17098239028293311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687</v>
      </c>
      <c r="C315" s="353">
        <f>(C214*C313)-C215</f>
        <v>19020449.790407829</v>
      </c>
      <c r="D315" s="353">
        <f>D313*LN_IH8-LN_IH9</f>
        <v>19397920.787186816</v>
      </c>
      <c r="E315" s="353">
        <f t="shared" si="32"/>
        <v>377470.99677898735</v>
      </c>
      <c r="F315" s="362">
        <f t="shared" si="33"/>
        <v>1.9845534723860688E-2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727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728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729</v>
      </c>
      <c r="C318" s="353">
        <f>C314+C315+C316</f>
        <v>28299966.868081838</v>
      </c>
      <c r="D318" s="353">
        <f>D314+D315+D316</f>
        <v>27090803.854248825</v>
      </c>
      <c r="E318" s="353">
        <f>D318-C318</f>
        <v>-1209163.0138330124</v>
      </c>
      <c r="F318" s="362">
        <f>IF(C318=0,0,E318/C318)</f>
        <v>-4.2726658284422549E-2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730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7801159.0368403839</v>
      </c>
      <c r="D322" s="353">
        <f>LN_ID22</f>
        <v>8492008.8677063733</v>
      </c>
      <c r="E322" s="353">
        <f>LN_IV2-C322</f>
        <v>690849.83086598944</v>
      </c>
      <c r="F322" s="362">
        <f>IF(C322=0,0,E322/C322)</f>
        <v>8.8557332007141928E-2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716</v>
      </c>
      <c r="C323" s="353">
        <f>C162+C176</f>
        <v>3543861.7751674806</v>
      </c>
      <c r="D323" s="353">
        <f>LN_IE10+LN_IE22</f>
        <v>280646.5480532418</v>
      </c>
      <c r="E323" s="353">
        <f>LN_IV3-C323</f>
        <v>-3263215.2271142388</v>
      </c>
      <c r="F323" s="362">
        <f>IF(C323=0,0,E323/C323)</f>
        <v>-0.92080770474181983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731</v>
      </c>
      <c r="C324" s="353">
        <f>C92+C106</f>
        <v>761520.21942743938</v>
      </c>
      <c r="D324" s="353">
        <f>LN_IC10+LN_IC22</f>
        <v>1250674.211746589</v>
      </c>
      <c r="E324" s="353">
        <f>LN_IV1-C324</f>
        <v>489153.99231914966</v>
      </c>
      <c r="F324" s="362">
        <f>IF(C324=0,0,E324/C324)</f>
        <v>0.64233881102582879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732</v>
      </c>
      <c r="C325" s="429">
        <f>C324+C322+C323</f>
        <v>12106541.031435303</v>
      </c>
      <c r="D325" s="429">
        <f>LN_IV1+LN_IV2+LN_IV3</f>
        <v>10023329.627506204</v>
      </c>
      <c r="E325" s="353">
        <f>LN_IV4-C325</f>
        <v>-2083211.4039290994</v>
      </c>
      <c r="F325" s="362">
        <f>IF(C325=0,0,E325/C325)</f>
        <v>-0.17207321220156324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733</v>
      </c>
      <c r="B327" s="446" t="s">
        <v>734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735</v>
      </c>
      <c r="C329" s="431">
        <v>11330897</v>
      </c>
      <c r="D329" s="431">
        <v>10155651</v>
      </c>
      <c r="E329" s="431">
        <f t="shared" ref="E329:E335" si="34">D329-C329</f>
        <v>-1175246</v>
      </c>
      <c r="F329" s="462">
        <f t="shared" ref="F329:F335" si="35">IF(C329=0,0,E329/C329)</f>
        <v>-0.10372047332175026</v>
      </c>
    </row>
    <row r="330" spans="1:22" s="333" customFormat="1" ht="11.25" customHeight="1" x14ac:dyDescent="0.2">
      <c r="A330" s="364">
        <v>2</v>
      </c>
      <c r="B330" s="360" t="s">
        <v>736</v>
      </c>
      <c r="C330" s="429">
        <v>9259746</v>
      </c>
      <c r="D330" s="429">
        <v>4302191</v>
      </c>
      <c r="E330" s="431">
        <f t="shared" si="34"/>
        <v>-4957555</v>
      </c>
      <c r="F330" s="463">
        <f t="shared" si="35"/>
        <v>-0.5353877957343538</v>
      </c>
    </row>
    <row r="331" spans="1:22" s="333" customFormat="1" ht="11.25" customHeight="1" x14ac:dyDescent="0.2">
      <c r="A331" s="339">
        <v>3</v>
      </c>
      <c r="B331" s="360" t="s">
        <v>737</v>
      </c>
      <c r="C331" s="429">
        <v>270048715</v>
      </c>
      <c r="D331" s="429">
        <v>271933218</v>
      </c>
      <c r="E331" s="431">
        <f t="shared" si="34"/>
        <v>1884503</v>
      </c>
      <c r="F331" s="462">
        <f t="shared" si="35"/>
        <v>6.9783816597683125E-3</v>
      </c>
    </row>
    <row r="332" spans="1:22" s="333" customFormat="1" ht="11.25" customHeight="1" x14ac:dyDescent="0.2">
      <c r="A332" s="364">
        <v>4</v>
      </c>
      <c r="B332" s="360" t="s">
        <v>738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739</v>
      </c>
      <c r="C333" s="429">
        <v>585390725</v>
      </c>
      <c r="D333" s="429">
        <v>604060585</v>
      </c>
      <c r="E333" s="431">
        <f t="shared" si="34"/>
        <v>18669860</v>
      </c>
      <c r="F333" s="462">
        <f t="shared" si="35"/>
        <v>3.1892989080071266E-2</v>
      </c>
    </row>
    <row r="334" spans="1:22" s="333" customFormat="1" ht="11.25" customHeight="1" x14ac:dyDescent="0.2">
      <c r="A334" s="339">
        <v>6</v>
      </c>
      <c r="B334" s="360" t="s">
        <v>740</v>
      </c>
      <c r="C334" s="429">
        <v>76847</v>
      </c>
      <c r="D334" s="429">
        <v>163776</v>
      </c>
      <c r="E334" s="429">
        <f t="shared" si="34"/>
        <v>86929</v>
      </c>
      <c r="F334" s="463">
        <f t="shared" si="35"/>
        <v>1.1311957525993208</v>
      </c>
    </row>
    <row r="335" spans="1:22" s="333" customFormat="1" ht="11.25" customHeight="1" x14ac:dyDescent="0.2">
      <c r="A335" s="364">
        <v>7</v>
      </c>
      <c r="B335" s="360" t="s">
        <v>741</v>
      </c>
      <c r="C335" s="429">
        <v>20906498</v>
      </c>
      <c r="D335" s="429">
        <v>17527112</v>
      </c>
      <c r="E335" s="429">
        <f t="shared" si="34"/>
        <v>-3379386</v>
      </c>
      <c r="F335" s="462">
        <f t="shared" si="35"/>
        <v>-0.16164285381511528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FILING&amp;RWILLIAM W. BACKUS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594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742</v>
      </c>
      <c r="B5" s="710"/>
      <c r="C5" s="710"/>
      <c r="D5" s="710"/>
      <c r="E5" s="710"/>
    </row>
    <row r="6" spans="1:5" s="338" customFormat="1" ht="15.75" customHeight="1" x14ac:dyDescent="0.25">
      <c r="A6" s="710" t="s">
        <v>743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744</v>
      </c>
      <c r="D9" s="494" t="s">
        <v>745</v>
      </c>
      <c r="E9" s="495" t="s">
        <v>746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747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748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624</v>
      </c>
      <c r="C14" s="513">
        <v>78155513</v>
      </c>
      <c r="D14" s="513">
        <v>80104999</v>
      </c>
      <c r="E14" s="514">
        <f t="shared" ref="E14:E22" si="0">D14-C14</f>
        <v>1949486</v>
      </c>
    </row>
    <row r="15" spans="1:5" s="506" customFormat="1" x14ac:dyDescent="0.2">
      <c r="A15" s="512">
        <v>2</v>
      </c>
      <c r="B15" s="511" t="s">
        <v>603</v>
      </c>
      <c r="C15" s="513">
        <v>118711488</v>
      </c>
      <c r="D15" s="515">
        <v>122661517</v>
      </c>
      <c r="E15" s="514">
        <f t="shared" si="0"/>
        <v>3950029</v>
      </c>
    </row>
    <row r="16" spans="1:5" s="506" customFormat="1" x14ac:dyDescent="0.2">
      <c r="A16" s="512">
        <v>3</v>
      </c>
      <c r="B16" s="511" t="s">
        <v>749</v>
      </c>
      <c r="C16" s="513">
        <v>33199945</v>
      </c>
      <c r="D16" s="515">
        <v>38530367</v>
      </c>
      <c r="E16" s="514">
        <f t="shared" si="0"/>
        <v>5330422</v>
      </c>
    </row>
    <row r="17" spans="1:5" s="506" customFormat="1" x14ac:dyDescent="0.2">
      <c r="A17" s="512">
        <v>4</v>
      </c>
      <c r="B17" s="511" t="s">
        <v>114</v>
      </c>
      <c r="C17" s="513">
        <v>25029572</v>
      </c>
      <c r="D17" s="515">
        <v>37204651</v>
      </c>
      <c r="E17" s="514">
        <f t="shared" si="0"/>
        <v>12175079</v>
      </c>
    </row>
    <row r="18" spans="1:5" s="506" customFormat="1" x14ac:dyDescent="0.2">
      <c r="A18" s="512">
        <v>5</v>
      </c>
      <c r="B18" s="511" t="s">
        <v>716</v>
      </c>
      <c r="C18" s="513">
        <v>8170373</v>
      </c>
      <c r="D18" s="515">
        <v>1325716</v>
      </c>
      <c r="E18" s="514">
        <f t="shared" si="0"/>
        <v>-6844657</v>
      </c>
    </row>
    <row r="19" spans="1:5" s="506" customFormat="1" x14ac:dyDescent="0.2">
      <c r="A19" s="512">
        <v>6</v>
      </c>
      <c r="B19" s="511" t="s">
        <v>416</v>
      </c>
      <c r="C19" s="513">
        <v>2330732</v>
      </c>
      <c r="D19" s="515">
        <v>2882913</v>
      </c>
      <c r="E19" s="514">
        <f t="shared" si="0"/>
        <v>552181</v>
      </c>
    </row>
    <row r="20" spans="1:5" s="506" customFormat="1" x14ac:dyDescent="0.2">
      <c r="A20" s="512">
        <v>7</v>
      </c>
      <c r="B20" s="511" t="s">
        <v>731</v>
      </c>
      <c r="C20" s="513">
        <v>3827835</v>
      </c>
      <c r="D20" s="515">
        <v>3268265</v>
      </c>
      <c r="E20" s="514">
        <f t="shared" si="0"/>
        <v>-559570</v>
      </c>
    </row>
    <row r="21" spans="1:5" s="506" customFormat="1" x14ac:dyDescent="0.2">
      <c r="A21" s="512"/>
      <c r="B21" s="516" t="s">
        <v>750</v>
      </c>
      <c r="C21" s="517">
        <f>SUM(C15+C16+C19)</f>
        <v>154242165</v>
      </c>
      <c r="D21" s="517">
        <f>SUM(D15+D16+D19)</f>
        <v>164074797</v>
      </c>
      <c r="E21" s="517">
        <f t="shared" si="0"/>
        <v>9832632</v>
      </c>
    </row>
    <row r="22" spans="1:5" s="506" customFormat="1" x14ac:dyDescent="0.2">
      <c r="A22" s="512"/>
      <c r="B22" s="516" t="s">
        <v>690</v>
      </c>
      <c r="C22" s="517">
        <f>SUM(C14+C21)</f>
        <v>232397678</v>
      </c>
      <c r="D22" s="517">
        <f>SUM(D14+D21)</f>
        <v>244179796</v>
      </c>
      <c r="E22" s="517">
        <f t="shared" si="0"/>
        <v>11782118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751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624</v>
      </c>
      <c r="C25" s="513">
        <v>178390153</v>
      </c>
      <c r="D25" s="513">
        <v>178766277</v>
      </c>
      <c r="E25" s="514">
        <f t="shared" ref="E25:E33" si="1">D25-C25</f>
        <v>376124</v>
      </c>
    </row>
    <row r="26" spans="1:5" s="506" customFormat="1" x14ac:dyDescent="0.2">
      <c r="A26" s="512">
        <v>2</v>
      </c>
      <c r="B26" s="511" t="s">
        <v>603</v>
      </c>
      <c r="C26" s="513">
        <v>106993930</v>
      </c>
      <c r="D26" s="515">
        <v>107995681</v>
      </c>
      <c r="E26" s="514">
        <f t="shared" si="1"/>
        <v>1001751</v>
      </c>
    </row>
    <row r="27" spans="1:5" s="506" customFormat="1" x14ac:dyDescent="0.2">
      <c r="A27" s="512">
        <v>3</v>
      </c>
      <c r="B27" s="511" t="s">
        <v>749</v>
      </c>
      <c r="C27" s="513">
        <v>60413133</v>
      </c>
      <c r="D27" s="515">
        <v>66258457</v>
      </c>
      <c r="E27" s="514">
        <f t="shared" si="1"/>
        <v>5845324</v>
      </c>
    </row>
    <row r="28" spans="1:5" s="506" customFormat="1" x14ac:dyDescent="0.2">
      <c r="A28" s="512">
        <v>4</v>
      </c>
      <c r="B28" s="511" t="s">
        <v>114</v>
      </c>
      <c r="C28" s="513">
        <v>48966375</v>
      </c>
      <c r="D28" s="515">
        <v>65160639</v>
      </c>
      <c r="E28" s="514">
        <f t="shared" si="1"/>
        <v>16194264</v>
      </c>
    </row>
    <row r="29" spans="1:5" s="506" customFormat="1" x14ac:dyDescent="0.2">
      <c r="A29" s="512">
        <v>5</v>
      </c>
      <c r="B29" s="511" t="s">
        <v>716</v>
      </c>
      <c r="C29" s="513">
        <v>11446758</v>
      </c>
      <c r="D29" s="515">
        <v>1097818</v>
      </c>
      <c r="E29" s="514">
        <f t="shared" si="1"/>
        <v>-10348940</v>
      </c>
    </row>
    <row r="30" spans="1:5" s="506" customFormat="1" x14ac:dyDescent="0.2">
      <c r="A30" s="512">
        <v>6</v>
      </c>
      <c r="B30" s="511" t="s">
        <v>416</v>
      </c>
      <c r="C30" s="513">
        <v>7195831</v>
      </c>
      <c r="D30" s="515">
        <v>6860374</v>
      </c>
      <c r="E30" s="514">
        <f t="shared" si="1"/>
        <v>-335457</v>
      </c>
    </row>
    <row r="31" spans="1:5" s="506" customFormat="1" x14ac:dyDescent="0.2">
      <c r="A31" s="512">
        <v>7</v>
      </c>
      <c r="B31" s="511" t="s">
        <v>731</v>
      </c>
      <c r="C31" s="514">
        <v>10114453</v>
      </c>
      <c r="D31" s="518">
        <v>10017380</v>
      </c>
      <c r="E31" s="514">
        <f t="shared" si="1"/>
        <v>-97073</v>
      </c>
    </row>
    <row r="32" spans="1:5" s="506" customFormat="1" x14ac:dyDescent="0.2">
      <c r="A32" s="512"/>
      <c r="B32" s="516" t="s">
        <v>752</v>
      </c>
      <c r="C32" s="517">
        <f>SUM(C26+C27+C30)</f>
        <v>174602894</v>
      </c>
      <c r="D32" s="517">
        <f>SUM(D26+D27+D30)</f>
        <v>181114512</v>
      </c>
      <c r="E32" s="517">
        <f t="shared" si="1"/>
        <v>6511618</v>
      </c>
    </row>
    <row r="33" spans="1:5" s="506" customFormat="1" x14ac:dyDescent="0.2">
      <c r="A33" s="512"/>
      <c r="B33" s="516" t="s">
        <v>696</v>
      </c>
      <c r="C33" s="517">
        <f>SUM(C25+C32)</f>
        <v>352993047</v>
      </c>
      <c r="D33" s="517">
        <f>SUM(D25+D32)</f>
        <v>359880789</v>
      </c>
      <c r="E33" s="517">
        <f t="shared" si="1"/>
        <v>6887742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621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753</v>
      </c>
      <c r="C36" s="514">
        <f t="shared" ref="C36:D42" si="2">C14+C25</f>
        <v>256545666</v>
      </c>
      <c r="D36" s="514">
        <f t="shared" si="2"/>
        <v>258871276</v>
      </c>
      <c r="E36" s="514">
        <f t="shared" ref="E36:E44" si="3">D36-C36</f>
        <v>2325610</v>
      </c>
    </row>
    <row r="37" spans="1:5" s="506" customFormat="1" x14ac:dyDescent="0.2">
      <c r="A37" s="512">
        <v>2</v>
      </c>
      <c r="B37" s="511" t="s">
        <v>754</v>
      </c>
      <c r="C37" s="514">
        <f t="shared" si="2"/>
        <v>225705418</v>
      </c>
      <c r="D37" s="514">
        <f t="shared" si="2"/>
        <v>230657198</v>
      </c>
      <c r="E37" s="514">
        <f t="shared" si="3"/>
        <v>4951780</v>
      </c>
    </row>
    <row r="38" spans="1:5" s="506" customFormat="1" x14ac:dyDescent="0.2">
      <c r="A38" s="512">
        <v>3</v>
      </c>
      <c r="B38" s="511" t="s">
        <v>755</v>
      </c>
      <c r="C38" s="514">
        <f t="shared" si="2"/>
        <v>93613078</v>
      </c>
      <c r="D38" s="514">
        <f t="shared" si="2"/>
        <v>104788824</v>
      </c>
      <c r="E38" s="514">
        <f t="shared" si="3"/>
        <v>11175746</v>
      </c>
    </row>
    <row r="39" spans="1:5" s="506" customFormat="1" x14ac:dyDescent="0.2">
      <c r="A39" s="512">
        <v>4</v>
      </c>
      <c r="B39" s="511" t="s">
        <v>756</v>
      </c>
      <c r="C39" s="514">
        <f t="shared" si="2"/>
        <v>73995947</v>
      </c>
      <c r="D39" s="514">
        <f t="shared" si="2"/>
        <v>102365290</v>
      </c>
      <c r="E39" s="514">
        <f t="shared" si="3"/>
        <v>28369343</v>
      </c>
    </row>
    <row r="40" spans="1:5" s="506" customFormat="1" x14ac:dyDescent="0.2">
      <c r="A40" s="512">
        <v>5</v>
      </c>
      <c r="B40" s="511" t="s">
        <v>757</v>
      </c>
      <c r="C40" s="514">
        <f t="shared" si="2"/>
        <v>19617131</v>
      </c>
      <c r="D40" s="514">
        <f t="shared" si="2"/>
        <v>2423534</v>
      </c>
      <c r="E40" s="514">
        <f t="shared" si="3"/>
        <v>-17193597</v>
      </c>
    </row>
    <row r="41" spans="1:5" s="506" customFormat="1" x14ac:dyDescent="0.2">
      <c r="A41" s="512">
        <v>6</v>
      </c>
      <c r="B41" s="511" t="s">
        <v>758</v>
      </c>
      <c r="C41" s="514">
        <f t="shared" si="2"/>
        <v>9526563</v>
      </c>
      <c r="D41" s="514">
        <f t="shared" si="2"/>
        <v>9743287</v>
      </c>
      <c r="E41" s="514">
        <f t="shared" si="3"/>
        <v>216724</v>
      </c>
    </row>
    <row r="42" spans="1:5" s="506" customFormat="1" x14ac:dyDescent="0.2">
      <c r="A42" s="512">
        <v>7</v>
      </c>
      <c r="B42" s="511" t="s">
        <v>759</v>
      </c>
      <c r="C42" s="514">
        <f t="shared" si="2"/>
        <v>13942288</v>
      </c>
      <c r="D42" s="514">
        <f t="shared" si="2"/>
        <v>13285645</v>
      </c>
      <c r="E42" s="514">
        <f t="shared" si="3"/>
        <v>-656643</v>
      </c>
    </row>
    <row r="43" spans="1:5" s="506" customFormat="1" x14ac:dyDescent="0.2">
      <c r="A43" s="512"/>
      <c r="B43" s="516" t="s">
        <v>760</v>
      </c>
      <c r="C43" s="517">
        <f>SUM(C37+C38+C41)</f>
        <v>328845059</v>
      </c>
      <c r="D43" s="517">
        <f>SUM(D37+D38+D41)</f>
        <v>345189309</v>
      </c>
      <c r="E43" s="517">
        <f t="shared" si="3"/>
        <v>16344250</v>
      </c>
    </row>
    <row r="44" spans="1:5" s="506" customFormat="1" x14ac:dyDescent="0.2">
      <c r="A44" s="512"/>
      <c r="B44" s="516" t="s">
        <v>698</v>
      </c>
      <c r="C44" s="517">
        <f>SUM(C36+C43)</f>
        <v>585390725</v>
      </c>
      <c r="D44" s="517">
        <f>SUM(D36+D43)</f>
        <v>604060585</v>
      </c>
      <c r="E44" s="517">
        <f t="shared" si="3"/>
        <v>18669860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319</v>
      </c>
      <c r="B46" s="509" t="s">
        <v>761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624</v>
      </c>
      <c r="C47" s="513">
        <v>57243662</v>
      </c>
      <c r="D47" s="513">
        <v>60420640</v>
      </c>
      <c r="E47" s="514">
        <f t="shared" ref="E47:E55" si="4">D47-C47</f>
        <v>3176978</v>
      </c>
    </row>
    <row r="48" spans="1:5" s="506" customFormat="1" x14ac:dyDescent="0.2">
      <c r="A48" s="512">
        <v>2</v>
      </c>
      <c r="B48" s="511" t="s">
        <v>603</v>
      </c>
      <c r="C48" s="513">
        <v>50024630</v>
      </c>
      <c r="D48" s="515">
        <v>51533821</v>
      </c>
      <c r="E48" s="514">
        <f t="shared" si="4"/>
        <v>1509191</v>
      </c>
    </row>
    <row r="49" spans="1:5" s="506" customFormat="1" x14ac:dyDescent="0.2">
      <c r="A49" s="512">
        <v>3</v>
      </c>
      <c r="B49" s="511" t="s">
        <v>749</v>
      </c>
      <c r="C49" s="513">
        <v>7654275</v>
      </c>
      <c r="D49" s="515">
        <v>11211270</v>
      </c>
      <c r="E49" s="514">
        <f t="shared" si="4"/>
        <v>3556995</v>
      </c>
    </row>
    <row r="50" spans="1:5" s="506" customFormat="1" x14ac:dyDescent="0.2">
      <c r="A50" s="512">
        <v>4</v>
      </c>
      <c r="B50" s="511" t="s">
        <v>114</v>
      </c>
      <c r="C50" s="513">
        <v>6568500</v>
      </c>
      <c r="D50" s="515">
        <v>10926316</v>
      </c>
      <c r="E50" s="514">
        <f t="shared" si="4"/>
        <v>4357816</v>
      </c>
    </row>
    <row r="51" spans="1:5" s="506" customFormat="1" x14ac:dyDescent="0.2">
      <c r="A51" s="512">
        <v>5</v>
      </c>
      <c r="B51" s="511" t="s">
        <v>716</v>
      </c>
      <c r="C51" s="513">
        <v>1085775</v>
      </c>
      <c r="D51" s="515">
        <v>284954</v>
      </c>
      <c r="E51" s="514">
        <f t="shared" si="4"/>
        <v>-800821</v>
      </c>
    </row>
    <row r="52" spans="1:5" s="506" customFormat="1" x14ac:dyDescent="0.2">
      <c r="A52" s="512">
        <v>6</v>
      </c>
      <c r="B52" s="511" t="s">
        <v>416</v>
      </c>
      <c r="C52" s="513">
        <v>909649</v>
      </c>
      <c r="D52" s="515">
        <v>1160549</v>
      </c>
      <c r="E52" s="514">
        <f t="shared" si="4"/>
        <v>250900</v>
      </c>
    </row>
    <row r="53" spans="1:5" s="506" customFormat="1" x14ac:dyDescent="0.2">
      <c r="A53" s="512">
        <v>7</v>
      </c>
      <c r="B53" s="511" t="s">
        <v>731</v>
      </c>
      <c r="C53" s="513">
        <v>928196</v>
      </c>
      <c r="D53" s="515">
        <v>702521</v>
      </c>
      <c r="E53" s="514">
        <f t="shared" si="4"/>
        <v>-225675</v>
      </c>
    </row>
    <row r="54" spans="1:5" s="506" customFormat="1" x14ac:dyDescent="0.2">
      <c r="A54" s="512"/>
      <c r="B54" s="516" t="s">
        <v>762</v>
      </c>
      <c r="C54" s="517">
        <f>SUM(C48+C49+C52)</f>
        <v>58588554</v>
      </c>
      <c r="D54" s="517">
        <f>SUM(D48+D49+D52)</f>
        <v>63905640</v>
      </c>
      <c r="E54" s="517">
        <f t="shared" si="4"/>
        <v>5317086</v>
      </c>
    </row>
    <row r="55" spans="1:5" s="506" customFormat="1" x14ac:dyDescent="0.2">
      <c r="A55" s="512"/>
      <c r="B55" s="516" t="s">
        <v>691</v>
      </c>
      <c r="C55" s="517">
        <f>SUM(C47+C54)</f>
        <v>115832216</v>
      </c>
      <c r="D55" s="517">
        <f>SUM(D47+D54)</f>
        <v>124326280</v>
      </c>
      <c r="E55" s="517">
        <f t="shared" si="4"/>
        <v>8494064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340</v>
      </c>
      <c r="B57" s="509" t="s">
        <v>763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624</v>
      </c>
      <c r="C58" s="513">
        <v>98609680</v>
      </c>
      <c r="D58" s="513">
        <v>98487408</v>
      </c>
      <c r="E58" s="514">
        <f t="shared" ref="E58:E66" si="5">D58-C58</f>
        <v>-122272</v>
      </c>
    </row>
    <row r="59" spans="1:5" s="506" customFormat="1" x14ac:dyDescent="0.2">
      <c r="A59" s="512">
        <v>2</v>
      </c>
      <c r="B59" s="511" t="s">
        <v>603</v>
      </c>
      <c r="C59" s="513">
        <v>26944789</v>
      </c>
      <c r="D59" s="515">
        <v>27092973</v>
      </c>
      <c r="E59" s="514">
        <f t="shared" si="5"/>
        <v>148184</v>
      </c>
    </row>
    <row r="60" spans="1:5" s="506" customFormat="1" x14ac:dyDescent="0.2">
      <c r="A60" s="512">
        <v>3</v>
      </c>
      <c r="B60" s="511" t="s">
        <v>749</v>
      </c>
      <c r="C60" s="513">
        <f>C61+C62</f>
        <v>15029486</v>
      </c>
      <c r="D60" s="515">
        <f>D61+D62</f>
        <v>15817842</v>
      </c>
      <c r="E60" s="514">
        <f t="shared" si="5"/>
        <v>788356</v>
      </c>
    </row>
    <row r="61" spans="1:5" s="506" customFormat="1" x14ac:dyDescent="0.2">
      <c r="A61" s="512">
        <v>4</v>
      </c>
      <c r="B61" s="511" t="s">
        <v>114</v>
      </c>
      <c r="C61" s="513">
        <v>13349593</v>
      </c>
      <c r="D61" s="515">
        <v>15532626</v>
      </c>
      <c r="E61" s="514">
        <f t="shared" si="5"/>
        <v>2183033</v>
      </c>
    </row>
    <row r="62" spans="1:5" s="506" customFormat="1" x14ac:dyDescent="0.2">
      <c r="A62" s="512">
        <v>5</v>
      </c>
      <c r="B62" s="511" t="s">
        <v>716</v>
      </c>
      <c r="C62" s="513">
        <v>1679893</v>
      </c>
      <c r="D62" s="515">
        <v>285216</v>
      </c>
      <c r="E62" s="514">
        <f t="shared" si="5"/>
        <v>-1394677</v>
      </c>
    </row>
    <row r="63" spans="1:5" s="506" customFormat="1" x14ac:dyDescent="0.2">
      <c r="A63" s="512">
        <v>6</v>
      </c>
      <c r="B63" s="511" t="s">
        <v>416</v>
      </c>
      <c r="C63" s="513">
        <v>2206442</v>
      </c>
      <c r="D63" s="515">
        <v>1906524</v>
      </c>
      <c r="E63" s="514">
        <f t="shared" si="5"/>
        <v>-299918</v>
      </c>
    </row>
    <row r="64" spans="1:5" s="506" customFormat="1" x14ac:dyDescent="0.2">
      <c r="A64" s="512">
        <v>7</v>
      </c>
      <c r="B64" s="511" t="s">
        <v>731</v>
      </c>
      <c r="C64" s="513">
        <v>2171511</v>
      </c>
      <c r="D64" s="515">
        <v>2365301</v>
      </c>
      <c r="E64" s="514">
        <f t="shared" si="5"/>
        <v>193790</v>
      </c>
    </row>
    <row r="65" spans="1:5" s="506" customFormat="1" x14ac:dyDescent="0.2">
      <c r="A65" s="512"/>
      <c r="B65" s="516" t="s">
        <v>764</v>
      </c>
      <c r="C65" s="517">
        <f>SUM(C59+C60+C63)</f>
        <v>44180717</v>
      </c>
      <c r="D65" s="517">
        <f>SUM(D59+D60+D63)</f>
        <v>44817339</v>
      </c>
      <c r="E65" s="517">
        <f t="shared" si="5"/>
        <v>636622</v>
      </c>
    </row>
    <row r="66" spans="1:5" s="506" customFormat="1" x14ac:dyDescent="0.2">
      <c r="A66" s="512"/>
      <c r="B66" s="516" t="s">
        <v>697</v>
      </c>
      <c r="C66" s="517">
        <f>SUM(C58+C65)</f>
        <v>142790397</v>
      </c>
      <c r="D66" s="517">
        <f>SUM(D58+D65)</f>
        <v>143304747</v>
      </c>
      <c r="E66" s="517">
        <f t="shared" si="5"/>
        <v>514350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352</v>
      </c>
      <c r="B68" s="521" t="s">
        <v>622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753</v>
      </c>
      <c r="C69" s="514">
        <f t="shared" ref="C69:D75" si="6">C47+C58</f>
        <v>155853342</v>
      </c>
      <c r="D69" s="514">
        <f t="shared" si="6"/>
        <v>158908048</v>
      </c>
      <c r="E69" s="514">
        <f t="shared" ref="E69:E77" si="7">D69-C69</f>
        <v>3054706</v>
      </c>
    </row>
    <row r="70" spans="1:5" s="506" customFormat="1" x14ac:dyDescent="0.2">
      <c r="A70" s="512">
        <v>2</v>
      </c>
      <c r="B70" s="511" t="s">
        <v>754</v>
      </c>
      <c r="C70" s="514">
        <f t="shared" si="6"/>
        <v>76969419</v>
      </c>
      <c r="D70" s="514">
        <f t="shared" si="6"/>
        <v>78626794</v>
      </c>
      <c r="E70" s="514">
        <f t="shared" si="7"/>
        <v>1657375</v>
      </c>
    </row>
    <row r="71" spans="1:5" s="506" customFormat="1" x14ac:dyDescent="0.2">
      <c r="A71" s="512">
        <v>3</v>
      </c>
      <c r="B71" s="511" t="s">
        <v>755</v>
      </c>
      <c r="C71" s="514">
        <f t="shared" si="6"/>
        <v>22683761</v>
      </c>
      <c r="D71" s="514">
        <f t="shared" si="6"/>
        <v>27029112</v>
      </c>
      <c r="E71" s="514">
        <f t="shared" si="7"/>
        <v>4345351</v>
      </c>
    </row>
    <row r="72" spans="1:5" s="506" customFormat="1" x14ac:dyDescent="0.2">
      <c r="A72" s="512">
        <v>4</v>
      </c>
      <c r="B72" s="511" t="s">
        <v>756</v>
      </c>
      <c r="C72" s="514">
        <f t="shared" si="6"/>
        <v>19918093</v>
      </c>
      <c r="D72" s="514">
        <f t="shared" si="6"/>
        <v>26458942</v>
      </c>
      <c r="E72" s="514">
        <f t="shared" si="7"/>
        <v>6540849</v>
      </c>
    </row>
    <row r="73" spans="1:5" s="506" customFormat="1" x14ac:dyDescent="0.2">
      <c r="A73" s="512">
        <v>5</v>
      </c>
      <c r="B73" s="511" t="s">
        <v>757</v>
      </c>
      <c r="C73" s="514">
        <f t="shared" si="6"/>
        <v>2765668</v>
      </c>
      <c r="D73" s="514">
        <f t="shared" si="6"/>
        <v>570170</v>
      </c>
      <c r="E73" s="514">
        <f t="shared" si="7"/>
        <v>-2195498</v>
      </c>
    </row>
    <row r="74" spans="1:5" s="506" customFormat="1" x14ac:dyDescent="0.2">
      <c r="A74" s="512">
        <v>6</v>
      </c>
      <c r="B74" s="511" t="s">
        <v>758</v>
      </c>
      <c r="C74" s="514">
        <f t="shared" si="6"/>
        <v>3116091</v>
      </c>
      <c r="D74" s="514">
        <f t="shared" si="6"/>
        <v>3067073</v>
      </c>
      <c r="E74" s="514">
        <f t="shared" si="7"/>
        <v>-49018</v>
      </c>
    </row>
    <row r="75" spans="1:5" s="506" customFormat="1" x14ac:dyDescent="0.2">
      <c r="A75" s="512">
        <v>7</v>
      </c>
      <c r="B75" s="511" t="s">
        <v>759</v>
      </c>
      <c r="C75" s="514">
        <f t="shared" si="6"/>
        <v>3099707</v>
      </c>
      <c r="D75" s="514">
        <f t="shared" si="6"/>
        <v>3067822</v>
      </c>
      <c r="E75" s="514">
        <f t="shared" si="7"/>
        <v>-31885</v>
      </c>
    </row>
    <row r="76" spans="1:5" s="506" customFormat="1" x14ac:dyDescent="0.2">
      <c r="A76" s="512"/>
      <c r="B76" s="516" t="s">
        <v>765</v>
      </c>
      <c r="C76" s="517">
        <f>SUM(C70+C71+C74)</f>
        <v>102769271</v>
      </c>
      <c r="D76" s="517">
        <f>SUM(D70+D71+D74)</f>
        <v>108722979</v>
      </c>
      <c r="E76" s="517">
        <f t="shared" si="7"/>
        <v>5953708</v>
      </c>
    </row>
    <row r="77" spans="1:5" s="506" customFormat="1" x14ac:dyDescent="0.2">
      <c r="A77" s="512"/>
      <c r="B77" s="516" t="s">
        <v>699</v>
      </c>
      <c r="C77" s="517">
        <f>SUM(C69+C76)</f>
        <v>258622613</v>
      </c>
      <c r="D77" s="517">
        <f>SUM(D69+D76)</f>
        <v>267631027</v>
      </c>
      <c r="E77" s="517">
        <f t="shared" si="7"/>
        <v>9008414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766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767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624</v>
      </c>
      <c r="C83" s="523">
        <f t="shared" ref="C83:D89" si="8">IF(C$44=0,0,C14/C$44)</f>
        <v>0.13350999539666433</v>
      </c>
      <c r="D83" s="523">
        <f t="shared" si="8"/>
        <v>0.13261086882535136</v>
      </c>
      <c r="E83" s="523">
        <f t="shared" ref="E83:E91" si="9">D83-C83</f>
        <v>-8.9912657131296925E-4</v>
      </c>
    </row>
    <row r="84" spans="1:5" s="506" customFormat="1" x14ac:dyDescent="0.2">
      <c r="A84" s="512">
        <v>2</v>
      </c>
      <c r="B84" s="511" t="s">
        <v>603</v>
      </c>
      <c r="C84" s="523">
        <f t="shared" si="8"/>
        <v>0.20279017574116842</v>
      </c>
      <c r="D84" s="523">
        <f t="shared" si="8"/>
        <v>0.20306161343071241</v>
      </c>
      <c r="E84" s="523">
        <f t="shared" si="9"/>
        <v>2.7143768954399072E-4</v>
      </c>
    </row>
    <row r="85" spans="1:5" s="506" customFormat="1" x14ac:dyDescent="0.2">
      <c r="A85" s="512">
        <v>3</v>
      </c>
      <c r="B85" s="511" t="s">
        <v>749</v>
      </c>
      <c r="C85" s="523">
        <f t="shared" si="8"/>
        <v>5.6714163006255355E-2</v>
      </c>
      <c r="D85" s="523">
        <f t="shared" si="8"/>
        <v>6.3785600247365917E-2</v>
      </c>
      <c r="E85" s="523">
        <f t="shared" si="9"/>
        <v>7.0714372411105619E-3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4.2757035482583021E-2</v>
      </c>
      <c r="D86" s="523">
        <f t="shared" si="8"/>
        <v>6.1590926347230554E-2</v>
      </c>
      <c r="E86" s="523">
        <f t="shared" si="9"/>
        <v>1.8833890864647533E-2</v>
      </c>
    </row>
    <row r="87" spans="1:5" s="506" customFormat="1" x14ac:dyDescent="0.2">
      <c r="A87" s="512">
        <v>5</v>
      </c>
      <c r="B87" s="511" t="s">
        <v>716</v>
      </c>
      <c r="C87" s="523">
        <f t="shared" si="8"/>
        <v>1.3957127523672331E-2</v>
      </c>
      <c r="D87" s="523">
        <f t="shared" si="8"/>
        <v>2.1946739001353645E-3</v>
      </c>
      <c r="E87" s="523">
        <f t="shared" si="9"/>
        <v>-1.1762453623536966E-2</v>
      </c>
    </row>
    <row r="88" spans="1:5" s="506" customFormat="1" x14ac:dyDescent="0.2">
      <c r="A88" s="512">
        <v>6</v>
      </c>
      <c r="B88" s="511" t="s">
        <v>416</v>
      </c>
      <c r="C88" s="523">
        <f t="shared" si="8"/>
        <v>3.9814979986230563E-3</v>
      </c>
      <c r="D88" s="523">
        <f t="shared" si="8"/>
        <v>4.7725560508140091E-3</v>
      </c>
      <c r="E88" s="523">
        <f t="shared" si="9"/>
        <v>7.9105805219095281E-4</v>
      </c>
    </row>
    <row r="89" spans="1:5" s="506" customFormat="1" x14ac:dyDescent="0.2">
      <c r="A89" s="512">
        <v>7</v>
      </c>
      <c r="B89" s="511" t="s">
        <v>731</v>
      </c>
      <c r="C89" s="523">
        <f t="shared" si="8"/>
        <v>6.5389402949628216E-3</v>
      </c>
      <c r="D89" s="523">
        <f t="shared" si="8"/>
        <v>5.4104920618186008E-3</v>
      </c>
      <c r="E89" s="523">
        <f t="shared" si="9"/>
        <v>-1.1284482331442207E-3</v>
      </c>
    </row>
    <row r="90" spans="1:5" s="506" customFormat="1" x14ac:dyDescent="0.2">
      <c r="A90" s="512"/>
      <c r="B90" s="516" t="s">
        <v>768</v>
      </c>
      <c r="C90" s="524">
        <f>SUM(C84+C85+C88)</f>
        <v>0.26348583674604686</v>
      </c>
      <c r="D90" s="524">
        <f>SUM(D84+D85+D88)</f>
        <v>0.27161976972889235</v>
      </c>
      <c r="E90" s="525">
        <f t="shared" si="9"/>
        <v>8.1339329828454821E-3</v>
      </c>
    </row>
    <row r="91" spans="1:5" s="506" customFormat="1" x14ac:dyDescent="0.2">
      <c r="A91" s="512"/>
      <c r="B91" s="516" t="s">
        <v>769</v>
      </c>
      <c r="C91" s="524">
        <f>SUM(C83+C90)</f>
        <v>0.39699583214271117</v>
      </c>
      <c r="D91" s="524">
        <f>SUM(D83+D90)</f>
        <v>0.40423063855424368</v>
      </c>
      <c r="E91" s="525">
        <f t="shared" si="9"/>
        <v>7.2348064115325128E-3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770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624</v>
      </c>
      <c r="C95" s="523">
        <f t="shared" ref="C95:D101" si="10">IF(C$44=0,0,C25/C$44)</f>
        <v>0.30473689688199279</v>
      </c>
      <c r="D95" s="523">
        <f t="shared" si="10"/>
        <v>0.29594097254334184</v>
      </c>
      <c r="E95" s="523">
        <f t="shared" ref="E95:E103" si="11">D95-C95</f>
        <v>-8.7959243386509511E-3</v>
      </c>
    </row>
    <row r="96" spans="1:5" s="506" customFormat="1" x14ac:dyDescent="0.2">
      <c r="A96" s="512">
        <v>2</v>
      </c>
      <c r="B96" s="511" t="s">
        <v>603</v>
      </c>
      <c r="C96" s="523">
        <f t="shared" si="10"/>
        <v>0.18277353130253302</v>
      </c>
      <c r="D96" s="523">
        <f t="shared" si="10"/>
        <v>0.1787828633116329</v>
      </c>
      <c r="E96" s="523">
        <f t="shared" si="11"/>
        <v>-3.9906679909001153E-3</v>
      </c>
    </row>
    <row r="97" spans="1:5" s="506" customFormat="1" x14ac:dyDescent="0.2">
      <c r="A97" s="512">
        <v>3</v>
      </c>
      <c r="B97" s="511" t="s">
        <v>749</v>
      </c>
      <c r="C97" s="523">
        <f t="shared" si="10"/>
        <v>0.10320138399869591</v>
      </c>
      <c r="D97" s="523">
        <f t="shared" si="10"/>
        <v>0.10968842967961566</v>
      </c>
      <c r="E97" s="523">
        <f t="shared" si="11"/>
        <v>6.487045680919748E-3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8.3647336571654768E-2</v>
      </c>
      <c r="D98" s="523">
        <f t="shared" si="10"/>
        <v>0.10787103250578747</v>
      </c>
      <c r="E98" s="523">
        <f t="shared" si="11"/>
        <v>2.4223695934132705E-2</v>
      </c>
    </row>
    <row r="99" spans="1:5" s="506" customFormat="1" x14ac:dyDescent="0.2">
      <c r="A99" s="512">
        <v>5</v>
      </c>
      <c r="B99" s="511" t="s">
        <v>716</v>
      </c>
      <c r="C99" s="523">
        <f t="shared" si="10"/>
        <v>1.9554047427041144E-2</v>
      </c>
      <c r="D99" s="523">
        <f t="shared" si="10"/>
        <v>1.8173971738281848E-3</v>
      </c>
      <c r="E99" s="523">
        <f t="shared" si="11"/>
        <v>-1.7736650253212957E-2</v>
      </c>
    </row>
    <row r="100" spans="1:5" s="506" customFormat="1" x14ac:dyDescent="0.2">
      <c r="A100" s="512">
        <v>6</v>
      </c>
      <c r="B100" s="511" t="s">
        <v>416</v>
      </c>
      <c r="C100" s="523">
        <f t="shared" si="10"/>
        <v>1.2292355674067093E-2</v>
      </c>
      <c r="D100" s="523">
        <f t="shared" si="10"/>
        <v>1.135709591116593E-2</v>
      </c>
      <c r="E100" s="523">
        <f t="shared" si="11"/>
        <v>-9.3525976290116317E-4</v>
      </c>
    </row>
    <row r="101" spans="1:5" s="506" customFormat="1" x14ac:dyDescent="0.2">
      <c r="A101" s="512">
        <v>7</v>
      </c>
      <c r="B101" s="511" t="s">
        <v>731</v>
      </c>
      <c r="C101" s="523">
        <f t="shared" si="10"/>
        <v>1.727812308608067E-2</v>
      </c>
      <c r="D101" s="523">
        <f t="shared" si="10"/>
        <v>1.6583402805531503E-2</v>
      </c>
      <c r="E101" s="523">
        <f t="shared" si="11"/>
        <v>-6.947202805491666E-4</v>
      </c>
    </row>
    <row r="102" spans="1:5" s="506" customFormat="1" x14ac:dyDescent="0.2">
      <c r="A102" s="512"/>
      <c r="B102" s="516" t="s">
        <v>771</v>
      </c>
      <c r="C102" s="524">
        <f>SUM(C96+C97+C100)</f>
        <v>0.29826727097529604</v>
      </c>
      <c r="D102" s="524">
        <f>SUM(D96+D97+D100)</f>
        <v>0.29982838890241448</v>
      </c>
      <c r="E102" s="525">
        <f t="shared" si="11"/>
        <v>1.5611179271184383E-3</v>
      </c>
    </row>
    <row r="103" spans="1:5" s="506" customFormat="1" x14ac:dyDescent="0.2">
      <c r="A103" s="512"/>
      <c r="B103" s="516" t="s">
        <v>772</v>
      </c>
      <c r="C103" s="524">
        <f>SUM(C95+C102)</f>
        <v>0.60300416785728883</v>
      </c>
      <c r="D103" s="524">
        <f>SUM(D95+D102)</f>
        <v>0.59576936144575632</v>
      </c>
      <c r="E103" s="525">
        <f t="shared" si="11"/>
        <v>-7.2348064115325128E-3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773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774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624</v>
      </c>
      <c r="C109" s="523">
        <f t="shared" ref="C109:D115" si="12">IF(C$77=0,0,C47/C$77)</f>
        <v>0.22134051363868942</v>
      </c>
      <c r="D109" s="523">
        <f t="shared" si="12"/>
        <v>0.22576096903742032</v>
      </c>
      <c r="E109" s="523">
        <f t="shared" ref="E109:E117" si="13">D109-C109</f>
        <v>4.4204553987308992E-3</v>
      </c>
    </row>
    <row r="110" spans="1:5" s="506" customFormat="1" x14ac:dyDescent="0.2">
      <c r="A110" s="512">
        <v>2</v>
      </c>
      <c r="B110" s="511" t="s">
        <v>603</v>
      </c>
      <c r="C110" s="523">
        <f t="shared" si="12"/>
        <v>0.19342713082865651</v>
      </c>
      <c r="D110" s="523">
        <f t="shared" si="12"/>
        <v>0.19255548049740884</v>
      </c>
      <c r="E110" s="523">
        <f t="shared" si="13"/>
        <v>-8.7165033124766977E-4</v>
      </c>
    </row>
    <row r="111" spans="1:5" s="506" customFormat="1" x14ac:dyDescent="0.2">
      <c r="A111" s="512">
        <v>3</v>
      </c>
      <c r="B111" s="511" t="s">
        <v>749</v>
      </c>
      <c r="C111" s="523">
        <f t="shared" si="12"/>
        <v>2.9596309894216404E-2</v>
      </c>
      <c r="D111" s="523">
        <f t="shared" si="12"/>
        <v>4.1890770758802938E-2</v>
      </c>
      <c r="E111" s="523">
        <f t="shared" si="13"/>
        <v>1.2294460864586534E-2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2.5398011116684525E-2</v>
      </c>
      <c r="D112" s="523">
        <f t="shared" si="12"/>
        <v>4.0826043685884002E-2</v>
      </c>
      <c r="E112" s="523">
        <f t="shared" si="13"/>
        <v>1.5428032569199477E-2</v>
      </c>
    </row>
    <row r="113" spans="1:5" s="506" customFormat="1" x14ac:dyDescent="0.2">
      <c r="A113" s="512">
        <v>5</v>
      </c>
      <c r="B113" s="511" t="s">
        <v>716</v>
      </c>
      <c r="C113" s="523">
        <f t="shared" si="12"/>
        <v>4.1982987775318779E-3</v>
      </c>
      <c r="D113" s="523">
        <f t="shared" si="12"/>
        <v>1.0647270729189408E-3</v>
      </c>
      <c r="E113" s="523">
        <f t="shared" si="13"/>
        <v>-3.1335717046129374E-3</v>
      </c>
    </row>
    <row r="114" spans="1:5" s="506" customFormat="1" x14ac:dyDescent="0.2">
      <c r="A114" s="512">
        <v>6</v>
      </c>
      <c r="B114" s="511" t="s">
        <v>416</v>
      </c>
      <c r="C114" s="523">
        <f t="shared" si="12"/>
        <v>3.5172833088651843E-3</v>
      </c>
      <c r="D114" s="523">
        <f t="shared" si="12"/>
        <v>4.3363768880205359E-3</v>
      </c>
      <c r="E114" s="523">
        <f t="shared" si="13"/>
        <v>8.1909357915535162E-4</v>
      </c>
    </row>
    <row r="115" spans="1:5" s="506" customFormat="1" x14ac:dyDescent="0.2">
      <c r="A115" s="512">
        <v>7</v>
      </c>
      <c r="B115" s="511" t="s">
        <v>731</v>
      </c>
      <c r="C115" s="523">
        <f t="shared" si="12"/>
        <v>3.5889978421956474E-3</v>
      </c>
      <c r="D115" s="523">
        <f t="shared" si="12"/>
        <v>2.6249609691181286E-3</v>
      </c>
      <c r="E115" s="523">
        <f t="shared" si="13"/>
        <v>-9.6403687307751885E-4</v>
      </c>
    </row>
    <row r="116" spans="1:5" s="506" customFormat="1" x14ac:dyDescent="0.2">
      <c r="A116" s="512"/>
      <c r="B116" s="516" t="s">
        <v>768</v>
      </c>
      <c r="C116" s="524">
        <f>SUM(C110+C111+C114)</f>
        <v>0.22654072403173811</v>
      </c>
      <c r="D116" s="524">
        <f>SUM(D110+D111+D114)</f>
        <v>0.23878262814423232</v>
      </c>
      <c r="E116" s="525">
        <f t="shared" si="13"/>
        <v>1.2241904112494206E-2</v>
      </c>
    </row>
    <row r="117" spans="1:5" s="506" customFormat="1" x14ac:dyDescent="0.2">
      <c r="A117" s="512"/>
      <c r="B117" s="516" t="s">
        <v>769</v>
      </c>
      <c r="C117" s="524">
        <f>SUM(C109+C116)</f>
        <v>0.44788123767042753</v>
      </c>
      <c r="D117" s="524">
        <f>SUM(D109+D116)</f>
        <v>0.46454359718165261</v>
      </c>
      <c r="E117" s="525">
        <f t="shared" si="13"/>
        <v>1.6662359511225078E-2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319</v>
      </c>
      <c r="B119" s="522" t="s">
        <v>775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624</v>
      </c>
      <c r="C121" s="523">
        <f t="shared" ref="C121:D127" si="14">IF(C$77=0,0,C58/C$77)</f>
        <v>0.38128792705377235</v>
      </c>
      <c r="D121" s="523">
        <f t="shared" si="14"/>
        <v>0.36799697368422085</v>
      </c>
      <c r="E121" s="523">
        <f t="shared" ref="E121:E129" si="15">D121-C121</f>
        <v>-1.3290953369551495E-2</v>
      </c>
    </row>
    <row r="122" spans="1:5" s="506" customFormat="1" x14ac:dyDescent="0.2">
      <c r="A122" s="512">
        <v>2</v>
      </c>
      <c r="B122" s="511" t="s">
        <v>603</v>
      </c>
      <c r="C122" s="523">
        <f t="shared" si="14"/>
        <v>0.10418574264424434</v>
      </c>
      <c r="D122" s="523">
        <f t="shared" si="14"/>
        <v>0.10123255626859737</v>
      </c>
      <c r="E122" s="523">
        <f t="shared" si="15"/>
        <v>-2.9531863756469684E-3</v>
      </c>
    </row>
    <row r="123" spans="1:5" s="506" customFormat="1" x14ac:dyDescent="0.2">
      <c r="A123" s="512">
        <v>3</v>
      </c>
      <c r="B123" s="511" t="s">
        <v>749</v>
      </c>
      <c r="C123" s="523">
        <f t="shared" si="14"/>
        <v>5.8113580346510534E-2</v>
      </c>
      <c r="D123" s="523">
        <f t="shared" si="14"/>
        <v>5.9103169678454359E-2</v>
      </c>
      <c r="E123" s="523">
        <f t="shared" si="15"/>
        <v>9.8958933194382565E-4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5.161804238672664E-2</v>
      </c>
      <c r="D124" s="523">
        <f t="shared" si="14"/>
        <v>5.8037463645797691E-2</v>
      </c>
      <c r="E124" s="523">
        <f t="shared" si="15"/>
        <v>6.4194212590710509E-3</v>
      </c>
    </row>
    <row r="125" spans="1:5" s="506" customFormat="1" x14ac:dyDescent="0.2">
      <c r="A125" s="512">
        <v>5</v>
      </c>
      <c r="B125" s="511" t="s">
        <v>716</v>
      </c>
      <c r="C125" s="523">
        <f t="shared" si="14"/>
        <v>6.4955379597838956E-3</v>
      </c>
      <c r="D125" s="523">
        <f t="shared" si="14"/>
        <v>1.0657060326566695E-3</v>
      </c>
      <c r="E125" s="523">
        <f t="shared" si="15"/>
        <v>-5.4298319271272261E-3</v>
      </c>
    </row>
    <row r="126" spans="1:5" s="506" customFormat="1" x14ac:dyDescent="0.2">
      <c r="A126" s="512">
        <v>6</v>
      </c>
      <c r="B126" s="511" t="s">
        <v>416</v>
      </c>
      <c r="C126" s="523">
        <f t="shared" si="14"/>
        <v>8.5315122850452372E-3</v>
      </c>
      <c r="D126" s="523">
        <f t="shared" si="14"/>
        <v>7.1237031870747935E-3</v>
      </c>
      <c r="E126" s="523">
        <f t="shared" si="15"/>
        <v>-1.4078090979704437E-3</v>
      </c>
    </row>
    <row r="127" spans="1:5" s="506" customFormat="1" x14ac:dyDescent="0.2">
      <c r="A127" s="512">
        <v>7</v>
      </c>
      <c r="B127" s="511" t="s">
        <v>731</v>
      </c>
      <c r="C127" s="523">
        <f t="shared" si="14"/>
        <v>8.3964467561852378E-3</v>
      </c>
      <c r="D127" s="523">
        <f t="shared" si="14"/>
        <v>8.83791773515109E-3</v>
      </c>
      <c r="E127" s="523">
        <f t="shared" si="15"/>
        <v>4.4147097896585219E-4</v>
      </c>
    </row>
    <row r="128" spans="1:5" s="506" customFormat="1" x14ac:dyDescent="0.2">
      <c r="A128" s="512"/>
      <c r="B128" s="516" t="s">
        <v>771</v>
      </c>
      <c r="C128" s="524">
        <f>SUM(C122+C123+C126)</f>
        <v>0.17083083527580009</v>
      </c>
      <c r="D128" s="524">
        <f>SUM(D122+D123+D126)</f>
        <v>0.16745942913412651</v>
      </c>
      <c r="E128" s="525">
        <f t="shared" si="15"/>
        <v>-3.371406141673583E-3</v>
      </c>
    </row>
    <row r="129" spans="1:5" s="506" customFormat="1" x14ac:dyDescent="0.2">
      <c r="A129" s="512"/>
      <c r="B129" s="516" t="s">
        <v>772</v>
      </c>
      <c r="C129" s="524">
        <f>SUM(C121+C128)</f>
        <v>0.55211876232957247</v>
      </c>
      <c r="D129" s="524">
        <f>SUM(D121+D128)</f>
        <v>0.53545640281834739</v>
      </c>
      <c r="E129" s="525">
        <f t="shared" si="15"/>
        <v>-1.6662359511225078E-2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776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777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778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624</v>
      </c>
      <c r="C137" s="530">
        <v>4440</v>
      </c>
      <c r="D137" s="530">
        <v>4178</v>
      </c>
      <c r="E137" s="531">
        <f t="shared" ref="E137:E145" si="16">D137-C137</f>
        <v>-262</v>
      </c>
    </row>
    <row r="138" spans="1:5" s="506" customFormat="1" x14ac:dyDescent="0.2">
      <c r="A138" s="512">
        <v>2</v>
      </c>
      <c r="B138" s="511" t="s">
        <v>603</v>
      </c>
      <c r="C138" s="530">
        <v>5229</v>
      </c>
      <c r="D138" s="530">
        <v>5200</v>
      </c>
      <c r="E138" s="531">
        <f t="shared" si="16"/>
        <v>-29</v>
      </c>
    </row>
    <row r="139" spans="1:5" s="506" customFormat="1" x14ac:dyDescent="0.2">
      <c r="A139" s="512">
        <v>3</v>
      </c>
      <c r="B139" s="511" t="s">
        <v>749</v>
      </c>
      <c r="C139" s="530">
        <f>C140+C141</f>
        <v>2289</v>
      </c>
      <c r="D139" s="530">
        <f>D140+D141</f>
        <v>2384</v>
      </c>
      <c r="E139" s="531">
        <f t="shared" si="16"/>
        <v>95</v>
      </c>
    </row>
    <row r="140" spans="1:5" s="506" customFormat="1" x14ac:dyDescent="0.2">
      <c r="A140" s="512">
        <v>4</v>
      </c>
      <c r="B140" s="511" t="s">
        <v>114</v>
      </c>
      <c r="C140" s="530">
        <v>1891</v>
      </c>
      <c r="D140" s="530">
        <v>2318</v>
      </c>
      <c r="E140" s="531">
        <f t="shared" si="16"/>
        <v>427</v>
      </c>
    </row>
    <row r="141" spans="1:5" s="506" customFormat="1" x14ac:dyDescent="0.2">
      <c r="A141" s="512">
        <v>5</v>
      </c>
      <c r="B141" s="511" t="s">
        <v>716</v>
      </c>
      <c r="C141" s="530">
        <v>398</v>
      </c>
      <c r="D141" s="530">
        <v>66</v>
      </c>
      <c r="E141" s="531">
        <f t="shared" si="16"/>
        <v>-332</v>
      </c>
    </row>
    <row r="142" spans="1:5" s="506" customFormat="1" x14ac:dyDescent="0.2">
      <c r="A142" s="512">
        <v>6</v>
      </c>
      <c r="B142" s="511" t="s">
        <v>416</v>
      </c>
      <c r="C142" s="530">
        <v>217</v>
      </c>
      <c r="D142" s="530">
        <v>237</v>
      </c>
      <c r="E142" s="531">
        <f t="shared" si="16"/>
        <v>20</v>
      </c>
    </row>
    <row r="143" spans="1:5" s="506" customFormat="1" x14ac:dyDescent="0.2">
      <c r="A143" s="512">
        <v>7</v>
      </c>
      <c r="B143" s="511" t="s">
        <v>731</v>
      </c>
      <c r="C143" s="530">
        <v>176</v>
      </c>
      <c r="D143" s="530">
        <v>172</v>
      </c>
      <c r="E143" s="531">
        <f t="shared" si="16"/>
        <v>-4</v>
      </c>
    </row>
    <row r="144" spans="1:5" s="506" customFormat="1" x14ac:dyDescent="0.2">
      <c r="A144" s="512"/>
      <c r="B144" s="516" t="s">
        <v>779</v>
      </c>
      <c r="C144" s="532">
        <f>SUM(C138+C139+C142)</f>
        <v>7735</v>
      </c>
      <c r="D144" s="532">
        <f>SUM(D138+D139+D142)</f>
        <v>7821</v>
      </c>
      <c r="E144" s="533">
        <f t="shared" si="16"/>
        <v>86</v>
      </c>
    </row>
    <row r="145" spans="1:5" s="506" customFormat="1" x14ac:dyDescent="0.2">
      <c r="A145" s="512"/>
      <c r="B145" s="516" t="s">
        <v>693</v>
      </c>
      <c r="C145" s="532">
        <f>SUM(C137+C144)</f>
        <v>12175</v>
      </c>
      <c r="D145" s="532">
        <f>SUM(D137+D144)</f>
        <v>11999</v>
      </c>
      <c r="E145" s="533">
        <f t="shared" si="16"/>
        <v>-176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624</v>
      </c>
      <c r="C149" s="534">
        <v>14787</v>
      </c>
      <c r="D149" s="534">
        <v>14019</v>
      </c>
      <c r="E149" s="531">
        <f t="shared" ref="E149:E157" si="17">D149-C149</f>
        <v>-768</v>
      </c>
    </row>
    <row r="150" spans="1:5" s="506" customFormat="1" x14ac:dyDescent="0.2">
      <c r="A150" s="512">
        <v>2</v>
      </c>
      <c r="B150" s="511" t="s">
        <v>603</v>
      </c>
      <c r="C150" s="534">
        <v>25493</v>
      </c>
      <c r="D150" s="534">
        <v>25583</v>
      </c>
      <c r="E150" s="531">
        <f t="shared" si="17"/>
        <v>90</v>
      </c>
    </row>
    <row r="151" spans="1:5" s="506" customFormat="1" x14ac:dyDescent="0.2">
      <c r="A151" s="512">
        <v>3</v>
      </c>
      <c r="B151" s="511" t="s">
        <v>749</v>
      </c>
      <c r="C151" s="534">
        <f>C152+C153</f>
        <v>8267</v>
      </c>
      <c r="D151" s="534">
        <f>D152+D153</f>
        <v>9435</v>
      </c>
      <c r="E151" s="531">
        <f t="shared" si="17"/>
        <v>1168</v>
      </c>
    </row>
    <row r="152" spans="1:5" s="506" customFormat="1" x14ac:dyDescent="0.2">
      <c r="A152" s="512">
        <v>4</v>
      </c>
      <c r="B152" s="511" t="s">
        <v>114</v>
      </c>
      <c r="C152" s="534">
        <v>6660</v>
      </c>
      <c r="D152" s="534">
        <v>9069</v>
      </c>
      <c r="E152" s="531">
        <f t="shared" si="17"/>
        <v>2409</v>
      </c>
    </row>
    <row r="153" spans="1:5" s="506" customFormat="1" x14ac:dyDescent="0.2">
      <c r="A153" s="512">
        <v>5</v>
      </c>
      <c r="B153" s="511" t="s">
        <v>716</v>
      </c>
      <c r="C153" s="535">
        <v>1607</v>
      </c>
      <c r="D153" s="534">
        <v>366</v>
      </c>
      <c r="E153" s="531">
        <f t="shared" si="17"/>
        <v>-1241</v>
      </c>
    </row>
    <row r="154" spans="1:5" s="506" customFormat="1" x14ac:dyDescent="0.2">
      <c r="A154" s="512">
        <v>6</v>
      </c>
      <c r="B154" s="511" t="s">
        <v>416</v>
      </c>
      <c r="C154" s="534">
        <v>549</v>
      </c>
      <c r="D154" s="534">
        <v>617</v>
      </c>
      <c r="E154" s="531">
        <f t="shared" si="17"/>
        <v>68</v>
      </c>
    </row>
    <row r="155" spans="1:5" s="506" customFormat="1" x14ac:dyDescent="0.2">
      <c r="A155" s="512">
        <v>7</v>
      </c>
      <c r="B155" s="511" t="s">
        <v>731</v>
      </c>
      <c r="C155" s="534">
        <v>878</v>
      </c>
      <c r="D155" s="534">
        <v>697</v>
      </c>
      <c r="E155" s="531">
        <f t="shared" si="17"/>
        <v>-181</v>
      </c>
    </row>
    <row r="156" spans="1:5" s="506" customFormat="1" x14ac:dyDescent="0.2">
      <c r="A156" s="512"/>
      <c r="B156" s="516" t="s">
        <v>780</v>
      </c>
      <c r="C156" s="532">
        <f>SUM(C150+C151+C154)</f>
        <v>34309</v>
      </c>
      <c r="D156" s="532">
        <f>SUM(D150+D151+D154)</f>
        <v>35635</v>
      </c>
      <c r="E156" s="533">
        <f t="shared" si="17"/>
        <v>1326</v>
      </c>
    </row>
    <row r="157" spans="1:5" s="506" customFormat="1" x14ac:dyDescent="0.2">
      <c r="A157" s="512"/>
      <c r="B157" s="516" t="s">
        <v>781</v>
      </c>
      <c r="C157" s="532">
        <f>SUM(C149+C156)</f>
        <v>49096</v>
      </c>
      <c r="D157" s="532">
        <f>SUM(D149+D156)</f>
        <v>49654</v>
      </c>
      <c r="E157" s="533">
        <f t="shared" si="17"/>
        <v>558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782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624</v>
      </c>
      <c r="C161" s="536">
        <f t="shared" ref="C161:D169" si="18">IF(C137=0,0,C149/C137)</f>
        <v>3.3304054054054055</v>
      </c>
      <c r="D161" s="536">
        <f t="shared" si="18"/>
        <v>3.355433221637147</v>
      </c>
      <c r="E161" s="537">
        <f t="shared" ref="E161:E169" si="19">D161-C161</f>
        <v>2.502781623174144E-2</v>
      </c>
    </row>
    <row r="162" spans="1:5" s="506" customFormat="1" x14ac:dyDescent="0.2">
      <c r="A162" s="512">
        <v>2</v>
      </c>
      <c r="B162" s="511" t="s">
        <v>603</v>
      </c>
      <c r="C162" s="536">
        <f t="shared" si="18"/>
        <v>4.8753107668770319</v>
      </c>
      <c r="D162" s="536">
        <f t="shared" si="18"/>
        <v>4.9198076923076925</v>
      </c>
      <c r="E162" s="537">
        <f t="shared" si="19"/>
        <v>4.4496925430660639E-2</v>
      </c>
    </row>
    <row r="163" spans="1:5" s="506" customFormat="1" x14ac:dyDescent="0.2">
      <c r="A163" s="512">
        <v>3</v>
      </c>
      <c r="B163" s="511" t="s">
        <v>749</v>
      </c>
      <c r="C163" s="536">
        <f t="shared" si="18"/>
        <v>3.6116207951070338</v>
      </c>
      <c r="D163" s="536">
        <f t="shared" si="18"/>
        <v>3.9576342281879193</v>
      </c>
      <c r="E163" s="537">
        <f t="shared" si="19"/>
        <v>0.3460134330808855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3.521946060285563</v>
      </c>
      <c r="D164" s="536">
        <f t="shared" si="18"/>
        <v>3.9124245038826575</v>
      </c>
      <c r="E164" s="537">
        <f t="shared" si="19"/>
        <v>0.39047844359709449</v>
      </c>
    </row>
    <row r="165" spans="1:5" s="506" customFormat="1" x14ac:dyDescent="0.2">
      <c r="A165" s="512">
        <v>5</v>
      </c>
      <c r="B165" s="511" t="s">
        <v>716</v>
      </c>
      <c r="C165" s="536">
        <f t="shared" si="18"/>
        <v>4.0376884422110555</v>
      </c>
      <c r="D165" s="536">
        <f t="shared" si="18"/>
        <v>5.5454545454545459</v>
      </c>
      <c r="E165" s="537">
        <f t="shared" si="19"/>
        <v>1.5077661032434904</v>
      </c>
    </row>
    <row r="166" spans="1:5" s="506" customFormat="1" x14ac:dyDescent="0.2">
      <c r="A166" s="512">
        <v>6</v>
      </c>
      <c r="B166" s="511" t="s">
        <v>416</v>
      </c>
      <c r="C166" s="536">
        <f t="shared" si="18"/>
        <v>2.5299539170506913</v>
      </c>
      <c r="D166" s="536">
        <f t="shared" si="18"/>
        <v>2.6033755274261603</v>
      </c>
      <c r="E166" s="537">
        <f t="shared" si="19"/>
        <v>7.3421610375469015E-2</v>
      </c>
    </row>
    <row r="167" spans="1:5" s="506" customFormat="1" x14ac:dyDescent="0.2">
      <c r="A167" s="512">
        <v>7</v>
      </c>
      <c r="B167" s="511" t="s">
        <v>731</v>
      </c>
      <c r="C167" s="536">
        <f t="shared" si="18"/>
        <v>4.9886363636363633</v>
      </c>
      <c r="D167" s="536">
        <f t="shared" si="18"/>
        <v>4.0523255813953485</v>
      </c>
      <c r="E167" s="537">
        <f t="shared" si="19"/>
        <v>-0.93631078224101483</v>
      </c>
    </row>
    <row r="168" spans="1:5" s="506" customFormat="1" x14ac:dyDescent="0.2">
      <c r="A168" s="512"/>
      <c r="B168" s="516" t="s">
        <v>783</v>
      </c>
      <c r="C168" s="538">
        <f t="shared" si="18"/>
        <v>4.4355526826115064</v>
      </c>
      <c r="D168" s="538">
        <f t="shared" si="18"/>
        <v>4.5563227208796828</v>
      </c>
      <c r="E168" s="539">
        <f t="shared" si="19"/>
        <v>0.12077003826817645</v>
      </c>
    </row>
    <row r="169" spans="1:5" s="506" customFormat="1" x14ac:dyDescent="0.2">
      <c r="A169" s="512"/>
      <c r="B169" s="516" t="s">
        <v>717</v>
      </c>
      <c r="C169" s="538">
        <f t="shared" si="18"/>
        <v>4.0325256673511296</v>
      </c>
      <c r="D169" s="538">
        <f t="shared" si="18"/>
        <v>4.1381781815151264</v>
      </c>
      <c r="E169" s="539">
        <f t="shared" si="19"/>
        <v>0.10565251416399679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319</v>
      </c>
      <c r="B171" s="509" t="s">
        <v>784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624</v>
      </c>
      <c r="C173" s="541">
        <f t="shared" ref="C173:D181" si="20">IF(C137=0,0,C203/C137)</f>
        <v>1.216</v>
      </c>
      <c r="D173" s="541">
        <f t="shared" si="20"/>
        <v>1.2574000000000001</v>
      </c>
      <c r="E173" s="542">
        <f t="shared" ref="E173:E181" si="21">D173-C173</f>
        <v>4.1400000000000103E-2</v>
      </c>
    </row>
    <row r="174" spans="1:5" s="506" customFormat="1" x14ac:dyDescent="0.2">
      <c r="A174" s="512">
        <v>2</v>
      </c>
      <c r="B174" s="511" t="s">
        <v>603</v>
      </c>
      <c r="C174" s="541">
        <f t="shared" si="20"/>
        <v>1.417</v>
      </c>
      <c r="D174" s="541">
        <f t="shared" si="20"/>
        <v>1.4507000000000001</v>
      </c>
      <c r="E174" s="542">
        <f t="shared" si="21"/>
        <v>3.3700000000000063E-2</v>
      </c>
    </row>
    <row r="175" spans="1:5" s="506" customFormat="1" x14ac:dyDescent="0.2">
      <c r="A175" s="512">
        <v>0</v>
      </c>
      <c r="B175" s="511" t="s">
        <v>749</v>
      </c>
      <c r="C175" s="541">
        <f t="shared" si="20"/>
        <v>0.93410257754477943</v>
      </c>
      <c r="D175" s="541">
        <f t="shared" si="20"/>
        <v>1.0012949664429529</v>
      </c>
      <c r="E175" s="542">
        <f t="shared" si="21"/>
        <v>6.7192388898173472E-2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0.88619999999999999</v>
      </c>
      <c r="D176" s="541">
        <f t="shared" si="20"/>
        <v>0.99650000000000005</v>
      </c>
      <c r="E176" s="542">
        <f t="shared" si="21"/>
        <v>0.11030000000000006</v>
      </c>
    </row>
    <row r="177" spans="1:5" s="506" customFormat="1" x14ac:dyDescent="0.2">
      <c r="A177" s="512">
        <v>5</v>
      </c>
      <c r="B177" s="511" t="s">
        <v>716</v>
      </c>
      <c r="C177" s="541">
        <f t="shared" si="20"/>
        <v>1.1617</v>
      </c>
      <c r="D177" s="541">
        <f t="shared" si="20"/>
        <v>1.1697</v>
      </c>
      <c r="E177" s="542">
        <f t="shared" si="21"/>
        <v>8.0000000000000071E-3</v>
      </c>
    </row>
    <row r="178" spans="1:5" s="506" customFormat="1" x14ac:dyDescent="0.2">
      <c r="A178" s="512">
        <v>6</v>
      </c>
      <c r="B178" s="511" t="s">
        <v>416</v>
      </c>
      <c r="C178" s="541">
        <f t="shared" si="20"/>
        <v>0.78739999999999999</v>
      </c>
      <c r="D178" s="541">
        <f t="shared" si="20"/>
        <v>0.83979999999999999</v>
      </c>
      <c r="E178" s="542">
        <f t="shared" si="21"/>
        <v>5.2400000000000002E-2</v>
      </c>
    </row>
    <row r="179" spans="1:5" s="506" customFormat="1" x14ac:dyDescent="0.2">
      <c r="A179" s="512">
        <v>7</v>
      </c>
      <c r="B179" s="511" t="s">
        <v>731</v>
      </c>
      <c r="C179" s="541">
        <f t="shared" si="20"/>
        <v>1.0119</v>
      </c>
      <c r="D179" s="541">
        <f t="shared" si="20"/>
        <v>1.0202</v>
      </c>
      <c r="E179" s="542">
        <f t="shared" si="21"/>
        <v>8.2999999999999741E-3</v>
      </c>
    </row>
    <row r="180" spans="1:5" s="506" customFormat="1" x14ac:dyDescent="0.2">
      <c r="A180" s="512"/>
      <c r="B180" s="516" t="s">
        <v>785</v>
      </c>
      <c r="C180" s="543">
        <f t="shared" si="20"/>
        <v>1.2564343374272786</v>
      </c>
      <c r="D180" s="543">
        <f t="shared" si="20"/>
        <v>1.2952000767165326</v>
      </c>
      <c r="E180" s="544">
        <f t="shared" si="21"/>
        <v>3.8765739289253975E-2</v>
      </c>
    </row>
    <row r="181" spans="1:5" s="506" customFormat="1" x14ac:dyDescent="0.2">
      <c r="A181" s="512"/>
      <c r="B181" s="516" t="s">
        <v>694</v>
      </c>
      <c r="C181" s="543">
        <f t="shared" si="20"/>
        <v>1.2416886735112938</v>
      </c>
      <c r="D181" s="543">
        <f t="shared" si="20"/>
        <v>1.2820382531877659</v>
      </c>
      <c r="E181" s="544">
        <f t="shared" si="21"/>
        <v>4.0349579676472125E-2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340</v>
      </c>
      <c r="B183" s="509" t="s">
        <v>786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787</v>
      </c>
      <c r="C185" s="513">
        <v>224385117</v>
      </c>
      <c r="D185" s="513">
        <v>231352289</v>
      </c>
      <c r="E185" s="514">
        <f>D185-C185</f>
        <v>6967172</v>
      </c>
    </row>
    <row r="186" spans="1:5" s="506" customFormat="1" ht="25.5" x14ac:dyDescent="0.2">
      <c r="A186" s="512">
        <v>2</v>
      </c>
      <c r="B186" s="511" t="s">
        <v>788</v>
      </c>
      <c r="C186" s="513">
        <v>150780057</v>
      </c>
      <c r="D186" s="513">
        <v>154670107</v>
      </c>
      <c r="E186" s="514">
        <f>D186-C186</f>
        <v>3890050</v>
      </c>
    </row>
    <row r="187" spans="1:5" s="506" customFormat="1" x14ac:dyDescent="0.2">
      <c r="A187" s="512"/>
      <c r="B187" s="511" t="s">
        <v>636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720</v>
      </c>
      <c r="C188" s="546">
        <f>+C185-C186</f>
        <v>73605060</v>
      </c>
      <c r="D188" s="546">
        <f>+D185-D186</f>
        <v>76682182</v>
      </c>
      <c r="E188" s="514">
        <f t="shared" ref="E188:E197" si="22">D188-C188</f>
        <v>3077122</v>
      </c>
    </row>
    <row r="189" spans="1:5" s="506" customFormat="1" x14ac:dyDescent="0.2">
      <c r="A189" s="512">
        <v>4</v>
      </c>
      <c r="B189" s="511" t="s">
        <v>638</v>
      </c>
      <c r="C189" s="547">
        <f>IF(C185=0,0,+C188/C185)</f>
        <v>0.32803004488038306</v>
      </c>
      <c r="D189" s="547">
        <f>IF(D185=0,0,+D188/D185)</f>
        <v>0.3314520134270208</v>
      </c>
      <c r="E189" s="523">
        <f t="shared" si="22"/>
        <v>3.4219685466377325E-3</v>
      </c>
    </row>
    <row r="190" spans="1:5" s="506" customFormat="1" x14ac:dyDescent="0.2">
      <c r="A190" s="512">
        <v>5</v>
      </c>
      <c r="B190" s="511" t="s">
        <v>735</v>
      </c>
      <c r="C190" s="513">
        <v>11330897</v>
      </c>
      <c r="D190" s="513">
        <v>10155651</v>
      </c>
      <c r="E190" s="546">
        <f t="shared" si="22"/>
        <v>-1175246</v>
      </c>
    </row>
    <row r="191" spans="1:5" s="506" customFormat="1" x14ac:dyDescent="0.2">
      <c r="A191" s="512">
        <v>6</v>
      </c>
      <c r="B191" s="511" t="s">
        <v>721</v>
      </c>
      <c r="C191" s="513">
        <v>6257612</v>
      </c>
      <c r="D191" s="513">
        <v>5917710</v>
      </c>
      <c r="E191" s="546">
        <f t="shared" si="22"/>
        <v>-339902</v>
      </c>
    </row>
    <row r="192" spans="1:5" ht="29.25" x14ac:dyDescent="0.2">
      <c r="A192" s="512">
        <v>7</v>
      </c>
      <c r="B192" s="548" t="s">
        <v>789</v>
      </c>
      <c r="C192" s="513">
        <v>2166356</v>
      </c>
      <c r="D192" s="513">
        <v>0</v>
      </c>
      <c r="E192" s="546">
        <f t="shared" si="22"/>
        <v>-2166356</v>
      </c>
    </row>
    <row r="193" spans="1:5" s="506" customFormat="1" x14ac:dyDescent="0.2">
      <c r="A193" s="512">
        <v>8</v>
      </c>
      <c r="B193" s="511" t="s">
        <v>790</v>
      </c>
      <c r="C193" s="513">
        <v>6321367</v>
      </c>
      <c r="D193" s="513">
        <v>4672730</v>
      </c>
      <c r="E193" s="546">
        <f t="shared" si="22"/>
        <v>-1648637</v>
      </c>
    </row>
    <row r="194" spans="1:5" s="506" customFormat="1" x14ac:dyDescent="0.2">
      <c r="A194" s="512">
        <v>9</v>
      </c>
      <c r="B194" s="511" t="s">
        <v>791</v>
      </c>
      <c r="C194" s="513">
        <v>14508284</v>
      </c>
      <c r="D194" s="513">
        <v>12690606</v>
      </c>
      <c r="E194" s="546">
        <f t="shared" si="22"/>
        <v>-1817678</v>
      </c>
    </row>
    <row r="195" spans="1:5" s="506" customFormat="1" x14ac:dyDescent="0.2">
      <c r="A195" s="512">
        <v>10</v>
      </c>
      <c r="B195" s="511" t="s">
        <v>792</v>
      </c>
      <c r="C195" s="513">
        <f>+C193+C194</f>
        <v>20829651</v>
      </c>
      <c r="D195" s="513">
        <f>+D193+D194</f>
        <v>17363336</v>
      </c>
      <c r="E195" s="549">
        <f t="shared" si="22"/>
        <v>-3466315</v>
      </c>
    </row>
    <row r="196" spans="1:5" s="506" customFormat="1" x14ac:dyDescent="0.2">
      <c r="A196" s="512">
        <v>11</v>
      </c>
      <c r="B196" s="511" t="s">
        <v>793</v>
      </c>
      <c r="C196" s="513">
        <v>224385117</v>
      </c>
      <c r="D196" s="513">
        <v>231352289</v>
      </c>
      <c r="E196" s="546">
        <f t="shared" si="22"/>
        <v>6967172</v>
      </c>
    </row>
    <row r="197" spans="1:5" s="506" customFormat="1" x14ac:dyDescent="0.2">
      <c r="A197" s="512">
        <v>12</v>
      </c>
      <c r="B197" s="511" t="s">
        <v>678</v>
      </c>
      <c r="C197" s="513">
        <v>262102283</v>
      </c>
      <c r="D197" s="513">
        <v>252073735</v>
      </c>
      <c r="E197" s="546">
        <f t="shared" si="22"/>
        <v>-10028548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794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795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624</v>
      </c>
      <c r="C203" s="553">
        <v>5399.04</v>
      </c>
      <c r="D203" s="553">
        <v>5253.4171999999999</v>
      </c>
      <c r="E203" s="554">
        <f t="shared" ref="E203:E211" si="23">D203-C203</f>
        <v>-145.6228000000001</v>
      </c>
    </row>
    <row r="204" spans="1:5" s="506" customFormat="1" x14ac:dyDescent="0.2">
      <c r="A204" s="512">
        <v>2</v>
      </c>
      <c r="B204" s="511" t="s">
        <v>603</v>
      </c>
      <c r="C204" s="553">
        <v>7409.4930000000004</v>
      </c>
      <c r="D204" s="553">
        <v>7543.64</v>
      </c>
      <c r="E204" s="554">
        <f t="shared" si="23"/>
        <v>134.14699999999993</v>
      </c>
    </row>
    <row r="205" spans="1:5" s="506" customFormat="1" x14ac:dyDescent="0.2">
      <c r="A205" s="512">
        <v>3</v>
      </c>
      <c r="B205" s="511" t="s">
        <v>749</v>
      </c>
      <c r="C205" s="553">
        <f>C206+C207</f>
        <v>2138.1608000000001</v>
      </c>
      <c r="D205" s="553">
        <f>D206+D207</f>
        <v>2387.0871999999999</v>
      </c>
      <c r="E205" s="554">
        <f t="shared" si="23"/>
        <v>248.92639999999983</v>
      </c>
    </row>
    <row r="206" spans="1:5" s="506" customFormat="1" x14ac:dyDescent="0.2">
      <c r="A206" s="512">
        <v>4</v>
      </c>
      <c r="B206" s="511" t="s">
        <v>114</v>
      </c>
      <c r="C206" s="553">
        <v>1675.8042</v>
      </c>
      <c r="D206" s="553">
        <v>2309.8870000000002</v>
      </c>
      <c r="E206" s="554">
        <f t="shared" si="23"/>
        <v>634.08280000000013</v>
      </c>
    </row>
    <row r="207" spans="1:5" s="506" customFormat="1" x14ac:dyDescent="0.2">
      <c r="A207" s="512">
        <v>5</v>
      </c>
      <c r="B207" s="511" t="s">
        <v>716</v>
      </c>
      <c r="C207" s="553">
        <v>462.35659999999996</v>
      </c>
      <c r="D207" s="553">
        <v>77.200199999999995</v>
      </c>
      <c r="E207" s="554">
        <f t="shared" si="23"/>
        <v>-385.15639999999996</v>
      </c>
    </row>
    <row r="208" spans="1:5" s="506" customFormat="1" x14ac:dyDescent="0.2">
      <c r="A208" s="512">
        <v>6</v>
      </c>
      <c r="B208" s="511" t="s">
        <v>416</v>
      </c>
      <c r="C208" s="553">
        <v>170.86580000000001</v>
      </c>
      <c r="D208" s="553">
        <v>199.0326</v>
      </c>
      <c r="E208" s="554">
        <f t="shared" si="23"/>
        <v>28.166799999999995</v>
      </c>
    </row>
    <row r="209" spans="1:5" s="506" customFormat="1" x14ac:dyDescent="0.2">
      <c r="A209" s="512">
        <v>7</v>
      </c>
      <c r="B209" s="511" t="s">
        <v>731</v>
      </c>
      <c r="C209" s="553">
        <v>178.09440000000001</v>
      </c>
      <c r="D209" s="553">
        <v>175.4744</v>
      </c>
      <c r="E209" s="554">
        <f t="shared" si="23"/>
        <v>-2.6200000000000045</v>
      </c>
    </row>
    <row r="210" spans="1:5" s="506" customFormat="1" x14ac:dyDescent="0.2">
      <c r="A210" s="512"/>
      <c r="B210" s="516" t="s">
        <v>796</v>
      </c>
      <c r="C210" s="555">
        <f>C204+C205+C208</f>
        <v>9718.5195999999996</v>
      </c>
      <c r="D210" s="555">
        <f>D204+D205+D208</f>
        <v>10129.759800000002</v>
      </c>
      <c r="E210" s="556">
        <f t="shared" si="23"/>
        <v>411.24020000000201</v>
      </c>
    </row>
    <row r="211" spans="1:5" s="506" customFormat="1" x14ac:dyDescent="0.2">
      <c r="A211" s="512"/>
      <c r="B211" s="516" t="s">
        <v>695</v>
      </c>
      <c r="C211" s="555">
        <f>C210+C203</f>
        <v>15117.559600000001</v>
      </c>
      <c r="D211" s="555">
        <f>D210+D203</f>
        <v>15383.177000000001</v>
      </c>
      <c r="E211" s="556">
        <f t="shared" si="23"/>
        <v>265.617400000001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797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624</v>
      </c>
      <c r="C215" s="557">
        <f>IF(C14*C137=0,0,C25/C14*C137)</f>
        <v>10134.311053911193</v>
      </c>
      <c r="D215" s="557">
        <f>IF(D14*D137=0,0,D25/D14*D137)</f>
        <v>9323.8314041549384</v>
      </c>
      <c r="E215" s="557">
        <f t="shared" ref="E215:E223" si="24">D215-C215</f>
        <v>-810.47964975625473</v>
      </c>
    </row>
    <row r="216" spans="1:5" s="506" customFormat="1" x14ac:dyDescent="0.2">
      <c r="A216" s="512">
        <v>2</v>
      </c>
      <c r="B216" s="511" t="s">
        <v>603</v>
      </c>
      <c r="C216" s="557">
        <f>IF(C15*C138=0,0,C26/C15*C138)</f>
        <v>4712.8653628703569</v>
      </c>
      <c r="D216" s="557">
        <f>IF(D15*D138=0,0,D26/D15*D138)</f>
        <v>4578.2699817743169</v>
      </c>
      <c r="E216" s="557">
        <f t="shared" si="24"/>
        <v>-134.59538109604</v>
      </c>
    </row>
    <row r="217" spans="1:5" s="506" customFormat="1" x14ac:dyDescent="0.2">
      <c r="A217" s="512">
        <v>3</v>
      </c>
      <c r="B217" s="511" t="s">
        <v>749</v>
      </c>
      <c r="C217" s="557">
        <f>C218+C219</f>
        <v>4257.0417978088117</v>
      </c>
      <c r="D217" s="557">
        <f>D218+D219</f>
        <v>4114.4251770530818</v>
      </c>
      <c r="E217" s="557">
        <f t="shared" si="24"/>
        <v>-142.61662075572985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3699.4406106904266</v>
      </c>
      <c r="D218" s="557">
        <f t="shared" si="25"/>
        <v>4059.7709464335521</v>
      </c>
      <c r="E218" s="557">
        <f t="shared" si="24"/>
        <v>360.33033574312549</v>
      </c>
    </row>
    <row r="219" spans="1:5" s="506" customFormat="1" x14ac:dyDescent="0.2">
      <c r="A219" s="512">
        <v>5</v>
      </c>
      <c r="B219" s="511" t="s">
        <v>716</v>
      </c>
      <c r="C219" s="557">
        <f t="shared" si="25"/>
        <v>557.60118711838493</v>
      </c>
      <c r="D219" s="557">
        <f t="shared" si="25"/>
        <v>54.654230619529365</v>
      </c>
      <c r="E219" s="557">
        <f t="shared" si="24"/>
        <v>-502.94695649885557</v>
      </c>
    </row>
    <row r="220" spans="1:5" s="506" customFormat="1" x14ac:dyDescent="0.2">
      <c r="A220" s="512">
        <v>6</v>
      </c>
      <c r="B220" s="511" t="s">
        <v>416</v>
      </c>
      <c r="C220" s="557">
        <f t="shared" si="25"/>
        <v>669.95919179039026</v>
      </c>
      <c r="D220" s="557">
        <f t="shared" si="25"/>
        <v>563.9811669654963</v>
      </c>
      <c r="E220" s="557">
        <f t="shared" si="24"/>
        <v>-105.97802482489396</v>
      </c>
    </row>
    <row r="221" spans="1:5" s="506" customFormat="1" x14ac:dyDescent="0.2">
      <c r="A221" s="512">
        <v>7</v>
      </c>
      <c r="B221" s="511" t="s">
        <v>731</v>
      </c>
      <c r="C221" s="557">
        <f t="shared" si="25"/>
        <v>465.05236719973561</v>
      </c>
      <c r="D221" s="557">
        <f t="shared" si="25"/>
        <v>527.18777700094699</v>
      </c>
      <c r="E221" s="557">
        <f t="shared" si="24"/>
        <v>62.135409801211381</v>
      </c>
    </row>
    <row r="222" spans="1:5" s="506" customFormat="1" x14ac:dyDescent="0.2">
      <c r="A222" s="512"/>
      <c r="B222" s="516" t="s">
        <v>798</v>
      </c>
      <c r="C222" s="558">
        <f>C216+C218+C219+C220</f>
        <v>9639.8663524695603</v>
      </c>
      <c r="D222" s="558">
        <f>D216+D218+D219+D220</f>
        <v>9256.6763257928942</v>
      </c>
      <c r="E222" s="558">
        <f t="shared" si="24"/>
        <v>-383.19002667666609</v>
      </c>
    </row>
    <row r="223" spans="1:5" s="506" customFormat="1" x14ac:dyDescent="0.2">
      <c r="A223" s="512"/>
      <c r="B223" s="516" t="s">
        <v>799</v>
      </c>
      <c r="C223" s="558">
        <f>C215+C222</f>
        <v>19774.177406380753</v>
      </c>
      <c r="D223" s="558">
        <f>D215+D222</f>
        <v>18580.507729947833</v>
      </c>
      <c r="E223" s="558">
        <f t="shared" si="24"/>
        <v>-1193.6696764329208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800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624</v>
      </c>
      <c r="C227" s="560">
        <f t="shared" ref="C227:D235" si="26">IF(C203=0,0,C47/C203)</f>
        <v>10602.563048245614</v>
      </c>
      <c r="D227" s="560">
        <f t="shared" si="26"/>
        <v>11501.207252300464</v>
      </c>
      <c r="E227" s="560">
        <f t="shared" ref="E227:E235" si="27">D227-C227</f>
        <v>898.64420405484998</v>
      </c>
    </row>
    <row r="228" spans="1:5" s="506" customFormat="1" x14ac:dyDescent="0.2">
      <c r="A228" s="512">
        <v>2</v>
      </c>
      <c r="B228" s="511" t="s">
        <v>603</v>
      </c>
      <c r="C228" s="560">
        <f t="shared" si="26"/>
        <v>6751.4241527726654</v>
      </c>
      <c r="D228" s="560">
        <f t="shared" si="26"/>
        <v>6831.426340599498</v>
      </c>
      <c r="E228" s="560">
        <f t="shared" si="27"/>
        <v>80.002187826832596</v>
      </c>
    </row>
    <row r="229" spans="1:5" s="506" customFormat="1" x14ac:dyDescent="0.2">
      <c r="A229" s="512">
        <v>3</v>
      </c>
      <c r="B229" s="511" t="s">
        <v>749</v>
      </c>
      <c r="C229" s="560">
        <f t="shared" si="26"/>
        <v>3579.8406742841789</v>
      </c>
      <c r="D229" s="560">
        <f t="shared" si="26"/>
        <v>4696.6319454102895</v>
      </c>
      <c r="E229" s="560">
        <f t="shared" si="27"/>
        <v>1116.7912711261106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3919.6106561852512</v>
      </c>
      <c r="D230" s="560">
        <f t="shared" si="26"/>
        <v>4730.2383190173368</v>
      </c>
      <c r="E230" s="560">
        <f t="shared" si="27"/>
        <v>810.62766283208566</v>
      </c>
    </row>
    <row r="231" spans="1:5" s="506" customFormat="1" x14ac:dyDescent="0.2">
      <c r="A231" s="512">
        <v>5</v>
      </c>
      <c r="B231" s="511" t="s">
        <v>716</v>
      </c>
      <c r="C231" s="560">
        <f t="shared" si="26"/>
        <v>2348.3497369779088</v>
      </c>
      <c r="D231" s="560">
        <f t="shared" si="26"/>
        <v>3691.1044271906035</v>
      </c>
      <c r="E231" s="560">
        <f t="shared" si="27"/>
        <v>1342.7546902126946</v>
      </c>
    </row>
    <row r="232" spans="1:5" s="506" customFormat="1" x14ac:dyDescent="0.2">
      <c r="A232" s="512">
        <v>6</v>
      </c>
      <c r="B232" s="511" t="s">
        <v>416</v>
      </c>
      <c r="C232" s="560">
        <f t="shared" si="26"/>
        <v>5323.7628595072856</v>
      </c>
      <c r="D232" s="560">
        <f t="shared" si="26"/>
        <v>5830.9493017726745</v>
      </c>
      <c r="E232" s="560">
        <f t="shared" si="27"/>
        <v>507.18644226538891</v>
      </c>
    </row>
    <row r="233" spans="1:5" s="506" customFormat="1" x14ac:dyDescent="0.2">
      <c r="A233" s="512">
        <v>7</v>
      </c>
      <c r="B233" s="511" t="s">
        <v>731</v>
      </c>
      <c r="C233" s="560">
        <f t="shared" si="26"/>
        <v>5211.8202481380658</v>
      </c>
      <c r="D233" s="560">
        <f t="shared" si="26"/>
        <v>4003.5526549741726</v>
      </c>
      <c r="E233" s="560">
        <f t="shared" si="27"/>
        <v>-1208.2675931638933</v>
      </c>
    </row>
    <row r="234" spans="1:5" x14ac:dyDescent="0.2">
      <c r="A234" s="512"/>
      <c r="B234" s="516" t="s">
        <v>801</v>
      </c>
      <c r="C234" s="561">
        <f t="shared" si="26"/>
        <v>6028.5471873720362</v>
      </c>
      <c r="D234" s="561">
        <f t="shared" si="26"/>
        <v>6308.7024037825649</v>
      </c>
      <c r="E234" s="561">
        <f t="shared" si="27"/>
        <v>280.15521641052874</v>
      </c>
    </row>
    <row r="235" spans="1:5" s="506" customFormat="1" x14ac:dyDescent="0.2">
      <c r="A235" s="512"/>
      <c r="B235" s="516" t="s">
        <v>802</v>
      </c>
      <c r="C235" s="561">
        <f t="shared" si="26"/>
        <v>7662.097525317512</v>
      </c>
      <c r="D235" s="561">
        <f t="shared" si="26"/>
        <v>8081.9638232076504</v>
      </c>
      <c r="E235" s="561">
        <f t="shared" si="27"/>
        <v>419.86629789013841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319</v>
      </c>
      <c r="B237" s="509" t="s">
        <v>803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624</v>
      </c>
      <c r="C239" s="560">
        <f t="shared" ref="C239:D247" si="28">IF(C215=0,0,C58/C215)</f>
        <v>9730.2795893503771</v>
      </c>
      <c r="D239" s="560">
        <f t="shared" si="28"/>
        <v>10562.97606969936</v>
      </c>
      <c r="E239" s="562">
        <f t="shared" ref="E239:E247" si="29">D239-C239</f>
        <v>832.69648034898273</v>
      </c>
    </row>
    <row r="240" spans="1:5" s="506" customFormat="1" x14ac:dyDescent="0.2">
      <c r="A240" s="512">
        <v>2</v>
      </c>
      <c r="B240" s="511" t="s">
        <v>603</v>
      </c>
      <c r="C240" s="560">
        <f t="shared" si="28"/>
        <v>5717.2838444061463</v>
      </c>
      <c r="D240" s="560">
        <f t="shared" si="28"/>
        <v>5917.7316121274416</v>
      </c>
      <c r="E240" s="562">
        <f t="shared" si="29"/>
        <v>200.44776772129535</v>
      </c>
    </row>
    <row r="241" spans="1:5" x14ac:dyDescent="0.2">
      <c r="A241" s="512">
        <v>3</v>
      </c>
      <c r="B241" s="511" t="s">
        <v>749</v>
      </c>
      <c r="C241" s="560">
        <f t="shared" si="28"/>
        <v>3530.4999842228449</v>
      </c>
      <c r="D241" s="560">
        <f t="shared" si="28"/>
        <v>3844.4840577534528</v>
      </c>
      <c r="E241" s="562">
        <f t="shared" si="29"/>
        <v>313.98407353060793</v>
      </c>
    </row>
    <row r="242" spans="1:5" x14ac:dyDescent="0.2">
      <c r="A242" s="512">
        <v>4</v>
      </c>
      <c r="B242" s="511" t="s">
        <v>114</v>
      </c>
      <c r="C242" s="560">
        <f t="shared" si="28"/>
        <v>3608.5436704736194</v>
      </c>
      <c r="D242" s="560">
        <f t="shared" si="28"/>
        <v>3825.985801894853</v>
      </c>
      <c r="E242" s="562">
        <f t="shared" si="29"/>
        <v>217.44213142123363</v>
      </c>
    </row>
    <row r="243" spans="1:5" x14ac:dyDescent="0.2">
      <c r="A243" s="512">
        <v>5</v>
      </c>
      <c r="B243" s="511" t="s">
        <v>716</v>
      </c>
      <c r="C243" s="560">
        <f t="shared" si="28"/>
        <v>3012.7141742317344</v>
      </c>
      <c r="D243" s="560">
        <f t="shared" si="28"/>
        <v>5218.5530153284235</v>
      </c>
      <c r="E243" s="562">
        <f t="shared" si="29"/>
        <v>2205.8388410966891</v>
      </c>
    </row>
    <row r="244" spans="1:5" x14ac:dyDescent="0.2">
      <c r="A244" s="512">
        <v>6</v>
      </c>
      <c r="B244" s="511" t="s">
        <v>416</v>
      </c>
      <c r="C244" s="560">
        <f t="shared" si="28"/>
        <v>3293.3976084476622</v>
      </c>
      <c r="D244" s="560">
        <f t="shared" si="28"/>
        <v>3380.4745826142789</v>
      </c>
      <c r="E244" s="562">
        <f t="shared" si="29"/>
        <v>87.076974166616765</v>
      </c>
    </row>
    <row r="245" spans="1:5" x14ac:dyDescent="0.2">
      <c r="A245" s="512">
        <v>7</v>
      </c>
      <c r="B245" s="511" t="s">
        <v>731</v>
      </c>
      <c r="C245" s="560">
        <f t="shared" si="28"/>
        <v>4669.3902733481982</v>
      </c>
      <c r="D245" s="560">
        <f t="shared" si="28"/>
        <v>4486.6385435862467</v>
      </c>
      <c r="E245" s="562">
        <f t="shared" si="29"/>
        <v>-182.75172976195154</v>
      </c>
    </row>
    <row r="246" spans="1:5" ht="25.5" x14ac:dyDescent="0.2">
      <c r="A246" s="512"/>
      <c r="B246" s="516" t="s">
        <v>804</v>
      </c>
      <c r="C246" s="561">
        <f t="shared" si="28"/>
        <v>4583.1254692324337</v>
      </c>
      <c r="D246" s="561">
        <f t="shared" si="28"/>
        <v>4841.6232157886434</v>
      </c>
      <c r="E246" s="563">
        <f t="shared" si="29"/>
        <v>258.49774655620968</v>
      </c>
    </row>
    <row r="247" spans="1:5" x14ac:dyDescent="0.2">
      <c r="A247" s="512"/>
      <c r="B247" s="516" t="s">
        <v>805</v>
      </c>
      <c r="C247" s="561">
        <f t="shared" si="28"/>
        <v>7221.0537038028315</v>
      </c>
      <c r="D247" s="561">
        <f t="shared" si="28"/>
        <v>7712.6389161596044</v>
      </c>
      <c r="E247" s="563">
        <f t="shared" si="29"/>
        <v>491.5852123567729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733</v>
      </c>
      <c r="B249" s="550" t="s">
        <v>730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7801159.0368403839</v>
      </c>
      <c r="D251" s="546">
        <f>((IF((IF(D15=0,0,D26/D15)*D138)=0,0,D59/(IF(D15=0,0,D26/D15)*D138)))-(IF((IF(D17=0,0,D28/D17)*D140)=0,0,D61/(IF(D17=0,0,D28/D17)*D140))))*(IF(D17=0,0,D28/D17)*D140)</f>
        <v>8492008.8677063733</v>
      </c>
      <c r="E251" s="546">
        <f>D251-C251</f>
        <v>690849.83086598944</v>
      </c>
    </row>
    <row r="252" spans="1:5" x14ac:dyDescent="0.2">
      <c r="A252" s="512">
        <v>2</v>
      </c>
      <c r="B252" s="511" t="s">
        <v>716</v>
      </c>
      <c r="C252" s="546">
        <f>IF(C231=0,0,(C228-C231)*C207)+IF(C243=0,0,(C240-C243)*C219)</f>
        <v>3543861.7751674806</v>
      </c>
      <c r="D252" s="546">
        <f>IF(D231=0,0,(D228-D231)*D207)+IF(D243=0,0,(D240-D243)*D219)</f>
        <v>280646.5480532418</v>
      </c>
      <c r="E252" s="546">
        <f>D252-C252</f>
        <v>-3263215.2271142388</v>
      </c>
    </row>
    <row r="253" spans="1:5" x14ac:dyDescent="0.2">
      <c r="A253" s="512">
        <v>3</v>
      </c>
      <c r="B253" s="511" t="s">
        <v>731</v>
      </c>
      <c r="C253" s="546">
        <f>IF(C233=0,0,(C228-C233)*C209+IF(C221=0,0,(C240-C245)*C221))</f>
        <v>761520.21942743938</v>
      </c>
      <c r="D253" s="546">
        <f>IF(D233=0,0,(D228-D233)*D209+IF(D221=0,0,(D240-D245)*D221))</f>
        <v>1250674.211746589</v>
      </c>
      <c r="E253" s="546">
        <f>D253-C253</f>
        <v>489153.99231914966</v>
      </c>
    </row>
    <row r="254" spans="1:5" ht="15" customHeight="1" x14ac:dyDescent="0.2">
      <c r="A254" s="512"/>
      <c r="B254" s="516" t="s">
        <v>732</v>
      </c>
      <c r="C254" s="564">
        <f>+C251+C252+C253</f>
        <v>12106541.031435303</v>
      </c>
      <c r="D254" s="564">
        <f>+D251+D252+D253</f>
        <v>10023329.627506204</v>
      </c>
      <c r="E254" s="564">
        <f>D254-C254</f>
        <v>-2083211.4039290994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806</v>
      </c>
      <c r="B256" s="550" t="s">
        <v>807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698</v>
      </c>
      <c r="C258" s="546">
        <f>+C44</f>
        <v>585390725</v>
      </c>
      <c r="D258" s="549">
        <f>+D44</f>
        <v>604060585</v>
      </c>
      <c r="E258" s="546">
        <f t="shared" ref="E258:E271" si="30">D258-C258</f>
        <v>18669860</v>
      </c>
    </row>
    <row r="259" spans="1:5" x14ac:dyDescent="0.2">
      <c r="A259" s="512">
        <v>2</v>
      </c>
      <c r="B259" s="511" t="s">
        <v>715</v>
      </c>
      <c r="C259" s="546">
        <f>+(C43-C76)</f>
        <v>226075788</v>
      </c>
      <c r="D259" s="549">
        <f>+(D43-D76)</f>
        <v>236466330</v>
      </c>
      <c r="E259" s="546">
        <f t="shared" si="30"/>
        <v>10390542</v>
      </c>
    </row>
    <row r="260" spans="1:5" x14ac:dyDescent="0.2">
      <c r="A260" s="512">
        <v>3</v>
      </c>
      <c r="B260" s="511" t="s">
        <v>719</v>
      </c>
      <c r="C260" s="546">
        <f>C195</f>
        <v>20829651</v>
      </c>
      <c r="D260" s="546">
        <f>D195</f>
        <v>17363336</v>
      </c>
      <c r="E260" s="546">
        <f t="shared" si="30"/>
        <v>-3466315</v>
      </c>
    </row>
    <row r="261" spans="1:5" x14ac:dyDescent="0.2">
      <c r="A261" s="512">
        <v>4</v>
      </c>
      <c r="B261" s="511" t="s">
        <v>720</v>
      </c>
      <c r="C261" s="546">
        <f>C188</f>
        <v>73605060</v>
      </c>
      <c r="D261" s="546">
        <f>D188</f>
        <v>76682182</v>
      </c>
      <c r="E261" s="546">
        <f t="shared" si="30"/>
        <v>3077122</v>
      </c>
    </row>
    <row r="262" spans="1:5" x14ac:dyDescent="0.2">
      <c r="A262" s="512">
        <v>5</v>
      </c>
      <c r="B262" s="511" t="s">
        <v>721</v>
      </c>
      <c r="C262" s="546">
        <f>C191</f>
        <v>6257612</v>
      </c>
      <c r="D262" s="546">
        <f>D191</f>
        <v>5917710</v>
      </c>
      <c r="E262" s="546">
        <f t="shared" si="30"/>
        <v>-339902</v>
      </c>
    </row>
    <row r="263" spans="1:5" x14ac:dyDescent="0.2">
      <c r="A263" s="512">
        <v>6</v>
      </c>
      <c r="B263" s="511" t="s">
        <v>722</v>
      </c>
      <c r="C263" s="546">
        <f>+C259+C260+C261+C262</f>
        <v>326768111</v>
      </c>
      <c r="D263" s="546">
        <f>+D259+D260+D261+D262</f>
        <v>336429558</v>
      </c>
      <c r="E263" s="546">
        <f t="shared" si="30"/>
        <v>9661447</v>
      </c>
    </row>
    <row r="264" spans="1:5" x14ac:dyDescent="0.2">
      <c r="A264" s="512">
        <v>7</v>
      </c>
      <c r="B264" s="511" t="s">
        <v>622</v>
      </c>
      <c r="C264" s="546">
        <f>+C258-C263</f>
        <v>258622614</v>
      </c>
      <c r="D264" s="546">
        <f>+D258-D263</f>
        <v>267631027</v>
      </c>
      <c r="E264" s="546">
        <f t="shared" si="30"/>
        <v>9008413</v>
      </c>
    </row>
    <row r="265" spans="1:5" x14ac:dyDescent="0.2">
      <c r="A265" s="512">
        <v>8</v>
      </c>
      <c r="B265" s="511" t="s">
        <v>808</v>
      </c>
      <c r="C265" s="565">
        <f>C192</f>
        <v>2166356</v>
      </c>
      <c r="D265" s="565">
        <f>D192</f>
        <v>0</v>
      </c>
      <c r="E265" s="546">
        <f t="shared" si="30"/>
        <v>-2166356</v>
      </c>
    </row>
    <row r="266" spans="1:5" x14ac:dyDescent="0.2">
      <c r="A266" s="512">
        <v>9</v>
      </c>
      <c r="B266" s="511" t="s">
        <v>809</v>
      </c>
      <c r="C266" s="546">
        <f>+C264+C265</f>
        <v>260788970</v>
      </c>
      <c r="D266" s="546">
        <f>+D264+D265</f>
        <v>267631027</v>
      </c>
      <c r="E266" s="565">
        <f t="shared" si="30"/>
        <v>6842057</v>
      </c>
    </row>
    <row r="267" spans="1:5" x14ac:dyDescent="0.2">
      <c r="A267" s="512">
        <v>10</v>
      </c>
      <c r="B267" s="511" t="s">
        <v>810</v>
      </c>
      <c r="C267" s="566">
        <f>IF(C258=0,0,C266/C258)</f>
        <v>0.44549556195992002</v>
      </c>
      <c r="D267" s="566">
        <f>IF(D258=0,0,D266/D258)</f>
        <v>0.44305328578920605</v>
      </c>
      <c r="E267" s="567">
        <f t="shared" si="30"/>
        <v>-2.442276170713964E-3</v>
      </c>
    </row>
    <row r="268" spans="1:5" x14ac:dyDescent="0.2">
      <c r="A268" s="512">
        <v>11</v>
      </c>
      <c r="B268" s="511" t="s">
        <v>684</v>
      </c>
      <c r="C268" s="546">
        <f>+C260*C267</f>
        <v>9279517.0776740108</v>
      </c>
      <c r="D268" s="568">
        <f>+D260*D267</f>
        <v>7692883.0670620101</v>
      </c>
      <c r="E268" s="546">
        <f t="shared" si="30"/>
        <v>-1586634.0106120007</v>
      </c>
    </row>
    <row r="269" spans="1:5" x14ac:dyDescent="0.2">
      <c r="A269" s="512">
        <v>12</v>
      </c>
      <c r="B269" s="511" t="s">
        <v>811</v>
      </c>
      <c r="C269" s="546">
        <f>((C17+C18+C28+C29)*C267)-(C50+C51+C61+C62)</f>
        <v>19020449.790407829</v>
      </c>
      <c r="D269" s="568">
        <f>((D17+D18+D28+D29)*D267)-(D50+D51+D61+D62)</f>
        <v>19397920.787186816</v>
      </c>
      <c r="E269" s="546">
        <f t="shared" si="30"/>
        <v>377470.99677898735</v>
      </c>
    </row>
    <row r="270" spans="1:5" s="569" customFormat="1" x14ac:dyDescent="0.2">
      <c r="A270" s="570">
        <v>13</v>
      </c>
      <c r="B270" s="571" t="s">
        <v>812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813</v>
      </c>
      <c r="C271" s="546">
        <f>+C268+C269+C270</f>
        <v>28299966.868081838</v>
      </c>
      <c r="D271" s="546">
        <f>+D268+D269+D270</f>
        <v>27090803.854248825</v>
      </c>
      <c r="E271" s="549">
        <f t="shared" si="30"/>
        <v>-1209163.0138330124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814</v>
      </c>
      <c r="B273" s="550" t="s">
        <v>815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816</v>
      </c>
      <c r="C275" s="340"/>
      <c r="D275" s="340"/>
      <c r="E275" s="520"/>
    </row>
    <row r="276" spans="1:5" x14ac:dyDescent="0.2">
      <c r="A276" s="512">
        <v>1</v>
      </c>
      <c r="B276" s="511" t="s">
        <v>624</v>
      </c>
      <c r="C276" s="547">
        <f t="shared" ref="C276:D284" si="31">IF(C14=0,0,+C47/C14)</f>
        <v>0.73243280995417437</v>
      </c>
      <c r="D276" s="547">
        <f t="shared" si="31"/>
        <v>0.75426803263551634</v>
      </c>
      <c r="E276" s="574">
        <f t="shared" ref="E276:E284" si="32">D276-C276</f>
        <v>2.183522268134197E-2</v>
      </c>
    </row>
    <row r="277" spans="1:5" x14ac:dyDescent="0.2">
      <c r="A277" s="512">
        <v>2</v>
      </c>
      <c r="B277" s="511" t="s">
        <v>603</v>
      </c>
      <c r="C277" s="547">
        <f t="shared" si="31"/>
        <v>0.42139670593632861</v>
      </c>
      <c r="D277" s="547">
        <f t="shared" si="31"/>
        <v>0.42013030867700746</v>
      </c>
      <c r="E277" s="574">
        <f t="shared" si="32"/>
        <v>-1.2663972593211503E-3</v>
      </c>
    </row>
    <row r="278" spans="1:5" x14ac:dyDescent="0.2">
      <c r="A278" s="512">
        <v>3</v>
      </c>
      <c r="B278" s="511" t="s">
        <v>749</v>
      </c>
      <c r="C278" s="547">
        <f t="shared" si="31"/>
        <v>0.23055083374385107</v>
      </c>
      <c r="D278" s="547">
        <f t="shared" si="31"/>
        <v>0.2909723128253619</v>
      </c>
      <c r="E278" s="574">
        <f t="shared" si="32"/>
        <v>6.0421479081510826E-2</v>
      </c>
    </row>
    <row r="279" spans="1:5" x14ac:dyDescent="0.2">
      <c r="A279" s="512">
        <v>4</v>
      </c>
      <c r="B279" s="511" t="s">
        <v>114</v>
      </c>
      <c r="C279" s="547">
        <f t="shared" si="31"/>
        <v>0.26242957730160149</v>
      </c>
      <c r="D279" s="547">
        <f t="shared" si="31"/>
        <v>0.29368145396660217</v>
      </c>
      <c r="E279" s="574">
        <f t="shared" si="32"/>
        <v>3.1251876665000677E-2</v>
      </c>
    </row>
    <row r="280" spans="1:5" x14ac:dyDescent="0.2">
      <c r="A280" s="512">
        <v>5</v>
      </c>
      <c r="B280" s="511" t="s">
        <v>716</v>
      </c>
      <c r="C280" s="547">
        <f t="shared" si="31"/>
        <v>0.13289172966766633</v>
      </c>
      <c r="D280" s="547">
        <f t="shared" si="31"/>
        <v>0.21494347205585509</v>
      </c>
      <c r="E280" s="574">
        <f t="shared" si="32"/>
        <v>8.205174238818877E-2</v>
      </c>
    </row>
    <row r="281" spans="1:5" x14ac:dyDescent="0.2">
      <c r="A281" s="512">
        <v>6</v>
      </c>
      <c r="B281" s="511" t="s">
        <v>416</v>
      </c>
      <c r="C281" s="547">
        <f t="shared" si="31"/>
        <v>0.39028468309526793</v>
      </c>
      <c r="D281" s="547">
        <f t="shared" si="31"/>
        <v>0.40256122886816215</v>
      </c>
      <c r="E281" s="574">
        <f t="shared" si="32"/>
        <v>1.2276545772894221E-2</v>
      </c>
    </row>
    <row r="282" spans="1:5" x14ac:dyDescent="0.2">
      <c r="A282" s="512">
        <v>7</v>
      </c>
      <c r="B282" s="511" t="s">
        <v>731</v>
      </c>
      <c r="C282" s="547">
        <f t="shared" si="31"/>
        <v>0.24248589607441282</v>
      </c>
      <c r="D282" s="547">
        <f t="shared" si="31"/>
        <v>0.2149522759017399</v>
      </c>
      <c r="E282" s="574">
        <f t="shared" si="32"/>
        <v>-2.7533620172672912E-2</v>
      </c>
    </row>
    <row r="283" spans="1:5" ht="29.25" customHeight="1" x14ac:dyDescent="0.2">
      <c r="A283" s="512"/>
      <c r="B283" s="516" t="s">
        <v>817</v>
      </c>
      <c r="C283" s="575">
        <f t="shared" si="31"/>
        <v>0.37984784510772396</v>
      </c>
      <c r="D283" s="575">
        <f t="shared" si="31"/>
        <v>0.38949089786166247</v>
      </c>
      <c r="E283" s="576">
        <f t="shared" si="32"/>
        <v>9.643052753938508E-3</v>
      </c>
    </row>
    <row r="284" spans="1:5" x14ac:dyDescent="0.2">
      <c r="A284" s="512"/>
      <c r="B284" s="516" t="s">
        <v>818</v>
      </c>
      <c r="C284" s="575">
        <f t="shared" si="31"/>
        <v>0.49842243260279046</v>
      </c>
      <c r="D284" s="575">
        <f t="shared" si="31"/>
        <v>0.50915875120151222</v>
      </c>
      <c r="E284" s="576">
        <f t="shared" si="32"/>
        <v>1.0736318598721761E-2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819</v>
      </c>
      <c r="C286" s="520"/>
      <c r="D286" s="520"/>
      <c r="E286" s="520"/>
    </row>
    <row r="287" spans="1:5" x14ac:dyDescent="0.2">
      <c r="A287" s="512">
        <v>1</v>
      </c>
      <c r="B287" s="511" t="s">
        <v>624</v>
      </c>
      <c r="C287" s="547">
        <f t="shared" ref="C287:D295" si="33">IF(C25=0,0,+C58/C25)</f>
        <v>0.55277535414188472</v>
      </c>
      <c r="D287" s="547">
        <f t="shared" si="33"/>
        <v>0.55092833868213298</v>
      </c>
      <c r="E287" s="574">
        <f t="shared" ref="E287:E295" si="34">D287-C287</f>
        <v>-1.8470154597517441E-3</v>
      </c>
    </row>
    <row r="288" spans="1:5" x14ac:dyDescent="0.2">
      <c r="A288" s="512">
        <v>2</v>
      </c>
      <c r="B288" s="511" t="s">
        <v>603</v>
      </c>
      <c r="C288" s="547">
        <f t="shared" si="33"/>
        <v>0.25183474427007213</v>
      </c>
      <c r="D288" s="547">
        <f t="shared" si="33"/>
        <v>0.25087089362397741</v>
      </c>
      <c r="E288" s="574">
        <f t="shared" si="34"/>
        <v>-9.638506460947216E-4</v>
      </c>
    </row>
    <row r="289" spans="1:5" x14ac:dyDescent="0.2">
      <c r="A289" s="512">
        <v>3</v>
      </c>
      <c r="B289" s="511" t="s">
        <v>749</v>
      </c>
      <c r="C289" s="547">
        <f t="shared" si="33"/>
        <v>0.24877845682990815</v>
      </c>
      <c r="D289" s="547">
        <f t="shared" si="33"/>
        <v>0.23872940476111601</v>
      </c>
      <c r="E289" s="574">
        <f t="shared" si="34"/>
        <v>-1.0049052068792141E-2</v>
      </c>
    </row>
    <row r="290" spans="1:5" x14ac:dyDescent="0.2">
      <c r="A290" s="512">
        <v>4</v>
      </c>
      <c r="B290" s="511" t="s">
        <v>114</v>
      </c>
      <c r="C290" s="547">
        <f t="shared" si="33"/>
        <v>0.27262775731305411</v>
      </c>
      <c r="D290" s="547">
        <f t="shared" si="33"/>
        <v>0.23837436584991131</v>
      </c>
      <c r="E290" s="574">
        <f t="shared" si="34"/>
        <v>-3.4253391463142796E-2</v>
      </c>
    </row>
    <row r="291" spans="1:5" x14ac:dyDescent="0.2">
      <c r="A291" s="512">
        <v>5</v>
      </c>
      <c r="B291" s="511" t="s">
        <v>716</v>
      </c>
      <c r="C291" s="547">
        <f t="shared" si="33"/>
        <v>0.14675709925902164</v>
      </c>
      <c r="D291" s="547">
        <f t="shared" si="33"/>
        <v>0.25980262666489345</v>
      </c>
      <c r="E291" s="574">
        <f t="shared" si="34"/>
        <v>0.11304552740587182</v>
      </c>
    </row>
    <row r="292" spans="1:5" x14ac:dyDescent="0.2">
      <c r="A292" s="512">
        <v>6</v>
      </c>
      <c r="B292" s="511" t="s">
        <v>416</v>
      </c>
      <c r="C292" s="547">
        <f t="shared" si="33"/>
        <v>0.30662782380520054</v>
      </c>
      <c r="D292" s="547">
        <f t="shared" si="33"/>
        <v>0.27790379941385118</v>
      </c>
      <c r="E292" s="574">
        <f t="shared" si="34"/>
        <v>-2.8724024391349356E-2</v>
      </c>
    </row>
    <row r="293" spans="1:5" x14ac:dyDescent="0.2">
      <c r="A293" s="512">
        <v>7</v>
      </c>
      <c r="B293" s="511" t="s">
        <v>731</v>
      </c>
      <c r="C293" s="547">
        <f t="shared" si="33"/>
        <v>0.21469386431475829</v>
      </c>
      <c r="D293" s="547">
        <f t="shared" si="33"/>
        <v>0.23611972391982733</v>
      </c>
      <c r="E293" s="574">
        <f t="shared" si="34"/>
        <v>2.1425859605069042E-2</v>
      </c>
    </row>
    <row r="294" spans="1:5" ht="29.25" customHeight="1" x14ac:dyDescent="0.2">
      <c r="A294" s="512"/>
      <c r="B294" s="516" t="s">
        <v>820</v>
      </c>
      <c r="C294" s="575">
        <f t="shared" si="33"/>
        <v>0.25303542219638125</v>
      </c>
      <c r="D294" s="575">
        <f t="shared" si="33"/>
        <v>0.24745305334781786</v>
      </c>
      <c r="E294" s="576">
        <f t="shared" si="34"/>
        <v>-5.5823688485633904E-3</v>
      </c>
    </row>
    <row r="295" spans="1:5" x14ac:dyDescent="0.2">
      <c r="A295" s="512"/>
      <c r="B295" s="516" t="s">
        <v>821</v>
      </c>
      <c r="C295" s="575">
        <f t="shared" si="33"/>
        <v>0.4045133415899832</v>
      </c>
      <c r="D295" s="575">
        <f t="shared" si="33"/>
        <v>0.39820060247783884</v>
      </c>
      <c r="E295" s="576">
        <f t="shared" si="34"/>
        <v>-6.312739112144361E-3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822</v>
      </c>
      <c r="B297" s="501" t="s">
        <v>823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824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622</v>
      </c>
      <c r="C301" s="514">
        <f>+C48+C47+C50+C51+C52+C59+C58+C61+C62+C63</f>
        <v>258622613</v>
      </c>
      <c r="D301" s="514">
        <f>+D48+D47+D50+D51+D52+D59+D58+D61+D62+D63</f>
        <v>267631027</v>
      </c>
      <c r="E301" s="514">
        <f>D301-C301</f>
        <v>9008414</v>
      </c>
    </row>
    <row r="302" spans="1:5" ht="25.5" x14ac:dyDescent="0.2">
      <c r="A302" s="512">
        <v>2</v>
      </c>
      <c r="B302" s="511" t="s">
        <v>825</v>
      </c>
      <c r="C302" s="546">
        <f>C265</f>
        <v>2166356</v>
      </c>
      <c r="D302" s="546">
        <f>D265</f>
        <v>0</v>
      </c>
      <c r="E302" s="514">
        <f>D302-C302</f>
        <v>-2166356</v>
      </c>
    </row>
    <row r="303" spans="1:5" x14ac:dyDescent="0.2">
      <c r="A303" s="512"/>
      <c r="B303" s="516" t="s">
        <v>826</v>
      </c>
      <c r="C303" s="517">
        <f>+C301+C302</f>
        <v>260788969</v>
      </c>
      <c r="D303" s="517">
        <f>+D301+D302</f>
        <v>267631027</v>
      </c>
      <c r="E303" s="517">
        <f>D303-C303</f>
        <v>6842058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827</v>
      </c>
      <c r="C305" s="513">
        <v>9259746</v>
      </c>
      <c r="D305" s="578">
        <v>4302191</v>
      </c>
      <c r="E305" s="579">
        <f>D305-C305</f>
        <v>-4957555</v>
      </c>
    </row>
    <row r="306" spans="1:5" x14ac:dyDescent="0.2">
      <c r="A306" s="512">
        <v>4</v>
      </c>
      <c r="B306" s="516" t="s">
        <v>828</v>
      </c>
      <c r="C306" s="580">
        <f>+C303+C305</f>
        <v>270048715</v>
      </c>
      <c r="D306" s="580">
        <f>+D303+D305</f>
        <v>271933218</v>
      </c>
      <c r="E306" s="580">
        <f>D306-C306</f>
        <v>1884503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829</v>
      </c>
      <c r="C308" s="513">
        <v>270048715</v>
      </c>
      <c r="D308" s="513">
        <v>271933218</v>
      </c>
      <c r="E308" s="514">
        <f>D308-C308</f>
        <v>1884503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830</v>
      </c>
      <c r="C310" s="581">
        <f>C306-C308</f>
        <v>0</v>
      </c>
      <c r="D310" s="582">
        <f>D306-D308</f>
        <v>0</v>
      </c>
      <c r="E310" s="580">
        <f>D310-C310</f>
        <v>0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831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832</v>
      </c>
      <c r="C314" s="514">
        <f>+C14+C15+C16+C19+C25+C26+C27+C30</f>
        <v>585390725</v>
      </c>
      <c r="D314" s="514">
        <f>+D14+D15+D16+D19+D25+D26+D27+D30</f>
        <v>604060585</v>
      </c>
      <c r="E314" s="514">
        <f>D314-C314</f>
        <v>18669860</v>
      </c>
    </row>
    <row r="315" spans="1:5" x14ac:dyDescent="0.2">
      <c r="A315" s="512">
        <v>2</v>
      </c>
      <c r="B315" s="583" t="s">
        <v>833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834</v>
      </c>
      <c r="C316" s="581">
        <f>C314+C315</f>
        <v>585390725</v>
      </c>
      <c r="D316" s="581">
        <f>D314+D315</f>
        <v>604060585</v>
      </c>
      <c r="E316" s="517">
        <f>D316-C316</f>
        <v>18669860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835</v>
      </c>
      <c r="C318" s="513">
        <v>585390725</v>
      </c>
      <c r="D318" s="513">
        <v>604060585</v>
      </c>
      <c r="E318" s="514">
        <f>D318-C318</f>
        <v>18669860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830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836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837</v>
      </c>
      <c r="C324" s="513">
        <f>+C193+C194</f>
        <v>20829651</v>
      </c>
      <c r="D324" s="513">
        <f>+D193+D194</f>
        <v>17363336</v>
      </c>
      <c r="E324" s="514">
        <f>D324-C324</f>
        <v>-3466315</v>
      </c>
    </row>
    <row r="325" spans="1:5" x14ac:dyDescent="0.2">
      <c r="A325" s="512">
        <v>2</v>
      </c>
      <c r="B325" s="511" t="s">
        <v>838</v>
      </c>
      <c r="C325" s="513">
        <v>76847</v>
      </c>
      <c r="D325" s="513">
        <v>163776</v>
      </c>
      <c r="E325" s="514">
        <f>D325-C325</f>
        <v>86929</v>
      </c>
    </row>
    <row r="326" spans="1:5" x14ac:dyDescent="0.2">
      <c r="A326" s="512"/>
      <c r="B326" s="516" t="s">
        <v>839</v>
      </c>
      <c r="C326" s="581">
        <f>C324+C325</f>
        <v>20906498</v>
      </c>
      <c r="D326" s="581">
        <f>D324+D325</f>
        <v>17527112</v>
      </c>
      <c r="E326" s="517">
        <f>D326-C326</f>
        <v>-3379386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840</v>
      </c>
      <c r="C328" s="513">
        <v>20906498</v>
      </c>
      <c r="D328" s="513">
        <v>17527112</v>
      </c>
      <c r="E328" s="514">
        <f>D328-C328</f>
        <v>-3379386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841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r:id="rId1"/>
  <headerFooter>
    <oddHeader>&amp;LOFFICE OF HEALTH CARE ACCESS&amp;CTWELVE MONTHS ACTUAL FILING&amp;RWILLIAM W. BACKUS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594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842</v>
      </c>
      <c r="B5" s="696"/>
      <c r="C5" s="697"/>
      <c r="D5" s="585"/>
    </row>
    <row r="6" spans="1:58" s="338" customFormat="1" ht="15.75" customHeight="1" x14ac:dyDescent="0.25">
      <c r="A6" s="695" t="s">
        <v>843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844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845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748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624</v>
      </c>
      <c r="C14" s="513">
        <v>80104999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603</v>
      </c>
      <c r="C15" s="515">
        <v>122661517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749</v>
      </c>
      <c r="C16" s="515">
        <v>38530367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37204651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716</v>
      </c>
      <c r="C18" s="515">
        <v>1325716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416</v>
      </c>
      <c r="C19" s="515">
        <v>2882913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731</v>
      </c>
      <c r="C20" s="515">
        <v>3268265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750</v>
      </c>
      <c r="C21" s="517">
        <f>SUM(C15+C16+C19)</f>
        <v>164074797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690</v>
      </c>
      <c r="C22" s="517">
        <f>SUM(C14+C21)</f>
        <v>244179796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751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624</v>
      </c>
      <c r="C25" s="513">
        <v>178766277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603</v>
      </c>
      <c r="C26" s="515">
        <v>107995681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749</v>
      </c>
      <c r="C27" s="515">
        <v>66258457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65160639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716</v>
      </c>
      <c r="C29" s="515">
        <v>1097818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416</v>
      </c>
      <c r="C30" s="515">
        <v>6860374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731</v>
      </c>
      <c r="C31" s="518">
        <v>10017380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752</v>
      </c>
      <c r="C32" s="517">
        <f>SUM(C26+C27+C30)</f>
        <v>181114512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696</v>
      </c>
      <c r="C33" s="517">
        <f>SUM(C25+C32)</f>
        <v>359880789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621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846</v>
      </c>
      <c r="C36" s="514">
        <f>SUM(C14+C25)</f>
        <v>258871276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847</v>
      </c>
      <c r="C37" s="518">
        <f>SUM(C21+C32)</f>
        <v>345189309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621</v>
      </c>
      <c r="C38" s="517">
        <f>SUM(+C36+C37)</f>
        <v>604060585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319</v>
      </c>
      <c r="B40" s="509" t="s">
        <v>761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624</v>
      </c>
      <c r="C41" s="513">
        <v>60420640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603</v>
      </c>
      <c r="C42" s="515">
        <v>51533821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749</v>
      </c>
      <c r="C43" s="515">
        <v>11211270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10926316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716</v>
      </c>
      <c r="C45" s="515">
        <v>284954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416</v>
      </c>
      <c r="C46" s="515">
        <v>1160549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731</v>
      </c>
      <c r="C47" s="515">
        <v>702521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762</v>
      </c>
      <c r="C48" s="517">
        <f>SUM(C42+C43+C46)</f>
        <v>63905640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691</v>
      </c>
      <c r="C49" s="517">
        <f>SUM(C41+C48)</f>
        <v>124326280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340</v>
      </c>
      <c r="B51" s="509" t="s">
        <v>763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624</v>
      </c>
      <c r="C52" s="513">
        <v>98487408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603</v>
      </c>
      <c r="C53" s="515">
        <v>27092973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749</v>
      </c>
      <c r="C54" s="515">
        <v>15817842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15532626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716</v>
      </c>
      <c r="C56" s="515">
        <v>285216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416</v>
      </c>
      <c r="C57" s="515">
        <v>1906524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731</v>
      </c>
      <c r="C58" s="515">
        <v>2365301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764</v>
      </c>
      <c r="C59" s="517">
        <f>SUM(C53+C54+C57)</f>
        <v>44817339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697</v>
      </c>
      <c r="C60" s="517">
        <f>SUM(C52+C59)</f>
        <v>143304747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352</v>
      </c>
      <c r="B62" s="521" t="s">
        <v>622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848</v>
      </c>
      <c r="C63" s="514">
        <f>SUM(C41+C52)</f>
        <v>158908048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849</v>
      </c>
      <c r="C64" s="518">
        <f>SUM(C48+C59)</f>
        <v>108722979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622</v>
      </c>
      <c r="C65" s="517">
        <f>SUM(+C63+C64)</f>
        <v>267631027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850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851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624</v>
      </c>
      <c r="C70" s="530">
        <v>4178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603</v>
      </c>
      <c r="C71" s="530">
        <v>5200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749</v>
      </c>
      <c r="C72" s="530">
        <v>2384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2318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716</v>
      </c>
      <c r="C74" s="530">
        <v>66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416</v>
      </c>
      <c r="C75" s="545">
        <v>237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731</v>
      </c>
      <c r="C76" s="545">
        <v>172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779</v>
      </c>
      <c r="C77" s="532">
        <f>SUM(C71+C72+C75)</f>
        <v>7821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693</v>
      </c>
      <c r="C78" s="596">
        <f>SUM(C70+C77)</f>
        <v>11999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784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624</v>
      </c>
      <c r="C81" s="541">
        <v>1.2574000000000001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603</v>
      </c>
      <c r="C82" s="541">
        <v>1.4507000000000001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749</v>
      </c>
      <c r="C83" s="541">
        <f>((C73*C84)+(C74*C85))/(C73+C74)</f>
        <v>1.0012949664429529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0.99650000000000005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716</v>
      </c>
      <c r="C85" s="541">
        <v>1.1697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416</v>
      </c>
      <c r="C86" s="541">
        <v>0.83979999999999999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731</v>
      </c>
      <c r="C87" s="541">
        <v>1.0202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785</v>
      </c>
      <c r="C88" s="543">
        <f>((C71*C82)+(C73*C84)+(C74*C85)+(C75*C86))/(C71+C73+C74+C75)</f>
        <v>1.2952000767165324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694</v>
      </c>
      <c r="C89" s="543">
        <f>((C70*C81)+(C71*C82)+(C73*C84)+(C74*C85)+(C75*C86))/(C70+C71+C73+C74+C75)</f>
        <v>1.2820382531877657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786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787</v>
      </c>
      <c r="C92" s="513">
        <v>231352289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788</v>
      </c>
      <c r="C93" s="546">
        <v>154670107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636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720</v>
      </c>
      <c r="C95" s="513">
        <f>+C92-C93</f>
        <v>76682182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638</v>
      </c>
      <c r="C96" s="597">
        <f>(+C92-C93)/C92</f>
        <v>0.3314520134270208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735</v>
      </c>
      <c r="C98" s="513">
        <v>10155651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721</v>
      </c>
      <c r="C99" s="513">
        <v>5917710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852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790</v>
      </c>
      <c r="C103" s="513">
        <v>4672730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791</v>
      </c>
      <c r="C104" s="513">
        <v>12690606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792</v>
      </c>
      <c r="C105" s="578">
        <f>+C103+C104</f>
        <v>17363336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793</v>
      </c>
      <c r="C107" s="513">
        <v>5109286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678</v>
      </c>
      <c r="C108" s="513">
        <v>252073735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823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824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622</v>
      </c>
      <c r="C114" s="514">
        <f>+C65</f>
        <v>267631027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825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826</v>
      </c>
      <c r="C116" s="517">
        <f>+C114+C115</f>
        <v>267631027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827</v>
      </c>
      <c r="C118" s="578">
        <v>4302191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828</v>
      </c>
      <c r="C119" s="580">
        <f>+C116+C118</f>
        <v>271933218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829</v>
      </c>
      <c r="C121" s="513">
        <v>271933218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830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831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832</v>
      </c>
      <c r="C127" s="514">
        <f>+C38</f>
        <v>604060585</v>
      </c>
      <c r="D127" s="588"/>
      <c r="AR127" s="507"/>
    </row>
    <row r="128" spans="1:58" s="506" customFormat="1" x14ac:dyDescent="0.2">
      <c r="A128" s="512">
        <v>2</v>
      </c>
      <c r="B128" s="583" t="s">
        <v>833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834</v>
      </c>
      <c r="C129" s="581">
        <f>C127+C128</f>
        <v>604060585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835</v>
      </c>
      <c r="C131" s="513">
        <v>604060585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830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836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837</v>
      </c>
      <c r="C137" s="513">
        <f>C105</f>
        <v>17363336</v>
      </c>
      <c r="D137" s="588"/>
      <c r="AR137" s="507"/>
    </row>
    <row r="138" spans="1:44" s="506" customFormat="1" x14ac:dyDescent="0.2">
      <c r="A138" s="512">
        <v>2</v>
      </c>
      <c r="B138" s="511" t="s">
        <v>853</v>
      </c>
      <c r="C138" s="513">
        <v>163776</v>
      </c>
      <c r="D138" s="588"/>
      <c r="AR138" s="507"/>
    </row>
    <row r="139" spans="1:44" s="506" customFormat="1" x14ac:dyDescent="0.2">
      <c r="A139" s="512"/>
      <c r="B139" s="516" t="s">
        <v>839</v>
      </c>
      <c r="C139" s="581">
        <f>C137+C138</f>
        <v>17527112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854</v>
      </c>
      <c r="C141" s="513">
        <v>17527112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841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r:id="rId1"/>
  <headerFooter>
    <oddHeader>&amp;LOFFICE OF HEALTH CARE ACCESS&amp;CTWELVE MONTHS ACTUAL FILING&amp;RWILLIAM W. BACKUS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594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595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855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598</v>
      </c>
      <c r="D8" s="35" t="s">
        <v>598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600</v>
      </c>
      <c r="D9" s="607" t="s">
        <v>601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856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857</v>
      </c>
      <c r="C12" s="49">
        <v>2135</v>
      </c>
      <c r="D12" s="49">
        <v>1641</v>
      </c>
      <c r="E12" s="49">
        <f>+D12-C12</f>
        <v>-494</v>
      </c>
      <c r="F12" s="70">
        <f>IF(C12=0,0,+E12/C12)</f>
        <v>-0.23138173302107728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858</v>
      </c>
      <c r="C13" s="49">
        <v>2081</v>
      </c>
      <c r="D13" s="49">
        <v>1395</v>
      </c>
      <c r="E13" s="49">
        <f>+D13-C13</f>
        <v>-686</v>
      </c>
      <c r="F13" s="70">
        <f>IF(C13=0,0,+E13/C13)</f>
        <v>-0.32964920711196538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859</v>
      </c>
      <c r="C15" s="51">
        <v>6321367</v>
      </c>
      <c r="D15" s="51">
        <v>4672730</v>
      </c>
      <c r="E15" s="51">
        <f>+D15-C15</f>
        <v>-1648637</v>
      </c>
      <c r="F15" s="70">
        <f>IF(C15=0,0,+E15/C15)</f>
        <v>-0.26080387359253149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860</v>
      </c>
      <c r="C16" s="27">
        <f>IF(C13=0,0,+C15/+C13)</f>
        <v>3037.6583373378185</v>
      </c>
      <c r="D16" s="27">
        <f>IF(D13=0,0,+D15/+D13)</f>
        <v>3349.6272401433694</v>
      </c>
      <c r="E16" s="27">
        <f>+D16-C16</f>
        <v>311.9689028055509</v>
      </c>
      <c r="F16" s="28">
        <f>IF(C16=0,0,+E16/C16)</f>
        <v>0.10270045810318423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861</v>
      </c>
      <c r="C18" s="210">
        <v>0.44408300000000001</v>
      </c>
      <c r="D18" s="210">
        <v>0.44441799999999998</v>
      </c>
      <c r="E18" s="210">
        <f>+D18-C18</f>
        <v>3.3499999999997421E-4</v>
      </c>
      <c r="F18" s="70">
        <f>IF(C18=0,0,+E18/C18)</f>
        <v>7.5436348610501689E-4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862</v>
      </c>
      <c r="C19" s="27">
        <f>+C15*C18</f>
        <v>2807211.6214609998</v>
      </c>
      <c r="D19" s="27">
        <f>+D15*D18</f>
        <v>2076645.3211399999</v>
      </c>
      <c r="E19" s="27">
        <f>+D19-C19</f>
        <v>-730566.30032099993</v>
      </c>
      <c r="F19" s="28">
        <f>IF(C19=0,0,+E19/C19)</f>
        <v>-0.26024625102569937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863</v>
      </c>
      <c r="C20" s="27">
        <f>IF(C13=0,0,+C19/C13)</f>
        <v>1348.9724274199903</v>
      </c>
      <c r="D20" s="27">
        <f>IF(D13=0,0,+D19/D13)</f>
        <v>1488.6346388100358</v>
      </c>
      <c r="E20" s="27">
        <f>+D20-C20</f>
        <v>139.66221139004551</v>
      </c>
      <c r="F20" s="28">
        <f>IF(C20=0,0,+E20/C20)</f>
        <v>0.10353229506488865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864</v>
      </c>
      <c r="C22" s="51">
        <v>2384599</v>
      </c>
      <c r="D22" s="51">
        <v>1555832</v>
      </c>
      <c r="E22" s="51">
        <f>+D22-C22</f>
        <v>-828767</v>
      </c>
      <c r="F22" s="70">
        <f>IF(C22=0,0,+E22/C22)</f>
        <v>-0.34754983961663993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865</v>
      </c>
      <c r="C23" s="49">
        <v>2272551</v>
      </c>
      <c r="D23" s="49">
        <v>1353196</v>
      </c>
      <c r="E23" s="49">
        <f>+D23-C23</f>
        <v>-919355</v>
      </c>
      <c r="F23" s="70">
        <f>IF(C23=0,0,+E23/C23)</f>
        <v>-0.40454757671004965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866</v>
      </c>
      <c r="C24" s="49">
        <v>1664217</v>
      </c>
      <c r="D24" s="49">
        <v>1763702</v>
      </c>
      <c r="E24" s="49">
        <f>+D24-C24</f>
        <v>99485</v>
      </c>
      <c r="F24" s="70">
        <f>IF(C24=0,0,+E24/C24)</f>
        <v>5.9778862972797421E-2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859</v>
      </c>
      <c r="C25" s="27">
        <f>+C22+C23+C24</f>
        <v>6321367</v>
      </c>
      <c r="D25" s="27">
        <f>+D22+D23+D24</f>
        <v>4672730</v>
      </c>
      <c r="E25" s="27">
        <f>+E22+E23+E24</f>
        <v>-1648637</v>
      </c>
      <c r="F25" s="28">
        <f>IF(C25=0,0,+E25/C25)</f>
        <v>-0.26080387359253149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867</v>
      </c>
      <c r="C27" s="49">
        <v>2461</v>
      </c>
      <c r="D27" s="49">
        <v>2002</v>
      </c>
      <c r="E27" s="49">
        <f>+D27-C27</f>
        <v>-459</v>
      </c>
      <c r="F27" s="70">
        <f>IF(C27=0,0,+E27/C27)</f>
        <v>-0.18650954896383584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868</v>
      </c>
      <c r="C28" s="49">
        <v>564</v>
      </c>
      <c r="D28" s="49">
        <v>438</v>
      </c>
      <c r="E28" s="49">
        <f>+D28-C28</f>
        <v>-126</v>
      </c>
      <c r="F28" s="70">
        <f>IF(C28=0,0,+E28/C28)</f>
        <v>-0.22340425531914893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869</v>
      </c>
      <c r="C29" s="49">
        <v>2161</v>
      </c>
      <c r="D29" s="49">
        <v>1696</v>
      </c>
      <c r="E29" s="49">
        <f>+D29-C29</f>
        <v>-465</v>
      </c>
      <c r="F29" s="70">
        <f>IF(C29=0,0,+E29/C29)</f>
        <v>-0.21517815826006478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870</v>
      </c>
      <c r="C30" s="49">
        <v>6294</v>
      </c>
      <c r="D30" s="49">
        <v>4316</v>
      </c>
      <c r="E30" s="49">
        <f>+D30-C30</f>
        <v>-1978</v>
      </c>
      <c r="F30" s="70">
        <f>IF(C30=0,0,+E30/C30)</f>
        <v>-0.31426755640292342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871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872</v>
      </c>
      <c r="C33" s="51">
        <v>2910189</v>
      </c>
      <c r="D33" s="51">
        <v>2338365</v>
      </c>
      <c r="E33" s="51">
        <f>+D33-C33</f>
        <v>-571824</v>
      </c>
      <c r="F33" s="70">
        <f>IF(C33=0,0,+E33/C33)</f>
        <v>-0.1964903310403551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873</v>
      </c>
      <c r="C34" s="49">
        <v>3124457</v>
      </c>
      <c r="D34" s="49">
        <v>3128863</v>
      </c>
      <c r="E34" s="49">
        <f>+D34-C34</f>
        <v>4406</v>
      </c>
      <c r="F34" s="70">
        <f>IF(C34=0,0,+E34/C34)</f>
        <v>1.4101650302756608E-3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874</v>
      </c>
      <c r="C35" s="49">
        <v>8473638</v>
      </c>
      <c r="D35" s="49">
        <v>7223378</v>
      </c>
      <c r="E35" s="49">
        <f>+D35-C35</f>
        <v>-1250260</v>
      </c>
      <c r="F35" s="70">
        <f>IF(C35=0,0,+E35/C35)</f>
        <v>-0.14754701581540303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875</v>
      </c>
      <c r="C36" s="27">
        <f>+C33+C34+C35</f>
        <v>14508284</v>
      </c>
      <c r="D36" s="27">
        <f>+D33+D34+D35</f>
        <v>12690606</v>
      </c>
      <c r="E36" s="27">
        <f>+E33+E34+E35</f>
        <v>-1817678</v>
      </c>
      <c r="F36" s="28">
        <f>IF(C36=0,0,+E36/C36)</f>
        <v>-0.12528552653091157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876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877</v>
      </c>
      <c r="C39" s="51">
        <f>+C25</f>
        <v>6321367</v>
      </c>
      <c r="D39" s="51">
        <f>+D25</f>
        <v>4672730</v>
      </c>
      <c r="E39" s="51">
        <f>+D39-C39</f>
        <v>-1648637</v>
      </c>
      <c r="F39" s="70">
        <f>IF(C39=0,0,+E39/C39)</f>
        <v>-0.26080387359253149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878</v>
      </c>
      <c r="C40" s="49">
        <f>+C36</f>
        <v>14508284</v>
      </c>
      <c r="D40" s="49">
        <f>+D36</f>
        <v>12690606</v>
      </c>
      <c r="E40" s="49">
        <f>+D40-C40</f>
        <v>-1817678</v>
      </c>
      <c r="F40" s="70">
        <f>IF(C40=0,0,+E40/C40)</f>
        <v>-0.12528552653091157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879</v>
      </c>
      <c r="C41" s="27">
        <f>+C39+C40</f>
        <v>20829651</v>
      </c>
      <c r="D41" s="27">
        <f>+D39+D40</f>
        <v>17363336</v>
      </c>
      <c r="E41" s="27">
        <f>+E39+E40</f>
        <v>-3466315</v>
      </c>
      <c r="F41" s="28">
        <f>IF(C41=0,0,+E41/C41)</f>
        <v>-0.16641253374816506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880</v>
      </c>
      <c r="C43" s="51">
        <f t="shared" ref="C43:D45" si="0">+C22+C33</f>
        <v>5294788</v>
      </c>
      <c r="D43" s="51">
        <f t="shared" si="0"/>
        <v>3894197</v>
      </c>
      <c r="E43" s="51">
        <f>+D43-C43</f>
        <v>-1400591</v>
      </c>
      <c r="F43" s="70">
        <f>IF(C43=0,0,+E43/C43)</f>
        <v>-0.26452258334044726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881</v>
      </c>
      <c r="C44" s="49">
        <f t="shared" si="0"/>
        <v>5397008</v>
      </c>
      <c r="D44" s="49">
        <f t="shared" si="0"/>
        <v>4482059</v>
      </c>
      <c r="E44" s="49">
        <f>+D44-C44</f>
        <v>-914949</v>
      </c>
      <c r="F44" s="70">
        <f>IF(C44=0,0,+E44/C44)</f>
        <v>-0.16952893158579715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882</v>
      </c>
      <c r="C45" s="49">
        <f t="shared" si="0"/>
        <v>10137855</v>
      </c>
      <c r="D45" s="49">
        <f t="shared" si="0"/>
        <v>8987080</v>
      </c>
      <c r="E45" s="49">
        <f>+D45-C45</f>
        <v>-1150775</v>
      </c>
      <c r="F45" s="70">
        <f>IF(C45=0,0,+E45/C45)</f>
        <v>-0.1135126710729242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879</v>
      </c>
      <c r="C46" s="27">
        <f>+C43+C44+C45</f>
        <v>20829651</v>
      </c>
      <c r="D46" s="27">
        <f>+D43+D44+D45</f>
        <v>17363336</v>
      </c>
      <c r="E46" s="27">
        <f>+E43+E44+E45</f>
        <v>-3466315</v>
      </c>
      <c r="F46" s="28">
        <f>IF(C46=0,0,+E46/C46)</f>
        <v>-0.16641253374816506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883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r:id="rId1"/>
  <headerFooter>
    <oddHeader>&amp;LOFFICE OF HEALTH CARE ACCESS&amp;CTWELVE MONTHS ACTUAL FILING&amp;RWILLIAM W. BACKUS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594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595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884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885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600</v>
      </c>
      <c r="D9" s="35" t="s">
        <v>601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886</v>
      </c>
      <c r="D10" s="35" t="s">
        <v>886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887</v>
      </c>
      <c r="D11" s="605" t="s">
        <v>887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888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323</v>
      </c>
      <c r="C15" s="51">
        <v>224385117</v>
      </c>
      <c r="D15" s="51">
        <v>231352289</v>
      </c>
      <c r="E15" s="51">
        <f>+D15-C15</f>
        <v>6967172</v>
      </c>
      <c r="F15" s="70">
        <f>+E15/C15</f>
        <v>3.1050062914823356E-2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505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889</v>
      </c>
      <c r="C17" s="51">
        <v>73605060</v>
      </c>
      <c r="D17" s="51">
        <v>76682182</v>
      </c>
      <c r="E17" s="51">
        <f>+D17-C17</f>
        <v>3077122</v>
      </c>
      <c r="F17" s="70">
        <f>+E17/C17</f>
        <v>4.180584867399062E-2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890</v>
      </c>
      <c r="C19" s="27">
        <f>+C15-C17</f>
        <v>150780057</v>
      </c>
      <c r="D19" s="27">
        <f>+D15-D17</f>
        <v>154670107</v>
      </c>
      <c r="E19" s="27">
        <f>+D19-C19</f>
        <v>3890050</v>
      </c>
      <c r="F19" s="28">
        <f>+E19/C19</f>
        <v>2.5799499465635565E-2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891</v>
      </c>
      <c r="C21" s="628">
        <f>+C17/C15</f>
        <v>0.32803004488038306</v>
      </c>
      <c r="D21" s="628">
        <f>+D17/D15</f>
        <v>0.3314520134270208</v>
      </c>
      <c r="E21" s="628">
        <f>+D21-C21</f>
        <v>3.4219685466377325E-3</v>
      </c>
      <c r="F21" s="28">
        <f>+E21/C21</f>
        <v>1.0431875372530468E-2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505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505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505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505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892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r:id="rId1"/>
  <headerFooter>
    <oddHeader>&amp;L&amp;12OFFICE OF HEALTH CARE ACCESS&amp;C&amp;12TWELVE MONTHS ACTUAL FILING&amp;R&amp;12WILLIAM W. BACKUS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/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893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894</v>
      </c>
      <c r="B6" s="632" t="s">
        <v>895</v>
      </c>
      <c r="C6" s="632" t="s">
        <v>896</v>
      </c>
      <c r="D6" s="632" t="s">
        <v>897</v>
      </c>
      <c r="E6" s="632" t="s">
        <v>898</v>
      </c>
    </row>
    <row r="7" spans="1:6" ht="37.5" customHeight="1" x14ac:dyDescent="0.25">
      <c r="A7" s="633" t="s">
        <v>8</v>
      </c>
      <c r="B7" s="634" t="s">
        <v>899</v>
      </c>
      <c r="C7" s="631" t="s">
        <v>900</v>
      </c>
      <c r="D7" s="631" t="s">
        <v>901</v>
      </c>
      <c r="E7" s="631" t="s">
        <v>902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903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904</v>
      </c>
      <c r="C10" s="641">
        <v>225853434</v>
      </c>
      <c r="D10" s="641">
        <v>232397678</v>
      </c>
      <c r="E10" s="641">
        <v>244179796</v>
      </c>
    </row>
    <row r="11" spans="1:6" ht="26.1" customHeight="1" x14ac:dyDescent="0.25">
      <c r="A11" s="639">
        <v>2</v>
      </c>
      <c r="B11" s="640" t="s">
        <v>905</v>
      </c>
      <c r="C11" s="641">
        <v>334787620</v>
      </c>
      <c r="D11" s="641">
        <v>352993047</v>
      </c>
      <c r="E11" s="641">
        <v>359880789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560641054</v>
      </c>
      <c r="D12" s="641">
        <f>+D11+D10</f>
        <v>585390725</v>
      </c>
      <c r="E12" s="641">
        <f>+E11+E10</f>
        <v>604060585</v>
      </c>
    </row>
    <row r="13" spans="1:6" ht="26.1" customHeight="1" x14ac:dyDescent="0.25">
      <c r="A13" s="639">
        <v>4</v>
      </c>
      <c r="B13" s="640" t="s">
        <v>482</v>
      </c>
      <c r="C13" s="641">
        <v>259652271</v>
      </c>
      <c r="D13" s="641">
        <v>270048715</v>
      </c>
      <c r="E13" s="641">
        <v>271933218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322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906</v>
      </c>
      <c r="C16" s="641">
        <v>250646571</v>
      </c>
      <c r="D16" s="641">
        <v>262102283</v>
      </c>
      <c r="E16" s="641">
        <v>252073735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907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370</v>
      </c>
      <c r="C19" s="644">
        <v>50032</v>
      </c>
      <c r="D19" s="644">
        <v>49096</v>
      </c>
      <c r="E19" s="644">
        <v>49654</v>
      </c>
    </row>
    <row r="20" spans="1:5" ht="26.1" customHeight="1" x14ac:dyDescent="0.25">
      <c r="A20" s="639">
        <v>2</v>
      </c>
      <c r="B20" s="640" t="s">
        <v>371</v>
      </c>
      <c r="C20" s="645">
        <v>11885</v>
      </c>
      <c r="D20" s="645">
        <v>12175</v>
      </c>
      <c r="E20" s="645">
        <v>11999</v>
      </c>
    </row>
    <row r="21" spans="1:5" ht="26.1" customHeight="1" x14ac:dyDescent="0.25">
      <c r="A21" s="639">
        <v>3</v>
      </c>
      <c r="B21" s="640" t="s">
        <v>908</v>
      </c>
      <c r="C21" s="646">
        <f>IF(C20=0,0,+C19/C20)</f>
        <v>4.2096760622633571</v>
      </c>
      <c r="D21" s="646">
        <f>IF(D20=0,0,+D19/D20)</f>
        <v>4.0325256673511296</v>
      </c>
      <c r="E21" s="646">
        <f>IF(E20=0,0,+E19/E20)</f>
        <v>4.1381781815151264</v>
      </c>
    </row>
    <row r="22" spans="1:5" ht="26.1" customHeight="1" x14ac:dyDescent="0.25">
      <c r="A22" s="639">
        <v>4</v>
      </c>
      <c r="B22" s="640" t="s">
        <v>909</v>
      </c>
      <c r="C22" s="645">
        <f>IF(C10=0,0,C19*(C12/C10))</f>
        <v>124195.55778694956</v>
      </c>
      <c r="D22" s="645">
        <f>IF(D10=0,0,D19*(D12/D10))</f>
        <v>123668.80461946785</v>
      </c>
      <c r="E22" s="645">
        <f>IF(E10=0,0,E19*(E12/E10))</f>
        <v>122835.8151613412</v>
      </c>
    </row>
    <row r="23" spans="1:5" ht="26.1" customHeight="1" x14ac:dyDescent="0.25">
      <c r="A23" s="639">
        <v>0</v>
      </c>
      <c r="B23" s="640" t="s">
        <v>910</v>
      </c>
      <c r="C23" s="645">
        <f>IF(C10=0,0,C20*(C12/C10))</f>
        <v>29502.40254832698</v>
      </c>
      <c r="D23" s="645">
        <f>IF(D10=0,0,D20*(D12/D10))</f>
        <v>30667.82825977719</v>
      </c>
      <c r="E23" s="645">
        <f>IF(E10=0,0,E20*(E12/E10))</f>
        <v>29683.549082066562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319</v>
      </c>
      <c r="B25" s="642" t="s">
        <v>911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420</v>
      </c>
      <c r="C26" s="647">
        <v>1.3048161295750944</v>
      </c>
      <c r="D26" s="647">
        <v>1.2416886735112935</v>
      </c>
      <c r="E26" s="647">
        <v>1.2820382531877657</v>
      </c>
    </row>
    <row r="27" spans="1:5" ht="26.1" customHeight="1" x14ac:dyDescent="0.25">
      <c r="A27" s="639">
        <v>2</v>
      </c>
      <c r="B27" s="640" t="s">
        <v>912</v>
      </c>
      <c r="C27" s="645">
        <f>C19*C26</f>
        <v>65282.560594901122</v>
      </c>
      <c r="D27" s="645">
        <f>D19*D26</f>
        <v>60961.94711471047</v>
      </c>
      <c r="E27" s="645">
        <f>E19*E26</f>
        <v>63658.327423785318</v>
      </c>
    </row>
    <row r="28" spans="1:5" ht="26.1" customHeight="1" x14ac:dyDescent="0.25">
      <c r="A28" s="639">
        <v>3</v>
      </c>
      <c r="B28" s="640" t="s">
        <v>913</v>
      </c>
      <c r="C28" s="645">
        <f>C20*C26</f>
        <v>15507.739699999996</v>
      </c>
      <c r="D28" s="645">
        <f>D20*D26</f>
        <v>15117.559599999999</v>
      </c>
      <c r="E28" s="645">
        <f>E20*E26</f>
        <v>15383.177</v>
      </c>
    </row>
    <row r="29" spans="1:5" ht="26.1" customHeight="1" x14ac:dyDescent="0.25">
      <c r="A29" s="639">
        <v>4</v>
      </c>
      <c r="B29" s="640" t="s">
        <v>914</v>
      </c>
      <c r="C29" s="645">
        <f>C22*C26</f>
        <v>162052.36702198751</v>
      </c>
      <c r="D29" s="645">
        <f>D22*D26</f>
        <v>153558.15396267435</v>
      </c>
      <c r="E29" s="645">
        <f>E22*E26</f>
        <v>157480.21389834114</v>
      </c>
    </row>
    <row r="30" spans="1:5" ht="26.1" customHeight="1" x14ac:dyDescent="0.25">
      <c r="A30" s="639">
        <v>5</v>
      </c>
      <c r="B30" s="640" t="s">
        <v>915</v>
      </c>
      <c r="C30" s="645">
        <f>C23*C26</f>
        <v>38495.210706274411</v>
      </c>
      <c r="D30" s="645">
        <f>D23*D26</f>
        <v>38079.8949913549</v>
      </c>
      <c r="E30" s="645">
        <f>E23*E26</f>
        <v>38055.44541358592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340</v>
      </c>
      <c r="B32" s="634" t="s">
        <v>916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917</v>
      </c>
      <c r="C33" s="641">
        <f>IF(C19=0,0,C12/C19)</f>
        <v>11205.649464342821</v>
      </c>
      <c r="D33" s="641">
        <f>IF(D19=0,0,D12/D19)</f>
        <v>11923.389379990223</v>
      </c>
      <c r="E33" s="641">
        <f>IF(E19=0,0,E12/E19)</f>
        <v>12165.396241994602</v>
      </c>
    </row>
    <row r="34" spans="1:5" ht="26.1" customHeight="1" x14ac:dyDescent="0.25">
      <c r="A34" s="639">
        <v>2</v>
      </c>
      <c r="B34" s="640" t="s">
        <v>918</v>
      </c>
      <c r="C34" s="641">
        <f>IF(C20=0,0,C12/C20)</f>
        <v>47172.154312158185</v>
      </c>
      <c r="D34" s="641">
        <f>IF(D20=0,0,D12/D20)</f>
        <v>48081.373716632443</v>
      </c>
      <c r="E34" s="641">
        <f>IF(E20=0,0,E12/E20)</f>
        <v>50342.577298108175</v>
      </c>
    </row>
    <row r="35" spans="1:5" ht="26.1" customHeight="1" x14ac:dyDescent="0.25">
      <c r="A35" s="639">
        <v>3</v>
      </c>
      <c r="B35" s="640" t="s">
        <v>919</v>
      </c>
      <c r="C35" s="641">
        <f>IF(C22=0,0,C12/C22)</f>
        <v>4514.1796050527664</v>
      </c>
      <c r="D35" s="641">
        <f>IF(D22=0,0,D12/D22)</f>
        <v>4733.5358888707833</v>
      </c>
      <c r="E35" s="641">
        <f>IF(E22=0,0,E12/E22)</f>
        <v>4917.6258911668747</v>
      </c>
    </row>
    <row r="36" spans="1:5" ht="26.1" customHeight="1" x14ac:dyDescent="0.25">
      <c r="A36" s="639">
        <v>4</v>
      </c>
      <c r="B36" s="640" t="s">
        <v>920</v>
      </c>
      <c r="C36" s="641">
        <f>IF(C23=0,0,C12/C23)</f>
        <v>19003.233824148087</v>
      </c>
      <c r="D36" s="641">
        <f>IF(D23=0,0,D12/D23)</f>
        <v>19088.104969199179</v>
      </c>
      <c r="E36" s="641">
        <f>IF(E23=0,0,E12/E23)</f>
        <v>20350.012167680638</v>
      </c>
    </row>
    <row r="37" spans="1:5" ht="26.1" customHeight="1" x14ac:dyDescent="0.25">
      <c r="A37" s="639">
        <v>5</v>
      </c>
      <c r="B37" s="640" t="s">
        <v>921</v>
      </c>
      <c r="C37" s="641">
        <f>IF(C29=0,0,C12/C29)</f>
        <v>3459.6289107207635</v>
      </c>
      <c r="D37" s="641">
        <f>IF(D29=0,0,D12/D29)</f>
        <v>3812.1761032780582</v>
      </c>
      <c r="E37" s="641">
        <f>IF(E29=0,0,E12/E29)</f>
        <v>3835.787176349289</v>
      </c>
    </row>
    <row r="38" spans="1:5" ht="26.1" customHeight="1" x14ac:dyDescent="0.25">
      <c r="A38" s="639">
        <v>6</v>
      </c>
      <c r="B38" s="640" t="s">
        <v>922</v>
      </c>
      <c r="C38" s="641">
        <f>IF(C30=0,0,C12/C30)</f>
        <v>14563.917009775452</v>
      </c>
      <c r="D38" s="641">
        <f>IF(D30=0,0,D12/D30)</f>
        <v>15372.697984931379</v>
      </c>
      <c r="E38" s="641">
        <f>IF(E30=0,0,E12/E30)</f>
        <v>15873.170802104141</v>
      </c>
    </row>
    <row r="39" spans="1:5" ht="26.1" customHeight="1" x14ac:dyDescent="0.25">
      <c r="A39" s="639">
        <v>7</v>
      </c>
      <c r="B39" s="640" t="s">
        <v>923</v>
      </c>
      <c r="C39" s="641">
        <f>IF(C22=0,0,C10/C22)</f>
        <v>1818.5306948533439</v>
      </c>
      <c r="D39" s="641">
        <f>IF(D22=0,0,D10/D22)</f>
        <v>1879.1940191796448</v>
      </c>
      <c r="E39" s="641">
        <f>IF(E22=0,0,E10/E22)</f>
        <v>1987.8550541572674</v>
      </c>
    </row>
    <row r="40" spans="1:5" ht="26.1" customHeight="1" x14ac:dyDescent="0.25">
      <c r="A40" s="639">
        <v>8</v>
      </c>
      <c r="B40" s="640" t="s">
        <v>924</v>
      </c>
      <c r="C40" s="641">
        <f>IF(C23=0,0,C10/C23)</f>
        <v>7655.4251346152714</v>
      </c>
      <c r="D40" s="641">
        <f>IF(D23=0,0,D10/D23)</f>
        <v>7577.8981162746486</v>
      </c>
      <c r="E40" s="641">
        <f>IF(E23=0,0,E10/E23)</f>
        <v>8226.098413128173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352</v>
      </c>
      <c r="B42" s="634" t="s">
        <v>925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926</v>
      </c>
      <c r="C43" s="641">
        <f>IF(C19=0,0,C13/C19)</f>
        <v>5189.7239966421494</v>
      </c>
      <c r="D43" s="641">
        <f>IF(D19=0,0,D13/D19)</f>
        <v>5500.4219284666779</v>
      </c>
      <c r="E43" s="641">
        <f>IF(E19=0,0,E13/E19)</f>
        <v>5476.5621702179078</v>
      </c>
    </row>
    <row r="44" spans="1:5" ht="26.1" customHeight="1" x14ac:dyDescent="0.25">
      <c r="A44" s="639">
        <v>2</v>
      </c>
      <c r="B44" s="640" t="s">
        <v>927</v>
      </c>
      <c r="C44" s="641">
        <f>IF(C20=0,0,C13/C20)</f>
        <v>21847.056878418174</v>
      </c>
      <c r="D44" s="641">
        <f>IF(D20=0,0,D13/D20)</f>
        <v>22180.592607802875</v>
      </c>
      <c r="E44" s="641">
        <f>IF(E20=0,0,E13/E20)</f>
        <v>22662.990082506876</v>
      </c>
    </row>
    <row r="45" spans="1:5" ht="26.1" customHeight="1" x14ac:dyDescent="0.25">
      <c r="A45" s="639">
        <v>3</v>
      </c>
      <c r="B45" s="640" t="s">
        <v>928</v>
      </c>
      <c r="C45" s="641">
        <f>IF(C22=0,0,C13/C22)</f>
        <v>2090.6727714482249</v>
      </c>
      <c r="D45" s="641">
        <f>IF(D22=0,0,D13/D22)</f>
        <v>2183.6445806276447</v>
      </c>
      <c r="E45" s="641">
        <f>IF(E22=0,0,E13/E22)</f>
        <v>2213.7942231491993</v>
      </c>
    </row>
    <row r="46" spans="1:5" ht="26.1" customHeight="1" x14ac:dyDescent="0.25">
      <c r="A46" s="639">
        <v>4</v>
      </c>
      <c r="B46" s="640" t="s">
        <v>929</v>
      </c>
      <c r="C46" s="641">
        <f>IF(C23=0,0,C13/C23)</f>
        <v>8801.0551199913825</v>
      </c>
      <c r="D46" s="641">
        <f>IF(D23=0,0,D13/D23)</f>
        <v>8805.6028197531705</v>
      </c>
      <c r="E46" s="641">
        <f>IF(E23=0,0,E13/E23)</f>
        <v>9161.0749526002455</v>
      </c>
    </row>
    <row r="47" spans="1:5" ht="26.1" customHeight="1" x14ac:dyDescent="0.25">
      <c r="A47" s="639">
        <v>5</v>
      </c>
      <c r="B47" s="640" t="s">
        <v>930</v>
      </c>
      <c r="C47" s="641">
        <f>IF(C29=0,0,C13/C29)</f>
        <v>1602.27385610955</v>
      </c>
      <c r="D47" s="641">
        <f>IF(D29=0,0,D13/D29)</f>
        <v>1758.6087617700928</v>
      </c>
      <c r="E47" s="641">
        <f>IF(E29=0,0,E13/E29)</f>
        <v>1726.7770424514547</v>
      </c>
    </row>
    <row r="48" spans="1:5" ht="26.1" customHeight="1" x14ac:dyDescent="0.25">
      <c r="A48" s="639">
        <v>6</v>
      </c>
      <c r="B48" s="640" t="s">
        <v>931</v>
      </c>
      <c r="C48" s="641">
        <f>IF(C30=0,0,C13/C30)</f>
        <v>6745.0538972547765</v>
      </c>
      <c r="D48" s="641">
        <f>IF(D30=0,0,D13/D30)</f>
        <v>7091.6349706664869</v>
      </c>
      <c r="E48" s="641">
        <f>IF(E30=0,0,E13/E30)</f>
        <v>7145.7110814138296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364</v>
      </c>
      <c r="B50" s="634" t="s">
        <v>932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933</v>
      </c>
      <c r="C51" s="641">
        <f>IF(C19=0,0,C16/C19)</f>
        <v>5009.7251958746401</v>
      </c>
      <c r="D51" s="641">
        <f>IF(D19=0,0,D16/D19)</f>
        <v>5338.5669504643965</v>
      </c>
      <c r="E51" s="641">
        <f>IF(E19=0,0,E16/E19)</f>
        <v>5076.6048052523465</v>
      </c>
    </row>
    <row r="52" spans="1:6" ht="26.1" customHeight="1" x14ac:dyDescent="0.25">
      <c r="A52" s="639">
        <v>2</v>
      </c>
      <c r="B52" s="640" t="s">
        <v>934</v>
      </c>
      <c r="C52" s="641">
        <f>IF(C20=0,0,C16/C20)</f>
        <v>21089.32023559108</v>
      </c>
      <c r="D52" s="641">
        <f>IF(D20=0,0,D16/D20)</f>
        <v>21527.908254620124</v>
      </c>
      <c r="E52" s="641">
        <f>IF(E20=0,0,E16/E20)</f>
        <v>21007.895241270107</v>
      </c>
    </row>
    <row r="53" spans="1:6" ht="26.1" customHeight="1" x14ac:dyDescent="0.25">
      <c r="A53" s="639">
        <v>3</v>
      </c>
      <c r="B53" s="640" t="s">
        <v>935</v>
      </c>
      <c r="C53" s="641">
        <f>IF(C22=0,0,C16/C22)</f>
        <v>2018.160516094867</v>
      </c>
      <c r="D53" s="641">
        <f>IF(D22=0,0,D16/D22)</f>
        <v>2119.3888289491888</v>
      </c>
      <c r="E53" s="641">
        <f>IF(E22=0,0,E16/E22)</f>
        <v>2052.1192021146976</v>
      </c>
    </row>
    <row r="54" spans="1:6" ht="26.1" customHeight="1" x14ac:dyDescent="0.25">
      <c r="A54" s="639">
        <v>4</v>
      </c>
      <c r="B54" s="640" t="s">
        <v>936</v>
      </c>
      <c r="C54" s="641">
        <f>IF(C23=0,0,C16/C23)</f>
        <v>8495.8020144096245</v>
      </c>
      <c r="D54" s="641">
        <f>IF(D23=0,0,D16/D23)</f>
        <v>8546.4898518348564</v>
      </c>
      <c r="E54" s="641">
        <f>IF(E23=0,0,E16/E23)</f>
        <v>8492.0349080592714</v>
      </c>
    </row>
    <row r="55" spans="1:6" ht="26.1" customHeight="1" x14ac:dyDescent="0.25">
      <c r="A55" s="639">
        <v>5</v>
      </c>
      <c r="B55" s="640" t="s">
        <v>937</v>
      </c>
      <c r="C55" s="641">
        <f>IF(C29=0,0,C16/C29)</f>
        <v>1546.7010794479288</v>
      </c>
      <c r="D55" s="641">
        <f>IF(D29=0,0,D16/D29)</f>
        <v>1706.8600802775322</v>
      </c>
      <c r="E55" s="641">
        <f>IF(E29=0,0,E16/E29)</f>
        <v>1600.6692444723387</v>
      </c>
    </row>
    <row r="56" spans="1:6" ht="26.1" customHeight="1" x14ac:dyDescent="0.25">
      <c r="A56" s="639">
        <v>6</v>
      </c>
      <c r="B56" s="640" t="s">
        <v>938</v>
      </c>
      <c r="C56" s="641">
        <f>IF(C30=0,0,C16/C30)</f>
        <v>6511.1105096288411</v>
      </c>
      <c r="D56" s="641">
        <f>IF(D30=0,0,D16/D30)</f>
        <v>6882.9570842961584</v>
      </c>
      <c r="E56" s="641">
        <f>IF(E30=0,0,E16/E30)</f>
        <v>6623.8545432977335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368</v>
      </c>
      <c r="B58" s="642" t="s">
        <v>939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940</v>
      </c>
      <c r="C59" s="649">
        <v>39916076</v>
      </c>
      <c r="D59" s="649">
        <v>40612798</v>
      </c>
      <c r="E59" s="649">
        <v>39914015</v>
      </c>
    </row>
    <row r="60" spans="1:6" ht="26.1" customHeight="1" x14ac:dyDescent="0.25">
      <c r="A60" s="639">
        <v>2</v>
      </c>
      <c r="B60" s="640" t="s">
        <v>941</v>
      </c>
      <c r="C60" s="649">
        <v>7644307</v>
      </c>
      <c r="D60" s="649">
        <v>7936981</v>
      </c>
      <c r="E60" s="649">
        <v>7696604</v>
      </c>
    </row>
    <row r="61" spans="1:6" ht="26.1" customHeight="1" x14ac:dyDescent="0.25">
      <c r="A61" s="650">
        <v>3</v>
      </c>
      <c r="B61" s="651" t="s">
        <v>942</v>
      </c>
      <c r="C61" s="652">
        <f>C59+C60</f>
        <v>47560383</v>
      </c>
      <c r="D61" s="652">
        <f>D59+D60</f>
        <v>48549779</v>
      </c>
      <c r="E61" s="652">
        <f>E59+E60</f>
        <v>47610619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943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944</v>
      </c>
      <c r="C64" s="641">
        <v>9282412</v>
      </c>
      <c r="D64" s="641">
        <v>11850977</v>
      </c>
      <c r="E64" s="649">
        <v>11095920</v>
      </c>
      <c r="F64" s="653"/>
    </row>
    <row r="65" spans="1:6" ht="26.1" customHeight="1" x14ac:dyDescent="0.25">
      <c r="A65" s="639">
        <v>2</v>
      </c>
      <c r="B65" s="640" t="s">
        <v>945</v>
      </c>
      <c r="C65" s="649">
        <v>1600541</v>
      </c>
      <c r="D65" s="649">
        <v>1934151</v>
      </c>
      <c r="E65" s="649">
        <v>1266332</v>
      </c>
      <c r="F65" s="653"/>
    </row>
    <row r="66" spans="1:6" ht="26.1" customHeight="1" x14ac:dyDescent="0.25">
      <c r="A66" s="650">
        <v>3</v>
      </c>
      <c r="B66" s="651" t="s">
        <v>946</v>
      </c>
      <c r="C66" s="654">
        <f>C64+C65</f>
        <v>10882953</v>
      </c>
      <c r="D66" s="654">
        <f>D64+D65</f>
        <v>13785128</v>
      </c>
      <c r="E66" s="654">
        <f>E64+E65</f>
        <v>12362252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394</v>
      </c>
      <c r="B68" s="642" t="s">
        <v>947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948</v>
      </c>
      <c r="C69" s="649">
        <v>60399069</v>
      </c>
      <c r="D69" s="649">
        <v>54917330</v>
      </c>
      <c r="E69" s="649">
        <v>57392944</v>
      </c>
    </row>
    <row r="70" spans="1:6" ht="26.1" customHeight="1" x14ac:dyDescent="0.25">
      <c r="A70" s="639">
        <v>2</v>
      </c>
      <c r="B70" s="640" t="s">
        <v>949</v>
      </c>
      <c r="C70" s="649">
        <v>18181054</v>
      </c>
      <c r="D70" s="649">
        <v>17310311</v>
      </c>
      <c r="E70" s="649">
        <v>16692410</v>
      </c>
    </row>
    <row r="71" spans="1:6" ht="26.1" customHeight="1" x14ac:dyDescent="0.25">
      <c r="A71" s="650">
        <v>3</v>
      </c>
      <c r="B71" s="651" t="s">
        <v>950</v>
      </c>
      <c r="C71" s="652">
        <f>C69+C70</f>
        <v>78580123</v>
      </c>
      <c r="D71" s="652">
        <f>D69+D70</f>
        <v>72227641</v>
      </c>
      <c r="E71" s="652">
        <f>E69+E70</f>
        <v>74085354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410</v>
      </c>
      <c r="B74" s="642" t="s">
        <v>951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952</v>
      </c>
      <c r="C75" s="641">
        <f t="shared" ref="C75:E76" si="0">+C59+C64+C69</f>
        <v>109597557</v>
      </c>
      <c r="D75" s="641">
        <f t="shared" si="0"/>
        <v>107381105</v>
      </c>
      <c r="E75" s="641">
        <f t="shared" si="0"/>
        <v>108402879</v>
      </c>
    </row>
    <row r="76" spans="1:6" ht="26.1" customHeight="1" x14ac:dyDescent="0.25">
      <c r="A76" s="639">
        <v>2</v>
      </c>
      <c r="B76" s="640" t="s">
        <v>953</v>
      </c>
      <c r="C76" s="641">
        <f t="shared" si="0"/>
        <v>27425902</v>
      </c>
      <c r="D76" s="641">
        <f t="shared" si="0"/>
        <v>27181443</v>
      </c>
      <c r="E76" s="641">
        <f t="shared" si="0"/>
        <v>25655346</v>
      </c>
    </row>
    <row r="77" spans="1:6" ht="26.1" customHeight="1" x14ac:dyDescent="0.25">
      <c r="A77" s="650">
        <v>3</v>
      </c>
      <c r="B77" s="651" t="s">
        <v>951</v>
      </c>
      <c r="C77" s="654">
        <f>C75+C76</f>
        <v>137023459</v>
      </c>
      <c r="D77" s="654">
        <f>D75+D76</f>
        <v>134562548</v>
      </c>
      <c r="E77" s="654">
        <f>E75+E76</f>
        <v>134058225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419</v>
      </c>
      <c r="B79" s="642" t="s">
        <v>954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581</v>
      </c>
      <c r="C80" s="646">
        <v>462.2</v>
      </c>
      <c r="D80" s="646">
        <v>450.8</v>
      </c>
      <c r="E80" s="646">
        <v>455.6</v>
      </c>
    </row>
    <row r="81" spans="1:5" ht="26.1" customHeight="1" x14ac:dyDescent="0.25">
      <c r="A81" s="639">
        <v>2</v>
      </c>
      <c r="B81" s="640" t="s">
        <v>582</v>
      </c>
      <c r="C81" s="646">
        <v>34.200000000000003</v>
      </c>
      <c r="D81" s="646">
        <v>36.700000000000003</v>
      </c>
      <c r="E81" s="646">
        <v>36.299999999999997</v>
      </c>
    </row>
    <row r="82" spans="1:5" ht="26.1" customHeight="1" x14ac:dyDescent="0.25">
      <c r="A82" s="639">
        <v>3</v>
      </c>
      <c r="B82" s="640" t="s">
        <v>955</v>
      </c>
      <c r="C82" s="646">
        <v>1087.0999999999999</v>
      </c>
      <c r="D82" s="646">
        <v>1054.5999999999999</v>
      </c>
      <c r="E82" s="646">
        <v>1022</v>
      </c>
    </row>
    <row r="83" spans="1:5" ht="26.1" customHeight="1" x14ac:dyDescent="0.25">
      <c r="A83" s="650">
        <v>4</v>
      </c>
      <c r="B83" s="651" t="s">
        <v>954</v>
      </c>
      <c r="C83" s="656">
        <f>C80+C81+C82</f>
        <v>1583.5</v>
      </c>
      <c r="D83" s="656">
        <f>D80+D81+D82</f>
        <v>1542.1</v>
      </c>
      <c r="E83" s="656">
        <f>E80+E81+E82</f>
        <v>1513.9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422</v>
      </c>
      <c r="B85" s="642" t="s">
        <v>956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957</v>
      </c>
      <c r="C86" s="649">
        <f>IF(C80=0,0,C59/C80)</f>
        <v>86361.04716572912</v>
      </c>
      <c r="D86" s="649">
        <f>IF(D80=0,0,D59/D80)</f>
        <v>90090.501330967163</v>
      </c>
      <c r="E86" s="649">
        <f>IF(E80=0,0,E59/E80)</f>
        <v>87607.583406496924</v>
      </c>
    </row>
    <row r="87" spans="1:5" ht="26.1" customHeight="1" x14ac:dyDescent="0.25">
      <c r="A87" s="639">
        <v>2</v>
      </c>
      <c r="B87" s="640" t="s">
        <v>958</v>
      </c>
      <c r="C87" s="649">
        <f>IF(C80=0,0,C60/C80)</f>
        <v>16538.959324967545</v>
      </c>
      <c r="D87" s="649">
        <f>IF(D80=0,0,D60/D80)</f>
        <v>17606.435226264417</v>
      </c>
      <c r="E87" s="649">
        <f>IF(E80=0,0,E60/E80)</f>
        <v>16893.336259877084</v>
      </c>
    </row>
    <row r="88" spans="1:5" ht="26.1" customHeight="1" x14ac:dyDescent="0.25">
      <c r="A88" s="650">
        <v>3</v>
      </c>
      <c r="B88" s="651" t="s">
        <v>959</v>
      </c>
      <c r="C88" s="652">
        <f>+C86+C87</f>
        <v>102900.00649069666</v>
      </c>
      <c r="D88" s="652">
        <f>+D86+D87</f>
        <v>107696.93655723159</v>
      </c>
      <c r="E88" s="652">
        <f>+E86+E87</f>
        <v>104500.91966637401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579</v>
      </c>
      <c r="B90" s="642" t="s">
        <v>960</v>
      </c>
    </row>
    <row r="91" spans="1:5" ht="26.1" customHeight="1" x14ac:dyDescent="0.25">
      <c r="A91" s="639">
        <v>1</v>
      </c>
      <c r="B91" s="640" t="s">
        <v>961</v>
      </c>
      <c r="C91" s="641">
        <f>IF(C81=0,0,C64/C81)</f>
        <v>271415.55555555556</v>
      </c>
      <c r="D91" s="641">
        <f>IF(D81=0,0,D64/D81)</f>
        <v>322914.90463215258</v>
      </c>
      <c r="E91" s="641">
        <f>IF(E81=0,0,E64/E81)</f>
        <v>305672.72727272729</v>
      </c>
    </row>
    <row r="92" spans="1:5" ht="26.1" customHeight="1" x14ac:dyDescent="0.25">
      <c r="A92" s="639">
        <v>2</v>
      </c>
      <c r="B92" s="640" t="s">
        <v>962</v>
      </c>
      <c r="C92" s="641">
        <f>IF(C81=0,0,C65/C81)</f>
        <v>46799.444444444438</v>
      </c>
      <c r="D92" s="641">
        <f>IF(D81=0,0,D65/D81)</f>
        <v>52701.662125340597</v>
      </c>
      <c r="E92" s="641">
        <f>IF(E81=0,0,E65/E81)</f>
        <v>34885.179063360883</v>
      </c>
    </row>
    <row r="93" spans="1:5" ht="26.1" customHeight="1" x14ac:dyDescent="0.25">
      <c r="A93" s="650">
        <v>3</v>
      </c>
      <c r="B93" s="651" t="s">
        <v>963</v>
      </c>
      <c r="C93" s="654">
        <f>+C91+C92</f>
        <v>318215</v>
      </c>
      <c r="D93" s="654">
        <f>+D91+D92</f>
        <v>375616.56675749319</v>
      </c>
      <c r="E93" s="654">
        <f>+E91+E92</f>
        <v>340557.9063360882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964</v>
      </c>
      <c r="B95" s="642" t="s">
        <v>965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966</v>
      </c>
      <c r="C96" s="649">
        <f>IF(C82=0,0,C69/C82)</f>
        <v>55559.809585134768</v>
      </c>
      <c r="D96" s="649">
        <f>IF(D82=0,0,D69/D82)</f>
        <v>52074.084961122702</v>
      </c>
      <c r="E96" s="649">
        <f>IF(E82=0,0,E69/E82)</f>
        <v>56157.479452054795</v>
      </c>
    </row>
    <row r="97" spans="1:5" ht="26.1" customHeight="1" x14ac:dyDescent="0.25">
      <c r="A97" s="639">
        <v>2</v>
      </c>
      <c r="B97" s="640" t="s">
        <v>967</v>
      </c>
      <c r="C97" s="649">
        <f>IF(C82=0,0,C70/C82)</f>
        <v>16724.362064207526</v>
      </c>
      <c r="D97" s="649">
        <f>IF(D82=0,0,D70/D82)</f>
        <v>16414.101080978573</v>
      </c>
      <c r="E97" s="649">
        <f>IF(E82=0,0,E70/E82)</f>
        <v>16333.082191780823</v>
      </c>
    </row>
    <row r="98" spans="1:5" ht="26.1" customHeight="1" x14ac:dyDescent="0.25">
      <c r="A98" s="650">
        <v>3</v>
      </c>
      <c r="B98" s="651" t="s">
        <v>968</v>
      </c>
      <c r="C98" s="654">
        <f>+C96+C97</f>
        <v>72284.171649342286</v>
      </c>
      <c r="D98" s="654">
        <f>+D96+D97</f>
        <v>68488.186042101268</v>
      </c>
      <c r="E98" s="654">
        <f>+E96+E97</f>
        <v>72490.561643835623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969</v>
      </c>
      <c r="B100" s="642" t="s">
        <v>970</v>
      </c>
    </row>
    <row r="101" spans="1:5" ht="26.1" customHeight="1" x14ac:dyDescent="0.25">
      <c r="A101" s="639">
        <v>1</v>
      </c>
      <c r="B101" s="640" t="s">
        <v>971</v>
      </c>
      <c r="C101" s="641">
        <f>IF(C83=0,0,C75/C83)</f>
        <v>69212.224186927691</v>
      </c>
      <c r="D101" s="641">
        <f>IF(D83=0,0,D75/D83)</f>
        <v>69633.036119577198</v>
      </c>
      <c r="E101" s="641">
        <f>IF(E83=0,0,E75/E83)</f>
        <v>71605.045907919935</v>
      </c>
    </row>
    <row r="102" spans="1:5" ht="26.1" customHeight="1" x14ac:dyDescent="0.25">
      <c r="A102" s="639">
        <v>2</v>
      </c>
      <c r="B102" s="640" t="s">
        <v>972</v>
      </c>
      <c r="C102" s="658">
        <f>IF(C83=0,0,C76/C83)</f>
        <v>17319.799179033787</v>
      </c>
      <c r="D102" s="658">
        <f>IF(D83=0,0,D76/D83)</f>
        <v>17626.251864340837</v>
      </c>
      <c r="E102" s="658">
        <f>IF(E83=0,0,E76/E83)</f>
        <v>16946.526190633464</v>
      </c>
    </row>
    <row r="103" spans="1:5" ht="26.1" customHeight="1" x14ac:dyDescent="0.25">
      <c r="A103" s="650">
        <v>3</v>
      </c>
      <c r="B103" s="651" t="s">
        <v>970</v>
      </c>
      <c r="C103" s="654">
        <f>+C101+C102</f>
        <v>86532.023365961475</v>
      </c>
      <c r="D103" s="654">
        <f>+D101+D102</f>
        <v>87259.287983918039</v>
      </c>
      <c r="E103" s="654">
        <f>+E101+E102</f>
        <v>88551.572098553399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973</v>
      </c>
      <c r="B107" s="634" t="s">
        <v>974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975</v>
      </c>
      <c r="C108" s="641">
        <f>IF(C19=0,0,C77/C19)</f>
        <v>2738.716401503038</v>
      </c>
      <c r="D108" s="641">
        <f>IF(D19=0,0,D77/D19)</f>
        <v>2740.8047091412741</v>
      </c>
      <c r="E108" s="641">
        <f>IF(E19=0,0,E77/E19)</f>
        <v>2699.8474443146574</v>
      </c>
    </row>
    <row r="109" spans="1:5" ht="26.1" customHeight="1" x14ac:dyDescent="0.25">
      <c r="A109" s="639">
        <v>2</v>
      </c>
      <c r="B109" s="640" t="s">
        <v>976</v>
      </c>
      <c r="C109" s="641">
        <f>IF(C20=0,0,C77/C20)</f>
        <v>11529.108876735381</v>
      </c>
      <c r="D109" s="641">
        <f>IF(D20=0,0,D77/D20)</f>
        <v>11052.365338809035</v>
      </c>
      <c r="E109" s="641">
        <f>IF(E20=0,0,E77/E20)</f>
        <v>11172.44978748229</v>
      </c>
    </row>
    <row r="110" spans="1:5" ht="26.1" customHeight="1" x14ac:dyDescent="0.25">
      <c r="A110" s="639">
        <v>3</v>
      </c>
      <c r="B110" s="640" t="s">
        <v>977</v>
      </c>
      <c r="C110" s="641">
        <f>IF(C22=0,0,C77/C22)</f>
        <v>1103.2879230274561</v>
      </c>
      <c r="D110" s="641">
        <f>IF(D22=0,0,D77/D22)</f>
        <v>1088.0880462462017</v>
      </c>
      <c r="E110" s="641">
        <f>IF(E22=0,0,E77/E22)</f>
        <v>1091.3610564143569</v>
      </c>
    </row>
    <row r="111" spans="1:5" ht="26.1" customHeight="1" x14ac:dyDescent="0.25">
      <c r="A111" s="639">
        <v>4</v>
      </c>
      <c r="B111" s="640" t="s">
        <v>978</v>
      </c>
      <c r="C111" s="641">
        <f>IF(C23=0,0,C77/C23)</f>
        <v>4644.4847593529403</v>
      </c>
      <c r="D111" s="641">
        <f>IF(D23=0,0,D77/D23)</f>
        <v>4387.7429748257509</v>
      </c>
      <c r="E111" s="641">
        <f>IF(E23=0,0,E77/E23)</f>
        <v>4516.2465118091905</v>
      </c>
    </row>
    <row r="112" spans="1:5" ht="26.1" customHeight="1" x14ac:dyDescent="0.25">
      <c r="A112" s="639">
        <v>5</v>
      </c>
      <c r="B112" s="640" t="s">
        <v>979</v>
      </c>
      <c r="C112" s="641">
        <f>IF(C29=0,0,C77/C29)</f>
        <v>845.55049406596117</v>
      </c>
      <c r="D112" s="641">
        <f>IF(D29=0,0,D77/D29)</f>
        <v>876.29698930027746</v>
      </c>
      <c r="E112" s="641">
        <f>IF(E29=0,0,E77/E29)</f>
        <v>851.27027504889702</v>
      </c>
    </row>
    <row r="113" spans="1:7" ht="25.5" customHeight="1" x14ac:dyDescent="0.25">
      <c r="A113" s="639">
        <v>6</v>
      </c>
      <c r="B113" s="640" t="s">
        <v>980</v>
      </c>
      <c r="C113" s="641">
        <f>IF(C30=0,0,C77/C30)</f>
        <v>3559.4936743044318</v>
      </c>
      <c r="D113" s="641">
        <f>IF(D30=0,0,D77/D30)</f>
        <v>3533.6901015758867</v>
      </c>
      <c r="E113" s="641">
        <f>IF(E30=0,0,E77/E30)</f>
        <v>3522.7080787797263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r:id="rId1"/>
  <headerFooter>
    <oddHeader>&amp;L&amp;12OFFICE OF HEALTH CARE ACCESS&amp;C&amp;12TWELVE MONTHS ACTUAL FILING&amp;R&amp;12WILLIAM W. BACKUS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585390725</v>
      </c>
      <c r="D12" s="51">
        <v>604060585</v>
      </c>
      <c r="E12" s="51">
        <f t="shared" ref="E12:E19" si="0">D12-C12</f>
        <v>18669860</v>
      </c>
      <c r="F12" s="70">
        <f t="shared" ref="F12:F19" si="1">IF(C12=0,0,E12/C12)</f>
        <v>3.1892989080071266E-2</v>
      </c>
    </row>
    <row r="13" spans="1:8" ht="23.1" customHeight="1" x14ac:dyDescent="0.2">
      <c r="A13" s="25">
        <v>2</v>
      </c>
      <c r="B13" s="48" t="s">
        <v>72</v>
      </c>
      <c r="C13" s="51">
        <v>308845388</v>
      </c>
      <c r="D13" s="51">
        <v>327123232</v>
      </c>
      <c r="E13" s="51">
        <f t="shared" si="0"/>
        <v>18277844</v>
      </c>
      <c r="F13" s="70">
        <f t="shared" si="1"/>
        <v>5.9181210761677296E-2</v>
      </c>
    </row>
    <row r="14" spans="1:8" ht="23.1" customHeight="1" x14ac:dyDescent="0.2">
      <c r="A14" s="25">
        <v>3</v>
      </c>
      <c r="B14" s="48" t="s">
        <v>73</v>
      </c>
      <c r="C14" s="51">
        <v>6496622</v>
      </c>
      <c r="D14" s="51">
        <v>5004135</v>
      </c>
      <c r="E14" s="51">
        <f t="shared" si="0"/>
        <v>-1492487</v>
      </c>
      <c r="F14" s="70">
        <f t="shared" si="1"/>
        <v>-0.22973277497136205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270048715</v>
      </c>
      <c r="D16" s="27">
        <f>D12-D13-D14-D15</f>
        <v>271933218</v>
      </c>
      <c r="E16" s="27">
        <f t="shared" si="0"/>
        <v>1884503</v>
      </c>
      <c r="F16" s="28">
        <f t="shared" si="1"/>
        <v>6.9783816597683125E-3</v>
      </c>
    </row>
    <row r="17" spans="1:7" ht="23.1" customHeight="1" x14ac:dyDescent="0.2">
      <c r="A17" s="25">
        <v>5</v>
      </c>
      <c r="B17" s="48" t="s">
        <v>76</v>
      </c>
      <c r="C17" s="51">
        <v>4283716</v>
      </c>
      <c r="D17" s="51">
        <v>4436092</v>
      </c>
      <c r="E17" s="51">
        <f t="shared" si="0"/>
        <v>152376</v>
      </c>
      <c r="F17" s="70">
        <f t="shared" si="1"/>
        <v>3.557098556486938E-2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91211</v>
      </c>
      <c r="D18" s="51">
        <v>673194</v>
      </c>
      <c r="E18" s="51">
        <f t="shared" si="0"/>
        <v>581983</v>
      </c>
      <c r="F18" s="70">
        <f t="shared" si="1"/>
        <v>6.3806229511791344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274423642</v>
      </c>
      <c r="D19" s="27">
        <f>SUM(D16:D18)</f>
        <v>277042504</v>
      </c>
      <c r="E19" s="27">
        <f t="shared" si="0"/>
        <v>2618862</v>
      </c>
      <c r="F19" s="28">
        <f t="shared" si="1"/>
        <v>9.543135499965414E-3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107381105</v>
      </c>
      <c r="D22" s="51">
        <v>108402879</v>
      </c>
      <c r="E22" s="51">
        <f t="shared" ref="E22:E31" si="2">D22-C22</f>
        <v>1021774</v>
      </c>
      <c r="F22" s="70">
        <f t="shared" ref="F22:F31" si="3">IF(C22=0,0,E22/C22)</f>
        <v>9.5153984492895652E-3</v>
      </c>
    </row>
    <row r="23" spans="1:7" ht="23.1" customHeight="1" x14ac:dyDescent="0.2">
      <c r="A23" s="25">
        <v>2</v>
      </c>
      <c r="B23" s="48" t="s">
        <v>81</v>
      </c>
      <c r="C23" s="51">
        <v>27181443</v>
      </c>
      <c r="D23" s="51">
        <v>25655346</v>
      </c>
      <c r="E23" s="51">
        <f t="shared" si="2"/>
        <v>-1526097</v>
      </c>
      <c r="F23" s="70">
        <f t="shared" si="3"/>
        <v>-5.6144811737919874E-2</v>
      </c>
    </row>
    <row r="24" spans="1:7" ht="23.1" customHeight="1" x14ac:dyDescent="0.2">
      <c r="A24" s="25">
        <v>3</v>
      </c>
      <c r="B24" s="48" t="s">
        <v>82</v>
      </c>
      <c r="C24" s="51">
        <v>1797921</v>
      </c>
      <c r="D24" s="51">
        <v>1766978</v>
      </c>
      <c r="E24" s="51">
        <f t="shared" si="2"/>
        <v>-30943</v>
      </c>
      <c r="F24" s="70">
        <f t="shared" si="3"/>
        <v>-1.7210433606370912E-2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41645421</v>
      </c>
      <c r="D25" s="51">
        <v>41588424</v>
      </c>
      <c r="E25" s="51">
        <f t="shared" si="2"/>
        <v>-56997</v>
      </c>
      <c r="F25" s="70">
        <f t="shared" si="3"/>
        <v>-1.3686258568499044E-3</v>
      </c>
    </row>
    <row r="26" spans="1:7" ht="23.1" customHeight="1" x14ac:dyDescent="0.2">
      <c r="A26" s="25">
        <v>5</v>
      </c>
      <c r="B26" s="48" t="s">
        <v>84</v>
      </c>
      <c r="C26" s="51">
        <v>17480126</v>
      </c>
      <c r="D26" s="51">
        <v>16971187</v>
      </c>
      <c r="E26" s="51">
        <f t="shared" si="2"/>
        <v>-508939</v>
      </c>
      <c r="F26" s="70">
        <f t="shared" si="3"/>
        <v>-2.9115293562529239E-2</v>
      </c>
    </row>
    <row r="27" spans="1:7" ht="23.1" customHeight="1" x14ac:dyDescent="0.2">
      <c r="A27" s="25">
        <v>6</v>
      </c>
      <c r="B27" s="48" t="s">
        <v>85</v>
      </c>
      <c r="C27" s="51">
        <v>14409876</v>
      </c>
      <c r="D27" s="51">
        <v>12522978</v>
      </c>
      <c r="E27" s="51">
        <f t="shared" si="2"/>
        <v>-1886898</v>
      </c>
      <c r="F27" s="70">
        <f t="shared" si="3"/>
        <v>-0.13094477704041313</v>
      </c>
    </row>
    <row r="28" spans="1:7" ht="23.1" customHeight="1" x14ac:dyDescent="0.2">
      <c r="A28" s="25">
        <v>7</v>
      </c>
      <c r="B28" s="48" t="s">
        <v>86</v>
      </c>
      <c r="C28" s="51">
        <v>3185038</v>
      </c>
      <c r="D28" s="51">
        <v>3247715</v>
      </c>
      <c r="E28" s="51">
        <f t="shared" si="2"/>
        <v>62677</v>
      </c>
      <c r="F28" s="70">
        <f t="shared" si="3"/>
        <v>1.9678572123786278E-2</v>
      </c>
    </row>
    <row r="29" spans="1:7" ht="23.1" customHeight="1" x14ac:dyDescent="0.2">
      <c r="A29" s="25">
        <v>8</v>
      </c>
      <c r="B29" s="48" t="s">
        <v>87</v>
      </c>
      <c r="C29" s="51">
        <v>2443084</v>
      </c>
      <c r="D29" s="51">
        <v>1344246</v>
      </c>
      <c r="E29" s="51">
        <f t="shared" si="2"/>
        <v>-1098838</v>
      </c>
      <c r="F29" s="70">
        <f t="shared" si="3"/>
        <v>-0.44977495657128447</v>
      </c>
    </row>
    <row r="30" spans="1:7" ht="23.1" customHeight="1" x14ac:dyDescent="0.2">
      <c r="A30" s="25">
        <v>9</v>
      </c>
      <c r="B30" s="48" t="s">
        <v>88</v>
      </c>
      <c r="C30" s="51">
        <v>46578269</v>
      </c>
      <c r="D30" s="51">
        <v>40573982</v>
      </c>
      <c r="E30" s="51">
        <f t="shared" si="2"/>
        <v>-6004287</v>
      </c>
      <c r="F30" s="70">
        <f t="shared" si="3"/>
        <v>-0.12890747399822866</v>
      </c>
    </row>
    <row r="31" spans="1:7" ht="23.1" customHeight="1" x14ac:dyDescent="0.25">
      <c r="A31" s="29"/>
      <c r="B31" s="71" t="s">
        <v>89</v>
      </c>
      <c r="C31" s="27">
        <f>SUM(C22:C30)</f>
        <v>262102283</v>
      </c>
      <c r="D31" s="27">
        <f>SUM(D22:D30)</f>
        <v>252073735</v>
      </c>
      <c r="E31" s="27">
        <f t="shared" si="2"/>
        <v>-10028548</v>
      </c>
      <c r="F31" s="28">
        <f t="shared" si="3"/>
        <v>-3.8261963555655101E-2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12321359</v>
      </c>
      <c r="D33" s="27">
        <f>+D19-D31</f>
        <v>24968769</v>
      </c>
      <c r="E33" s="27">
        <f>D33-C33</f>
        <v>12647410</v>
      </c>
      <c r="F33" s="28">
        <f>IF(C33=0,0,E33/C33)</f>
        <v>1.0264622595608164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1643710</v>
      </c>
      <c r="D36" s="51">
        <v>6395778</v>
      </c>
      <c r="E36" s="51">
        <f>D36-C36</f>
        <v>4752068</v>
      </c>
      <c r="F36" s="70">
        <f>IF(C36=0,0,E36/C36)</f>
        <v>2.8910622920101479</v>
      </c>
    </row>
    <row r="37" spans="1:6" ht="23.1" customHeight="1" x14ac:dyDescent="0.2">
      <c r="A37" s="44">
        <v>2</v>
      </c>
      <c r="B37" s="48" t="s">
        <v>93</v>
      </c>
      <c r="C37" s="51">
        <v>328840</v>
      </c>
      <c r="D37" s="51">
        <v>158300</v>
      </c>
      <c r="E37" s="51">
        <f>D37-C37</f>
        <v>-170540</v>
      </c>
      <c r="F37" s="70">
        <f>IF(C37=0,0,E37/C37)</f>
        <v>-0.51861087458946598</v>
      </c>
    </row>
    <row r="38" spans="1:6" ht="23.1" customHeight="1" x14ac:dyDescent="0.2">
      <c r="A38" s="44">
        <v>3</v>
      </c>
      <c r="B38" s="48" t="s">
        <v>94</v>
      </c>
      <c r="C38" s="51">
        <v>-116761</v>
      </c>
      <c r="D38" s="51">
        <v>-565873</v>
      </c>
      <c r="E38" s="51">
        <f>D38-C38</f>
        <v>-449112</v>
      </c>
      <c r="F38" s="70">
        <f>IF(C38=0,0,E38/C38)</f>
        <v>3.8464213221880592</v>
      </c>
    </row>
    <row r="39" spans="1:6" ht="23.1" customHeight="1" x14ac:dyDescent="0.25">
      <c r="A39" s="20"/>
      <c r="B39" s="71" t="s">
        <v>95</v>
      </c>
      <c r="C39" s="27">
        <f>SUM(C36:C38)</f>
        <v>1855789</v>
      </c>
      <c r="D39" s="27">
        <f>SUM(D36:D38)</f>
        <v>5988205</v>
      </c>
      <c r="E39" s="27">
        <f>D39-C39</f>
        <v>4132416</v>
      </c>
      <c r="F39" s="28">
        <f>IF(C39=0,0,E39/C39)</f>
        <v>2.2267703925392381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14177148</v>
      </c>
      <c r="D41" s="27">
        <f>D33+D39</f>
        <v>30956974</v>
      </c>
      <c r="E41" s="27">
        <f>D41-C41</f>
        <v>16779826</v>
      </c>
      <c r="F41" s="28">
        <f>IF(C41=0,0,E41/C41)</f>
        <v>1.1835826218362113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4574637</v>
      </c>
      <c r="D44" s="51">
        <v>-5813831</v>
      </c>
      <c r="E44" s="51">
        <f>D44-C44</f>
        <v>-10388468</v>
      </c>
      <c r="F44" s="70">
        <f>IF(C44=0,0,E44/C44)</f>
        <v>-2.2708835695597269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4574637</v>
      </c>
      <c r="D46" s="27">
        <f>SUM(D44:D45)</f>
        <v>-5813831</v>
      </c>
      <c r="E46" s="27">
        <f>D46-C46</f>
        <v>-10388468</v>
      </c>
      <c r="F46" s="28">
        <f>IF(C46=0,0,E46/C46)</f>
        <v>-2.2708835695597269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18751785</v>
      </c>
      <c r="D48" s="27">
        <f>D41+D46</f>
        <v>25143143</v>
      </c>
      <c r="E48" s="27">
        <f>D48-C48</f>
        <v>6391358</v>
      </c>
      <c r="F48" s="28">
        <f>IF(C48=0,0,E48/C48)</f>
        <v>0.34083997870069438</v>
      </c>
    </row>
    <row r="49" spans="1:6" ht="23.1" customHeight="1" x14ac:dyDescent="0.2">
      <c r="A49" s="44"/>
      <c r="B49" s="48" t="s">
        <v>102</v>
      </c>
      <c r="C49" s="51">
        <v>1838414</v>
      </c>
      <c r="D49" s="51">
        <v>1948410</v>
      </c>
      <c r="E49" s="51">
        <f>D49-C49</f>
        <v>109996</v>
      </c>
      <c r="F49" s="70">
        <f>IF(C49=0,0,E49/C49)</f>
        <v>5.9832007371571364E-2</v>
      </c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FILING&amp;RWILLIAM W. BACKUS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90.570312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21.42578125" style="75" bestFit="1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104808985</v>
      </c>
      <c r="D14" s="97">
        <v>108699152</v>
      </c>
      <c r="E14" s="97">
        <f t="shared" ref="E14:E25" si="0">D14-C14</f>
        <v>3890167</v>
      </c>
      <c r="F14" s="98">
        <f t="shared" ref="F14:F25" si="1">IF(C14=0,0,E14/C14)</f>
        <v>3.7116731929042149E-2</v>
      </c>
    </row>
    <row r="15" spans="1:6" ht="18" customHeight="1" x14ac:dyDescent="0.25">
      <c r="A15" s="99">
        <v>2</v>
      </c>
      <c r="B15" s="100" t="s">
        <v>113</v>
      </c>
      <c r="C15" s="97">
        <v>13902503</v>
      </c>
      <c r="D15" s="97">
        <v>13962365</v>
      </c>
      <c r="E15" s="97">
        <f t="shared" si="0"/>
        <v>59862</v>
      </c>
      <c r="F15" s="98">
        <f t="shared" si="1"/>
        <v>4.3058433434612457E-3</v>
      </c>
    </row>
    <row r="16" spans="1:6" ht="18" customHeight="1" x14ac:dyDescent="0.25">
      <c r="A16" s="99">
        <v>3</v>
      </c>
      <c r="B16" s="100" t="s">
        <v>114</v>
      </c>
      <c r="C16" s="97">
        <v>15008569</v>
      </c>
      <c r="D16" s="97">
        <v>24905056</v>
      </c>
      <c r="E16" s="97">
        <f t="shared" si="0"/>
        <v>9896487</v>
      </c>
      <c r="F16" s="98">
        <f t="shared" si="1"/>
        <v>0.65938911297939196</v>
      </c>
    </row>
    <row r="17" spans="1:6" ht="18" customHeight="1" x14ac:dyDescent="0.25">
      <c r="A17" s="99">
        <v>4</v>
      </c>
      <c r="B17" s="100" t="s">
        <v>115</v>
      </c>
      <c r="C17" s="97">
        <v>10021003</v>
      </c>
      <c r="D17" s="97">
        <v>12299595</v>
      </c>
      <c r="E17" s="97">
        <f t="shared" si="0"/>
        <v>2278592</v>
      </c>
      <c r="F17" s="98">
        <f t="shared" si="1"/>
        <v>0.22738163036175121</v>
      </c>
    </row>
    <row r="18" spans="1:6" ht="18" customHeight="1" x14ac:dyDescent="0.25">
      <c r="A18" s="99">
        <v>5</v>
      </c>
      <c r="B18" s="100" t="s">
        <v>116</v>
      </c>
      <c r="C18" s="97">
        <v>2330732</v>
      </c>
      <c r="D18" s="97">
        <v>2882913</v>
      </c>
      <c r="E18" s="97">
        <f t="shared" si="0"/>
        <v>552181</v>
      </c>
      <c r="F18" s="98">
        <f t="shared" si="1"/>
        <v>0.23691312428885003</v>
      </c>
    </row>
    <row r="19" spans="1:6" ht="18" customHeight="1" x14ac:dyDescent="0.25">
      <c r="A19" s="99">
        <v>6</v>
      </c>
      <c r="B19" s="100" t="s">
        <v>117</v>
      </c>
      <c r="C19" s="97">
        <v>4190681</v>
      </c>
      <c r="D19" s="97">
        <v>3189114</v>
      </c>
      <c r="E19" s="97">
        <f t="shared" si="0"/>
        <v>-1001567</v>
      </c>
      <c r="F19" s="98">
        <f t="shared" si="1"/>
        <v>-0.23899862576034778</v>
      </c>
    </row>
    <row r="20" spans="1:6" ht="18" customHeight="1" x14ac:dyDescent="0.25">
      <c r="A20" s="99">
        <v>7</v>
      </c>
      <c r="B20" s="100" t="s">
        <v>118</v>
      </c>
      <c r="C20" s="97">
        <v>66232519</v>
      </c>
      <c r="D20" s="97">
        <v>69645010</v>
      </c>
      <c r="E20" s="97">
        <f t="shared" si="0"/>
        <v>3412491</v>
      </c>
      <c r="F20" s="98">
        <f t="shared" si="1"/>
        <v>5.1522893157664743E-2</v>
      </c>
    </row>
    <row r="21" spans="1:6" ht="18" customHeight="1" x14ac:dyDescent="0.25">
      <c r="A21" s="99">
        <v>8</v>
      </c>
      <c r="B21" s="100" t="s">
        <v>119</v>
      </c>
      <c r="C21" s="97">
        <v>3904478</v>
      </c>
      <c r="D21" s="97">
        <v>4002610</v>
      </c>
      <c r="E21" s="97">
        <f t="shared" si="0"/>
        <v>98132</v>
      </c>
      <c r="F21" s="98">
        <f t="shared" si="1"/>
        <v>2.5133193220707097E-2</v>
      </c>
    </row>
    <row r="22" spans="1:6" ht="18" customHeight="1" x14ac:dyDescent="0.25">
      <c r="A22" s="99">
        <v>9</v>
      </c>
      <c r="B22" s="100" t="s">
        <v>120</v>
      </c>
      <c r="C22" s="97">
        <v>3827835</v>
      </c>
      <c r="D22" s="97">
        <v>3268265</v>
      </c>
      <c r="E22" s="97">
        <f t="shared" si="0"/>
        <v>-559570</v>
      </c>
      <c r="F22" s="98">
        <f t="shared" si="1"/>
        <v>-0.14618446197393567</v>
      </c>
    </row>
    <row r="23" spans="1:6" ht="18" customHeight="1" x14ac:dyDescent="0.25">
      <c r="A23" s="99">
        <v>10</v>
      </c>
      <c r="B23" s="100" t="s">
        <v>121</v>
      </c>
      <c r="C23" s="97">
        <v>7076404</v>
      </c>
      <c r="D23" s="97">
        <v>0</v>
      </c>
      <c r="E23" s="97">
        <f t="shared" si="0"/>
        <v>-7076404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1093969</v>
      </c>
      <c r="D24" s="97">
        <v>1325716</v>
      </c>
      <c r="E24" s="97">
        <f t="shared" si="0"/>
        <v>231747</v>
      </c>
      <c r="F24" s="98">
        <f t="shared" si="1"/>
        <v>0.2118405548968938</v>
      </c>
    </row>
    <row r="25" spans="1:6" ht="18" customHeight="1" x14ac:dyDescent="0.25">
      <c r="A25" s="101"/>
      <c r="B25" s="102" t="s">
        <v>123</v>
      </c>
      <c r="C25" s="103">
        <f>SUM(C14:C24)</f>
        <v>232397678</v>
      </c>
      <c r="D25" s="103">
        <f>SUM(D14:D24)</f>
        <v>244179796</v>
      </c>
      <c r="E25" s="103">
        <f t="shared" si="0"/>
        <v>11782118</v>
      </c>
      <c r="F25" s="104">
        <f t="shared" si="1"/>
        <v>5.0698088300176559E-2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93695394</v>
      </c>
      <c r="D27" s="97">
        <v>93652314</v>
      </c>
      <c r="E27" s="97">
        <f t="shared" ref="E27:E38" si="2">D27-C27</f>
        <v>-43080</v>
      </c>
      <c r="F27" s="98">
        <f t="shared" ref="F27:F38" si="3">IF(C27=0,0,E27/C27)</f>
        <v>-4.5978780984687464E-4</v>
      </c>
    </row>
    <row r="28" spans="1:6" ht="18" customHeight="1" x14ac:dyDescent="0.25">
      <c r="A28" s="99">
        <v>2</v>
      </c>
      <c r="B28" s="100" t="s">
        <v>113</v>
      </c>
      <c r="C28" s="97">
        <v>13298536</v>
      </c>
      <c r="D28" s="97">
        <v>14343367</v>
      </c>
      <c r="E28" s="97">
        <f t="shared" si="2"/>
        <v>1044831</v>
      </c>
      <c r="F28" s="98">
        <f t="shared" si="3"/>
        <v>7.8567370122545818E-2</v>
      </c>
    </row>
    <row r="29" spans="1:6" ht="18" customHeight="1" x14ac:dyDescent="0.25">
      <c r="A29" s="99">
        <v>3</v>
      </c>
      <c r="B29" s="100" t="s">
        <v>114</v>
      </c>
      <c r="C29" s="97">
        <v>21296695</v>
      </c>
      <c r="D29" s="97">
        <v>35205445</v>
      </c>
      <c r="E29" s="97">
        <f t="shared" si="2"/>
        <v>13908750</v>
      </c>
      <c r="F29" s="98">
        <f t="shared" si="3"/>
        <v>0.65309429467811786</v>
      </c>
    </row>
    <row r="30" spans="1:6" ht="18" customHeight="1" x14ac:dyDescent="0.25">
      <c r="A30" s="99">
        <v>4</v>
      </c>
      <c r="B30" s="100" t="s">
        <v>115</v>
      </c>
      <c r="C30" s="97">
        <v>27669680</v>
      </c>
      <c r="D30" s="97">
        <v>29955194</v>
      </c>
      <c r="E30" s="97">
        <f t="shared" si="2"/>
        <v>2285514</v>
      </c>
      <c r="F30" s="98">
        <f t="shared" si="3"/>
        <v>8.2599943331473288E-2</v>
      </c>
    </row>
    <row r="31" spans="1:6" ht="18" customHeight="1" x14ac:dyDescent="0.25">
      <c r="A31" s="99">
        <v>5</v>
      </c>
      <c r="B31" s="100" t="s">
        <v>116</v>
      </c>
      <c r="C31" s="97">
        <v>7195831</v>
      </c>
      <c r="D31" s="97">
        <v>6860374</v>
      </c>
      <c r="E31" s="97">
        <f t="shared" si="2"/>
        <v>-335457</v>
      </c>
      <c r="F31" s="98">
        <f t="shared" si="3"/>
        <v>-4.6618243257797468E-2</v>
      </c>
    </row>
    <row r="32" spans="1:6" ht="18" customHeight="1" x14ac:dyDescent="0.25">
      <c r="A32" s="99">
        <v>6</v>
      </c>
      <c r="B32" s="100" t="s">
        <v>117</v>
      </c>
      <c r="C32" s="97">
        <v>7953487</v>
      </c>
      <c r="D32" s="97">
        <v>8165337</v>
      </c>
      <c r="E32" s="97">
        <f t="shared" si="2"/>
        <v>211850</v>
      </c>
      <c r="F32" s="98">
        <f t="shared" si="3"/>
        <v>2.6636115706230486E-2</v>
      </c>
    </row>
    <row r="33" spans="1:6" ht="18" customHeight="1" x14ac:dyDescent="0.25">
      <c r="A33" s="99">
        <v>7</v>
      </c>
      <c r="B33" s="100" t="s">
        <v>118</v>
      </c>
      <c r="C33" s="97">
        <v>153736614</v>
      </c>
      <c r="D33" s="97">
        <v>153689229</v>
      </c>
      <c r="E33" s="97">
        <f t="shared" si="2"/>
        <v>-47385</v>
      </c>
      <c r="F33" s="98">
        <f t="shared" si="3"/>
        <v>-3.0822195680724434E-4</v>
      </c>
    </row>
    <row r="34" spans="1:6" ht="18" customHeight="1" x14ac:dyDescent="0.25">
      <c r="A34" s="99">
        <v>8</v>
      </c>
      <c r="B34" s="100" t="s">
        <v>119</v>
      </c>
      <c r="C34" s="97">
        <v>6585599</v>
      </c>
      <c r="D34" s="97">
        <v>6894331</v>
      </c>
      <c r="E34" s="97">
        <f t="shared" si="2"/>
        <v>308732</v>
      </c>
      <c r="F34" s="98">
        <f t="shared" si="3"/>
        <v>4.6879866205033136E-2</v>
      </c>
    </row>
    <row r="35" spans="1:6" ht="18" customHeight="1" x14ac:dyDescent="0.25">
      <c r="A35" s="99">
        <v>9</v>
      </c>
      <c r="B35" s="100" t="s">
        <v>120</v>
      </c>
      <c r="C35" s="97">
        <v>10114453</v>
      </c>
      <c r="D35" s="97">
        <v>10017380</v>
      </c>
      <c r="E35" s="97">
        <f t="shared" si="2"/>
        <v>-97073</v>
      </c>
      <c r="F35" s="98">
        <f t="shared" si="3"/>
        <v>-9.5974542567947071E-3</v>
      </c>
    </row>
    <row r="36" spans="1:6" ht="18" customHeight="1" x14ac:dyDescent="0.25">
      <c r="A36" s="99">
        <v>10</v>
      </c>
      <c r="B36" s="100" t="s">
        <v>121</v>
      </c>
      <c r="C36" s="97">
        <v>10447321</v>
      </c>
      <c r="D36" s="97">
        <v>0</v>
      </c>
      <c r="E36" s="97">
        <f t="shared" si="2"/>
        <v>-10447321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999437</v>
      </c>
      <c r="D37" s="97">
        <v>1097818</v>
      </c>
      <c r="E37" s="97">
        <f t="shared" si="2"/>
        <v>98381</v>
      </c>
      <c r="F37" s="98">
        <f t="shared" si="3"/>
        <v>9.8436419704293524E-2</v>
      </c>
    </row>
    <row r="38" spans="1:6" ht="18" customHeight="1" x14ac:dyDescent="0.25">
      <c r="A38" s="101"/>
      <c r="B38" s="102" t="s">
        <v>126</v>
      </c>
      <c r="C38" s="103">
        <f>SUM(C27:C37)</f>
        <v>352993047</v>
      </c>
      <c r="D38" s="103">
        <f>SUM(D27:D37)</f>
        <v>359880789</v>
      </c>
      <c r="E38" s="103">
        <f t="shared" si="2"/>
        <v>6887742</v>
      </c>
      <c r="F38" s="104">
        <f t="shared" si="3"/>
        <v>1.9512401330669837E-2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198504379</v>
      </c>
      <c r="D41" s="103">
        <f t="shared" si="4"/>
        <v>202351466</v>
      </c>
      <c r="E41" s="107">
        <f t="shared" ref="E41:E52" si="5">D41-C41</f>
        <v>3847087</v>
      </c>
      <c r="F41" s="108">
        <f t="shared" ref="F41:F52" si="6">IF(C41=0,0,E41/C41)</f>
        <v>1.9380363392386423E-2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27201039</v>
      </c>
      <c r="D42" s="103">
        <f t="shared" si="4"/>
        <v>28305732</v>
      </c>
      <c r="E42" s="107">
        <f t="shared" si="5"/>
        <v>1104693</v>
      </c>
      <c r="F42" s="108">
        <f t="shared" si="6"/>
        <v>4.0612161910432903E-2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36305264</v>
      </c>
      <c r="D43" s="103">
        <f t="shared" si="4"/>
        <v>60110501</v>
      </c>
      <c r="E43" s="107">
        <f t="shared" si="5"/>
        <v>23805237</v>
      </c>
      <c r="F43" s="108">
        <f t="shared" si="6"/>
        <v>0.65569656785858932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37690683</v>
      </c>
      <c r="D44" s="103">
        <f t="shared" si="4"/>
        <v>42254789</v>
      </c>
      <c r="E44" s="107">
        <f t="shared" si="5"/>
        <v>4564106</v>
      </c>
      <c r="F44" s="108">
        <f t="shared" si="6"/>
        <v>0.12109374616533215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9526563</v>
      </c>
      <c r="D45" s="103">
        <f t="shared" si="4"/>
        <v>9743287</v>
      </c>
      <c r="E45" s="107">
        <f t="shared" si="5"/>
        <v>216724</v>
      </c>
      <c r="F45" s="108">
        <f t="shared" si="6"/>
        <v>2.2749442794846367E-2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12144168</v>
      </c>
      <c r="D46" s="103">
        <f t="shared" si="4"/>
        <v>11354451</v>
      </c>
      <c r="E46" s="107">
        <f t="shared" si="5"/>
        <v>-789717</v>
      </c>
      <c r="F46" s="108">
        <f t="shared" si="6"/>
        <v>-6.5028497629479431E-2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219969133</v>
      </c>
      <c r="D47" s="103">
        <f t="shared" si="4"/>
        <v>223334239</v>
      </c>
      <c r="E47" s="107">
        <f t="shared" si="5"/>
        <v>3365106</v>
      </c>
      <c r="F47" s="108">
        <f t="shared" si="6"/>
        <v>1.5298082754183515E-2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10490077</v>
      </c>
      <c r="D48" s="103">
        <f t="shared" si="4"/>
        <v>10896941</v>
      </c>
      <c r="E48" s="107">
        <f t="shared" si="5"/>
        <v>406864</v>
      </c>
      <c r="F48" s="108">
        <f t="shared" si="6"/>
        <v>3.8785606626147738E-2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13942288</v>
      </c>
      <c r="D49" s="103">
        <f t="shared" si="4"/>
        <v>13285645</v>
      </c>
      <c r="E49" s="107">
        <f t="shared" si="5"/>
        <v>-656643</v>
      </c>
      <c r="F49" s="108">
        <f t="shared" si="6"/>
        <v>-4.7097219624210887E-2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17523725</v>
      </c>
      <c r="D50" s="103">
        <f t="shared" si="4"/>
        <v>0</v>
      </c>
      <c r="E50" s="107">
        <f t="shared" si="5"/>
        <v>-17523725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2093406</v>
      </c>
      <c r="D51" s="103">
        <f t="shared" si="4"/>
        <v>2423534</v>
      </c>
      <c r="E51" s="107">
        <f t="shared" si="5"/>
        <v>330128</v>
      </c>
      <c r="F51" s="108">
        <f t="shared" si="6"/>
        <v>0.15769898433462023</v>
      </c>
    </row>
    <row r="52" spans="1:6" ht="18.75" customHeight="1" thickBot="1" x14ac:dyDescent="0.3">
      <c r="A52" s="109"/>
      <c r="B52" s="110" t="s">
        <v>128</v>
      </c>
      <c r="C52" s="111">
        <f>SUM(C41:C51)</f>
        <v>585390725</v>
      </c>
      <c r="D52" s="112">
        <f>SUM(D41:D51)</f>
        <v>604060585</v>
      </c>
      <c r="E52" s="111">
        <f t="shared" si="5"/>
        <v>18669860</v>
      </c>
      <c r="F52" s="113">
        <f t="shared" si="6"/>
        <v>3.1892989080071266E-2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44095808</v>
      </c>
      <c r="D57" s="97">
        <v>45743280</v>
      </c>
      <c r="E57" s="97">
        <f t="shared" ref="E57:E68" si="7">D57-C57</f>
        <v>1647472</v>
      </c>
      <c r="F57" s="98">
        <f t="shared" ref="F57:F68" si="8">IF(C57=0,0,E57/C57)</f>
        <v>3.7361193154687174E-2</v>
      </c>
    </row>
    <row r="58" spans="1:6" ht="18" customHeight="1" x14ac:dyDescent="0.25">
      <c r="A58" s="99">
        <v>2</v>
      </c>
      <c r="B58" s="100" t="s">
        <v>113</v>
      </c>
      <c r="C58" s="97">
        <v>5928822</v>
      </c>
      <c r="D58" s="97">
        <v>5790541</v>
      </c>
      <c r="E58" s="97">
        <f t="shared" si="7"/>
        <v>-138281</v>
      </c>
      <c r="F58" s="98">
        <f t="shared" si="8"/>
        <v>-2.3323520254107815E-2</v>
      </c>
    </row>
    <row r="59" spans="1:6" ht="18" customHeight="1" x14ac:dyDescent="0.25">
      <c r="A59" s="99">
        <v>3</v>
      </c>
      <c r="B59" s="100" t="s">
        <v>114</v>
      </c>
      <c r="C59" s="97">
        <v>3703768</v>
      </c>
      <c r="D59" s="97">
        <v>7327731</v>
      </c>
      <c r="E59" s="97">
        <f t="shared" si="7"/>
        <v>3623963</v>
      </c>
      <c r="F59" s="98">
        <f t="shared" si="8"/>
        <v>0.97845302405550239</v>
      </c>
    </row>
    <row r="60" spans="1:6" ht="18" customHeight="1" x14ac:dyDescent="0.25">
      <c r="A60" s="99">
        <v>4</v>
      </c>
      <c r="B60" s="100" t="s">
        <v>115</v>
      </c>
      <c r="C60" s="97">
        <v>2864732</v>
      </c>
      <c r="D60" s="97">
        <v>3598585</v>
      </c>
      <c r="E60" s="97">
        <f t="shared" si="7"/>
        <v>733853</v>
      </c>
      <c r="F60" s="98">
        <f t="shared" si="8"/>
        <v>0.25616811624961777</v>
      </c>
    </row>
    <row r="61" spans="1:6" ht="18" customHeight="1" x14ac:dyDescent="0.25">
      <c r="A61" s="99">
        <v>5</v>
      </c>
      <c r="B61" s="100" t="s">
        <v>116</v>
      </c>
      <c r="C61" s="97">
        <v>909649</v>
      </c>
      <c r="D61" s="97">
        <v>1160549</v>
      </c>
      <c r="E61" s="97">
        <f t="shared" si="7"/>
        <v>250900</v>
      </c>
      <c r="F61" s="98">
        <f t="shared" si="8"/>
        <v>0.27582067368842267</v>
      </c>
    </row>
    <row r="62" spans="1:6" ht="18" customHeight="1" x14ac:dyDescent="0.25">
      <c r="A62" s="99">
        <v>6</v>
      </c>
      <c r="B62" s="100" t="s">
        <v>117</v>
      </c>
      <c r="C62" s="97">
        <v>3677597</v>
      </c>
      <c r="D62" s="97">
        <v>2824803</v>
      </c>
      <c r="E62" s="97">
        <f t="shared" si="7"/>
        <v>-852794</v>
      </c>
      <c r="F62" s="98">
        <f t="shared" si="8"/>
        <v>-0.23188892094484523</v>
      </c>
    </row>
    <row r="63" spans="1:6" ht="18" customHeight="1" x14ac:dyDescent="0.25">
      <c r="A63" s="99">
        <v>7</v>
      </c>
      <c r="B63" s="100" t="s">
        <v>118</v>
      </c>
      <c r="C63" s="97">
        <v>49832566</v>
      </c>
      <c r="D63" s="97">
        <v>53889334</v>
      </c>
      <c r="E63" s="97">
        <f t="shared" si="7"/>
        <v>4056768</v>
      </c>
      <c r="F63" s="98">
        <f t="shared" si="8"/>
        <v>8.1407969238429342E-2</v>
      </c>
    </row>
    <row r="64" spans="1:6" ht="18" customHeight="1" x14ac:dyDescent="0.25">
      <c r="A64" s="99">
        <v>8</v>
      </c>
      <c r="B64" s="100" t="s">
        <v>119</v>
      </c>
      <c r="C64" s="97">
        <v>2805303</v>
      </c>
      <c r="D64" s="97">
        <v>3003982</v>
      </c>
      <c r="E64" s="97">
        <f t="shared" si="7"/>
        <v>198679</v>
      </c>
      <c r="F64" s="98">
        <f t="shared" si="8"/>
        <v>7.0822652668891733E-2</v>
      </c>
    </row>
    <row r="65" spans="1:6" ht="18" customHeight="1" x14ac:dyDescent="0.25">
      <c r="A65" s="99">
        <v>9</v>
      </c>
      <c r="B65" s="100" t="s">
        <v>120</v>
      </c>
      <c r="C65" s="97">
        <v>928196</v>
      </c>
      <c r="D65" s="97">
        <v>702521</v>
      </c>
      <c r="E65" s="97">
        <f t="shared" si="7"/>
        <v>-225675</v>
      </c>
      <c r="F65" s="98">
        <f t="shared" si="8"/>
        <v>-0.24313291589276403</v>
      </c>
    </row>
    <row r="66" spans="1:6" ht="18" customHeight="1" x14ac:dyDescent="0.25">
      <c r="A66" s="99">
        <v>10</v>
      </c>
      <c r="B66" s="100" t="s">
        <v>121</v>
      </c>
      <c r="C66" s="97">
        <v>817534</v>
      </c>
      <c r="D66" s="97">
        <v>0</v>
      </c>
      <c r="E66" s="97">
        <f t="shared" si="7"/>
        <v>-817534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268241</v>
      </c>
      <c r="D67" s="97">
        <v>284954</v>
      </c>
      <c r="E67" s="97">
        <f t="shared" si="7"/>
        <v>16713</v>
      </c>
      <c r="F67" s="98">
        <f t="shared" si="8"/>
        <v>6.2305911475128706E-2</v>
      </c>
    </row>
    <row r="68" spans="1:6" ht="18" customHeight="1" x14ac:dyDescent="0.25">
      <c r="A68" s="101"/>
      <c r="B68" s="102" t="s">
        <v>131</v>
      </c>
      <c r="C68" s="103">
        <f>SUM(C57:C67)</f>
        <v>115832216</v>
      </c>
      <c r="D68" s="103">
        <f>SUM(D57:D67)</f>
        <v>124326280</v>
      </c>
      <c r="E68" s="103">
        <f t="shared" si="7"/>
        <v>8494064</v>
      </c>
      <c r="F68" s="104">
        <f t="shared" si="8"/>
        <v>7.3330756272503669E-2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23828711</v>
      </c>
      <c r="D70" s="97">
        <v>23798621</v>
      </c>
      <c r="E70" s="97">
        <f t="shared" ref="E70:E81" si="9">D70-C70</f>
        <v>-30090</v>
      </c>
      <c r="F70" s="98">
        <f t="shared" ref="F70:F81" si="10">IF(C70=0,0,E70/C70)</f>
        <v>-1.2627623877766614E-3</v>
      </c>
    </row>
    <row r="71" spans="1:6" ht="18" customHeight="1" x14ac:dyDescent="0.25">
      <c r="A71" s="99">
        <v>2</v>
      </c>
      <c r="B71" s="100" t="s">
        <v>113</v>
      </c>
      <c r="C71" s="97">
        <v>3116078</v>
      </c>
      <c r="D71" s="97">
        <v>3294352</v>
      </c>
      <c r="E71" s="97">
        <f t="shared" si="9"/>
        <v>178274</v>
      </c>
      <c r="F71" s="98">
        <f t="shared" si="10"/>
        <v>5.7211019749826543E-2</v>
      </c>
    </row>
    <row r="72" spans="1:6" ht="18" customHeight="1" x14ac:dyDescent="0.25">
      <c r="A72" s="99">
        <v>3</v>
      </c>
      <c r="B72" s="100" t="s">
        <v>114</v>
      </c>
      <c r="C72" s="97">
        <v>4906489</v>
      </c>
      <c r="D72" s="97">
        <v>7120642</v>
      </c>
      <c r="E72" s="97">
        <f t="shared" si="9"/>
        <v>2214153</v>
      </c>
      <c r="F72" s="98">
        <f t="shared" si="10"/>
        <v>0.45127034830812829</v>
      </c>
    </row>
    <row r="73" spans="1:6" ht="18" customHeight="1" x14ac:dyDescent="0.25">
      <c r="A73" s="99">
        <v>4</v>
      </c>
      <c r="B73" s="100" t="s">
        <v>115</v>
      </c>
      <c r="C73" s="97">
        <v>8443104</v>
      </c>
      <c r="D73" s="97">
        <v>8411984</v>
      </c>
      <c r="E73" s="97">
        <f t="shared" si="9"/>
        <v>-31120</v>
      </c>
      <c r="F73" s="98">
        <f t="shared" si="10"/>
        <v>-3.6858482378044851E-3</v>
      </c>
    </row>
    <row r="74" spans="1:6" ht="18" customHeight="1" x14ac:dyDescent="0.25">
      <c r="A74" s="99">
        <v>5</v>
      </c>
      <c r="B74" s="100" t="s">
        <v>116</v>
      </c>
      <c r="C74" s="97">
        <v>2206442</v>
      </c>
      <c r="D74" s="97">
        <v>1906524</v>
      </c>
      <c r="E74" s="97">
        <f t="shared" si="9"/>
        <v>-299918</v>
      </c>
      <c r="F74" s="98">
        <f t="shared" si="10"/>
        <v>-0.13592834074043189</v>
      </c>
    </row>
    <row r="75" spans="1:6" ht="18" customHeight="1" x14ac:dyDescent="0.25">
      <c r="A75" s="99">
        <v>6</v>
      </c>
      <c r="B75" s="100" t="s">
        <v>117</v>
      </c>
      <c r="C75" s="97">
        <v>6671868</v>
      </c>
      <c r="D75" s="97">
        <v>6778292</v>
      </c>
      <c r="E75" s="97">
        <f t="shared" si="9"/>
        <v>106424</v>
      </c>
      <c r="F75" s="98">
        <f t="shared" si="10"/>
        <v>1.5951154908940043E-2</v>
      </c>
    </row>
    <row r="76" spans="1:6" ht="18" customHeight="1" x14ac:dyDescent="0.25">
      <c r="A76" s="99">
        <v>7</v>
      </c>
      <c r="B76" s="100" t="s">
        <v>118</v>
      </c>
      <c r="C76" s="97">
        <v>84818735</v>
      </c>
      <c r="D76" s="97">
        <v>84378495</v>
      </c>
      <c r="E76" s="97">
        <f t="shared" si="9"/>
        <v>-440240</v>
      </c>
      <c r="F76" s="98">
        <f t="shared" si="10"/>
        <v>-5.1903627188026324E-3</v>
      </c>
    </row>
    <row r="77" spans="1:6" ht="18" customHeight="1" x14ac:dyDescent="0.25">
      <c r="A77" s="99">
        <v>8</v>
      </c>
      <c r="B77" s="100" t="s">
        <v>119</v>
      </c>
      <c r="C77" s="97">
        <v>4947566</v>
      </c>
      <c r="D77" s="97">
        <v>4965320</v>
      </c>
      <c r="E77" s="97">
        <f t="shared" si="9"/>
        <v>17754</v>
      </c>
      <c r="F77" s="98">
        <f t="shared" si="10"/>
        <v>3.5884311598875082E-3</v>
      </c>
    </row>
    <row r="78" spans="1:6" ht="18" customHeight="1" x14ac:dyDescent="0.25">
      <c r="A78" s="99">
        <v>9</v>
      </c>
      <c r="B78" s="100" t="s">
        <v>120</v>
      </c>
      <c r="C78" s="97">
        <v>2171511</v>
      </c>
      <c r="D78" s="97">
        <v>2365301</v>
      </c>
      <c r="E78" s="97">
        <f t="shared" si="9"/>
        <v>193790</v>
      </c>
      <c r="F78" s="98">
        <f t="shared" si="10"/>
        <v>8.9242007063284501E-2</v>
      </c>
    </row>
    <row r="79" spans="1:6" ht="18" customHeight="1" x14ac:dyDescent="0.25">
      <c r="A79" s="99">
        <v>10</v>
      </c>
      <c r="B79" s="100" t="s">
        <v>121</v>
      </c>
      <c r="C79" s="97">
        <v>1407561</v>
      </c>
      <c r="D79" s="97">
        <v>0</v>
      </c>
      <c r="E79" s="97">
        <f t="shared" si="9"/>
        <v>-1407561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272332</v>
      </c>
      <c r="D80" s="97">
        <v>285216</v>
      </c>
      <c r="E80" s="97">
        <f t="shared" si="9"/>
        <v>12884</v>
      </c>
      <c r="F80" s="98">
        <f t="shared" si="10"/>
        <v>4.7309901150066828E-2</v>
      </c>
    </row>
    <row r="81" spans="1:6" ht="18" customHeight="1" x14ac:dyDescent="0.25">
      <c r="A81" s="101"/>
      <c r="B81" s="102" t="s">
        <v>133</v>
      </c>
      <c r="C81" s="103">
        <f>SUM(C70:C80)</f>
        <v>142790397</v>
      </c>
      <c r="D81" s="103">
        <f>SUM(D70:D80)</f>
        <v>143304747</v>
      </c>
      <c r="E81" s="103">
        <f t="shared" si="9"/>
        <v>514350</v>
      </c>
      <c r="F81" s="104">
        <f t="shared" si="10"/>
        <v>3.6021329921787386E-3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67924519</v>
      </c>
      <c r="D84" s="103">
        <f t="shared" si="11"/>
        <v>69541901</v>
      </c>
      <c r="E84" s="103">
        <f t="shared" ref="E84:E95" si="12">D84-C84</f>
        <v>1617382</v>
      </c>
      <c r="F84" s="104">
        <f t="shared" ref="F84:F95" si="13">IF(C84=0,0,E84/C84)</f>
        <v>2.3811460483069449E-2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9044900</v>
      </c>
      <c r="D85" s="103">
        <f t="shared" si="11"/>
        <v>9084893</v>
      </c>
      <c r="E85" s="103">
        <f t="shared" si="12"/>
        <v>39993</v>
      </c>
      <c r="F85" s="104">
        <f t="shared" si="13"/>
        <v>4.4216077568574553E-3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8610257</v>
      </c>
      <c r="D86" s="103">
        <f t="shared" si="11"/>
        <v>14448373</v>
      </c>
      <c r="E86" s="103">
        <f t="shared" si="12"/>
        <v>5838116</v>
      </c>
      <c r="F86" s="104">
        <f t="shared" si="13"/>
        <v>0.67804201430921285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11307836</v>
      </c>
      <c r="D87" s="103">
        <f t="shared" si="11"/>
        <v>12010569</v>
      </c>
      <c r="E87" s="103">
        <f t="shared" si="12"/>
        <v>702733</v>
      </c>
      <c r="F87" s="104">
        <f t="shared" si="13"/>
        <v>6.2145666067318271E-2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3116091</v>
      </c>
      <c r="D88" s="103">
        <f t="shared" si="11"/>
        <v>3067073</v>
      </c>
      <c r="E88" s="103">
        <f t="shared" si="12"/>
        <v>-49018</v>
      </c>
      <c r="F88" s="104">
        <f t="shared" si="13"/>
        <v>-1.5730606070233508E-2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10349465</v>
      </c>
      <c r="D89" s="103">
        <f t="shared" si="11"/>
        <v>9603095</v>
      </c>
      <c r="E89" s="103">
        <f t="shared" si="12"/>
        <v>-746370</v>
      </c>
      <c r="F89" s="104">
        <f t="shared" si="13"/>
        <v>-7.2116771253393289E-2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134651301</v>
      </c>
      <c r="D90" s="103">
        <f t="shared" si="11"/>
        <v>138267829</v>
      </c>
      <c r="E90" s="103">
        <f t="shared" si="12"/>
        <v>3616528</v>
      </c>
      <c r="F90" s="104">
        <f t="shared" si="13"/>
        <v>2.6858470531970574E-2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7752869</v>
      </c>
      <c r="D91" s="103">
        <f t="shared" si="11"/>
        <v>7969302</v>
      </c>
      <c r="E91" s="103">
        <f t="shared" si="12"/>
        <v>216433</v>
      </c>
      <c r="F91" s="104">
        <f t="shared" si="13"/>
        <v>2.7916504199929085E-2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3099707</v>
      </c>
      <c r="D92" s="103">
        <f t="shared" si="11"/>
        <v>3067822</v>
      </c>
      <c r="E92" s="103">
        <f t="shared" si="12"/>
        <v>-31885</v>
      </c>
      <c r="F92" s="104">
        <f t="shared" si="13"/>
        <v>-1.0286456106980434E-2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2225095</v>
      </c>
      <c r="D93" s="103">
        <f t="shared" si="11"/>
        <v>0</v>
      </c>
      <c r="E93" s="103">
        <f t="shared" si="12"/>
        <v>-2225095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540573</v>
      </c>
      <c r="D94" s="103">
        <f t="shared" si="11"/>
        <v>570170</v>
      </c>
      <c r="E94" s="103">
        <f t="shared" si="12"/>
        <v>29597</v>
      </c>
      <c r="F94" s="104">
        <f t="shared" si="13"/>
        <v>5.4751162192710326E-2</v>
      </c>
    </row>
    <row r="95" spans="1:6" ht="18.75" customHeight="1" thickBot="1" x14ac:dyDescent="0.3">
      <c r="A95" s="115"/>
      <c r="B95" s="116" t="s">
        <v>134</v>
      </c>
      <c r="C95" s="112">
        <f>SUM(C84:C94)</f>
        <v>258622613</v>
      </c>
      <c r="D95" s="112">
        <f>SUM(D84:D94)</f>
        <v>267631027</v>
      </c>
      <c r="E95" s="112">
        <f t="shared" si="12"/>
        <v>9008414</v>
      </c>
      <c r="F95" s="113">
        <f t="shared" si="13"/>
        <v>3.4832275088025652E-2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4635</v>
      </c>
      <c r="D100" s="117">
        <v>4617</v>
      </c>
      <c r="E100" s="117">
        <f t="shared" ref="E100:E111" si="14">D100-C100</f>
        <v>-18</v>
      </c>
      <c r="F100" s="98">
        <f t="shared" ref="F100:F111" si="15">IF(C100=0,0,E100/C100)</f>
        <v>-3.8834951456310678E-3</v>
      </c>
    </row>
    <row r="101" spans="1:6" ht="18" customHeight="1" x14ac:dyDescent="0.25">
      <c r="A101" s="99">
        <v>2</v>
      </c>
      <c r="B101" s="100" t="s">
        <v>113</v>
      </c>
      <c r="C101" s="117">
        <v>594</v>
      </c>
      <c r="D101" s="117">
        <v>583</v>
      </c>
      <c r="E101" s="117">
        <f t="shared" si="14"/>
        <v>-11</v>
      </c>
      <c r="F101" s="98">
        <f t="shared" si="15"/>
        <v>-1.8518518518518517E-2</v>
      </c>
    </row>
    <row r="102" spans="1:6" ht="18" customHeight="1" x14ac:dyDescent="0.25">
      <c r="A102" s="99">
        <v>3</v>
      </c>
      <c r="B102" s="100" t="s">
        <v>114</v>
      </c>
      <c r="C102" s="117">
        <v>783</v>
      </c>
      <c r="D102" s="117">
        <v>1205</v>
      </c>
      <c r="E102" s="117">
        <f t="shared" si="14"/>
        <v>422</v>
      </c>
      <c r="F102" s="98">
        <f t="shared" si="15"/>
        <v>0.53895274584929753</v>
      </c>
    </row>
    <row r="103" spans="1:6" ht="18" customHeight="1" x14ac:dyDescent="0.25">
      <c r="A103" s="99">
        <v>4</v>
      </c>
      <c r="B103" s="100" t="s">
        <v>115</v>
      </c>
      <c r="C103" s="117">
        <v>1108</v>
      </c>
      <c r="D103" s="117">
        <v>1113</v>
      </c>
      <c r="E103" s="117">
        <f t="shared" si="14"/>
        <v>5</v>
      </c>
      <c r="F103" s="98">
        <f t="shared" si="15"/>
        <v>4.5126353790613718E-3</v>
      </c>
    </row>
    <row r="104" spans="1:6" ht="18" customHeight="1" x14ac:dyDescent="0.25">
      <c r="A104" s="99">
        <v>5</v>
      </c>
      <c r="B104" s="100" t="s">
        <v>116</v>
      </c>
      <c r="C104" s="117">
        <v>217</v>
      </c>
      <c r="D104" s="117">
        <v>237</v>
      </c>
      <c r="E104" s="117">
        <f t="shared" si="14"/>
        <v>20</v>
      </c>
      <c r="F104" s="98">
        <f t="shared" si="15"/>
        <v>9.2165898617511524E-2</v>
      </c>
    </row>
    <row r="105" spans="1:6" ht="18" customHeight="1" x14ac:dyDescent="0.25">
      <c r="A105" s="99">
        <v>6</v>
      </c>
      <c r="B105" s="100" t="s">
        <v>117</v>
      </c>
      <c r="C105" s="117">
        <v>171</v>
      </c>
      <c r="D105" s="117">
        <v>146</v>
      </c>
      <c r="E105" s="117">
        <f t="shared" si="14"/>
        <v>-25</v>
      </c>
      <c r="F105" s="98">
        <f t="shared" si="15"/>
        <v>-0.14619883040935672</v>
      </c>
    </row>
    <row r="106" spans="1:6" ht="18" customHeight="1" x14ac:dyDescent="0.25">
      <c r="A106" s="99">
        <v>7</v>
      </c>
      <c r="B106" s="100" t="s">
        <v>118</v>
      </c>
      <c r="C106" s="117">
        <v>3964</v>
      </c>
      <c r="D106" s="117">
        <v>3730</v>
      </c>
      <c r="E106" s="117">
        <f t="shared" si="14"/>
        <v>-234</v>
      </c>
      <c r="F106" s="98">
        <f t="shared" si="15"/>
        <v>-5.9031281533804235E-2</v>
      </c>
    </row>
    <row r="107" spans="1:6" ht="18" customHeight="1" x14ac:dyDescent="0.25">
      <c r="A107" s="99">
        <v>8</v>
      </c>
      <c r="B107" s="100" t="s">
        <v>119</v>
      </c>
      <c r="C107" s="117">
        <v>129</v>
      </c>
      <c r="D107" s="117">
        <v>130</v>
      </c>
      <c r="E107" s="117">
        <f t="shared" si="14"/>
        <v>1</v>
      </c>
      <c r="F107" s="98">
        <f t="shared" si="15"/>
        <v>7.7519379844961239E-3</v>
      </c>
    </row>
    <row r="108" spans="1:6" ht="18" customHeight="1" x14ac:dyDescent="0.25">
      <c r="A108" s="99">
        <v>9</v>
      </c>
      <c r="B108" s="100" t="s">
        <v>120</v>
      </c>
      <c r="C108" s="117">
        <v>176</v>
      </c>
      <c r="D108" s="117">
        <v>172</v>
      </c>
      <c r="E108" s="117">
        <f t="shared" si="14"/>
        <v>-4</v>
      </c>
      <c r="F108" s="98">
        <f t="shared" si="15"/>
        <v>-2.2727272727272728E-2</v>
      </c>
    </row>
    <row r="109" spans="1:6" ht="18" customHeight="1" x14ac:dyDescent="0.25">
      <c r="A109" s="99">
        <v>10</v>
      </c>
      <c r="B109" s="100" t="s">
        <v>121</v>
      </c>
      <c r="C109" s="117">
        <v>333</v>
      </c>
      <c r="D109" s="117">
        <v>0</v>
      </c>
      <c r="E109" s="117">
        <f t="shared" si="14"/>
        <v>-333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65</v>
      </c>
      <c r="D110" s="117">
        <v>66</v>
      </c>
      <c r="E110" s="117">
        <f t="shared" si="14"/>
        <v>1</v>
      </c>
      <c r="F110" s="98">
        <f t="shared" si="15"/>
        <v>1.5384615384615385E-2</v>
      </c>
    </row>
    <row r="111" spans="1:6" ht="18" customHeight="1" x14ac:dyDescent="0.25">
      <c r="A111" s="101"/>
      <c r="B111" s="102" t="s">
        <v>138</v>
      </c>
      <c r="C111" s="118">
        <f>SUM(C100:C110)</f>
        <v>12175</v>
      </c>
      <c r="D111" s="118">
        <f>SUM(D100:D110)</f>
        <v>11999</v>
      </c>
      <c r="E111" s="118">
        <f t="shared" si="14"/>
        <v>-176</v>
      </c>
      <c r="F111" s="104">
        <f t="shared" si="15"/>
        <v>-1.4455852156057495E-2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22838</v>
      </c>
      <c r="D113" s="117">
        <v>22778</v>
      </c>
      <c r="E113" s="117">
        <f t="shared" ref="E113:E124" si="16">D113-C113</f>
        <v>-60</v>
      </c>
      <c r="F113" s="98">
        <f t="shared" ref="F113:F124" si="17">IF(C113=0,0,E113/C113)</f>
        <v>-2.6272002802346967E-3</v>
      </c>
    </row>
    <row r="114" spans="1:6" ht="18" customHeight="1" x14ac:dyDescent="0.25">
      <c r="A114" s="99">
        <v>2</v>
      </c>
      <c r="B114" s="100" t="s">
        <v>113</v>
      </c>
      <c r="C114" s="117">
        <v>2655</v>
      </c>
      <c r="D114" s="117">
        <v>2805</v>
      </c>
      <c r="E114" s="117">
        <f t="shared" si="16"/>
        <v>150</v>
      </c>
      <c r="F114" s="98">
        <f t="shared" si="17"/>
        <v>5.6497175141242938E-2</v>
      </c>
    </row>
    <row r="115" spans="1:6" ht="18" customHeight="1" x14ac:dyDescent="0.25">
      <c r="A115" s="99">
        <v>3</v>
      </c>
      <c r="B115" s="100" t="s">
        <v>114</v>
      </c>
      <c r="C115" s="117">
        <v>3877</v>
      </c>
      <c r="D115" s="117">
        <v>5833</v>
      </c>
      <c r="E115" s="117">
        <f t="shared" si="16"/>
        <v>1956</v>
      </c>
      <c r="F115" s="98">
        <f t="shared" si="17"/>
        <v>0.50451379932937834</v>
      </c>
    </row>
    <row r="116" spans="1:6" ht="18" customHeight="1" x14ac:dyDescent="0.25">
      <c r="A116" s="99">
        <v>4</v>
      </c>
      <c r="B116" s="100" t="s">
        <v>115</v>
      </c>
      <c r="C116" s="117">
        <v>2783</v>
      </c>
      <c r="D116" s="117">
        <v>3236</v>
      </c>
      <c r="E116" s="117">
        <f t="shared" si="16"/>
        <v>453</v>
      </c>
      <c r="F116" s="98">
        <f t="shared" si="17"/>
        <v>0.16277398490837225</v>
      </c>
    </row>
    <row r="117" spans="1:6" ht="18" customHeight="1" x14ac:dyDescent="0.25">
      <c r="A117" s="99">
        <v>5</v>
      </c>
      <c r="B117" s="100" t="s">
        <v>116</v>
      </c>
      <c r="C117" s="117">
        <v>549</v>
      </c>
      <c r="D117" s="117">
        <v>617</v>
      </c>
      <c r="E117" s="117">
        <f t="shared" si="16"/>
        <v>68</v>
      </c>
      <c r="F117" s="98">
        <f t="shared" si="17"/>
        <v>0.12386156648451731</v>
      </c>
    </row>
    <row r="118" spans="1:6" ht="18" customHeight="1" x14ac:dyDescent="0.25">
      <c r="A118" s="99">
        <v>6</v>
      </c>
      <c r="B118" s="100" t="s">
        <v>117</v>
      </c>
      <c r="C118" s="117">
        <v>776</v>
      </c>
      <c r="D118" s="117">
        <v>487</v>
      </c>
      <c r="E118" s="117">
        <f t="shared" si="16"/>
        <v>-289</v>
      </c>
      <c r="F118" s="98">
        <f t="shared" si="17"/>
        <v>-0.37242268041237114</v>
      </c>
    </row>
    <row r="119" spans="1:6" ht="18" customHeight="1" x14ac:dyDescent="0.25">
      <c r="A119" s="99">
        <v>7</v>
      </c>
      <c r="B119" s="100" t="s">
        <v>118</v>
      </c>
      <c r="C119" s="117">
        <v>12659</v>
      </c>
      <c r="D119" s="117">
        <v>12482</v>
      </c>
      <c r="E119" s="117">
        <f t="shared" si="16"/>
        <v>-177</v>
      </c>
      <c r="F119" s="98">
        <f t="shared" si="17"/>
        <v>-1.3982147089027569E-2</v>
      </c>
    </row>
    <row r="120" spans="1:6" ht="18" customHeight="1" x14ac:dyDescent="0.25">
      <c r="A120" s="99">
        <v>8</v>
      </c>
      <c r="B120" s="100" t="s">
        <v>119</v>
      </c>
      <c r="C120" s="117">
        <v>474</v>
      </c>
      <c r="D120" s="117">
        <v>353</v>
      </c>
      <c r="E120" s="117">
        <f t="shared" si="16"/>
        <v>-121</v>
      </c>
      <c r="F120" s="98">
        <f t="shared" si="17"/>
        <v>-0.25527426160337552</v>
      </c>
    </row>
    <row r="121" spans="1:6" ht="18" customHeight="1" x14ac:dyDescent="0.25">
      <c r="A121" s="99">
        <v>9</v>
      </c>
      <c r="B121" s="100" t="s">
        <v>120</v>
      </c>
      <c r="C121" s="117">
        <v>878</v>
      </c>
      <c r="D121" s="117">
        <v>697</v>
      </c>
      <c r="E121" s="117">
        <f t="shared" si="16"/>
        <v>-181</v>
      </c>
      <c r="F121" s="98">
        <f t="shared" si="17"/>
        <v>-0.20615034168564919</v>
      </c>
    </row>
    <row r="122" spans="1:6" ht="18" customHeight="1" x14ac:dyDescent="0.25">
      <c r="A122" s="99">
        <v>10</v>
      </c>
      <c r="B122" s="100" t="s">
        <v>121</v>
      </c>
      <c r="C122" s="117">
        <v>1467</v>
      </c>
      <c r="D122" s="117">
        <v>0</v>
      </c>
      <c r="E122" s="117">
        <f t="shared" si="16"/>
        <v>-1467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140</v>
      </c>
      <c r="D123" s="117">
        <v>366</v>
      </c>
      <c r="E123" s="117">
        <f t="shared" si="16"/>
        <v>226</v>
      </c>
      <c r="F123" s="98">
        <f t="shared" si="17"/>
        <v>1.6142857142857143</v>
      </c>
    </row>
    <row r="124" spans="1:6" ht="18" customHeight="1" x14ac:dyDescent="0.25">
      <c r="A124" s="101"/>
      <c r="B124" s="102" t="s">
        <v>140</v>
      </c>
      <c r="C124" s="118">
        <f>SUM(C113:C123)</f>
        <v>49096</v>
      </c>
      <c r="D124" s="118">
        <f>SUM(D113:D123)</f>
        <v>49654</v>
      </c>
      <c r="E124" s="118">
        <f t="shared" si="16"/>
        <v>558</v>
      </c>
      <c r="F124" s="104">
        <f t="shared" si="17"/>
        <v>1.1365488023464234E-2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104707</v>
      </c>
      <c r="D126" s="117">
        <v>105292</v>
      </c>
      <c r="E126" s="117">
        <f t="shared" ref="E126:E137" si="18">D126-C126</f>
        <v>585</v>
      </c>
      <c r="F126" s="98">
        <f t="shared" ref="F126:F137" si="19">IF(C126=0,0,E126/C126)</f>
        <v>5.5870190149655708E-3</v>
      </c>
    </row>
    <row r="127" spans="1:6" ht="18" customHeight="1" x14ac:dyDescent="0.25">
      <c r="A127" s="99">
        <v>2</v>
      </c>
      <c r="B127" s="100" t="s">
        <v>113</v>
      </c>
      <c r="C127" s="117">
        <v>15073</v>
      </c>
      <c r="D127" s="117">
        <v>11042</v>
      </c>
      <c r="E127" s="117">
        <f t="shared" si="18"/>
        <v>-4031</v>
      </c>
      <c r="F127" s="98">
        <f t="shared" si="19"/>
        <v>-0.26743183175213958</v>
      </c>
    </row>
    <row r="128" spans="1:6" ht="18" customHeight="1" x14ac:dyDescent="0.25">
      <c r="A128" s="99">
        <v>3</v>
      </c>
      <c r="B128" s="100" t="s">
        <v>114</v>
      </c>
      <c r="C128" s="117">
        <v>29696</v>
      </c>
      <c r="D128" s="117">
        <v>39951</v>
      </c>
      <c r="E128" s="117">
        <f t="shared" si="18"/>
        <v>10255</v>
      </c>
      <c r="F128" s="98">
        <f t="shared" si="19"/>
        <v>0.34533270474137934</v>
      </c>
    </row>
    <row r="129" spans="1:6" ht="18" customHeight="1" x14ac:dyDescent="0.25">
      <c r="A129" s="99">
        <v>4</v>
      </c>
      <c r="B129" s="100" t="s">
        <v>115</v>
      </c>
      <c r="C129" s="117">
        <v>26045</v>
      </c>
      <c r="D129" s="117">
        <v>26245</v>
      </c>
      <c r="E129" s="117">
        <f t="shared" si="18"/>
        <v>200</v>
      </c>
      <c r="F129" s="98">
        <f t="shared" si="19"/>
        <v>7.6790170858130162E-3</v>
      </c>
    </row>
    <row r="130" spans="1:6" ht="18" customHeight="1" x14ac:dyDescent="0.25">
      <c r="A130" s="99">
        <v>5</v>
      </c>
      <c r="B130" s="100" t="s">
        <v>116</v>
      </c>
      <c r="C130" s="117">
        <v>7821</v>
      </c>
      <c r="D130" s="117">
        <v>6874</v>
      </c>
      <c r="E130" s="117">
        <f t="shared" si="18"/>
        <v>-947</v>
      </c>
      <c r="F130" s="98">
        <f t="shared" si="19"/>
        <v>-0.12108426032476666</v>
      </c>
    </row>
    <row r="131" spans="1:6" ht="18" customHeight="1" x14ac:dyDescent="0.25">
      <c r="A131" s="99">
        <v>6</v>
      </c>
      <c r="B131" s="100" t="s">
        <v>117</v>
      </c>
      <c r="C131" s="117">
        <v>7170</v>
      </c>
      <c r="D131" s="117">
        <v>6696</v>
      </c>
      <c r="E131" s="117">
        <f t="shared" si="18"/>
        <v>-474</v>
      </c>
      <c r="F131" s="98">
        <f t="shared" si="19"/>
        <v>-6.6108786610878656E-2</v>
      </c>
    </row>
    <row r="132" spans="1:6" ht="18" customHeight="1" x14ac:dyDescent="0.25">
      <c r="A132" s="99">
        <v>7</v>
      </c>
      <c r="B132" s="100" t="s">
        <v>118</v>
      </c>
      <c r="C132" s="117">
        <v>179433</v>
      </c>
      <c r="D132" s="117">
        <v>168142</v>
      </c>
      <c r="E132" s="117">
        <f t="shared" si="18"/>
        <v>-11291</v>
      </c>
      <c r="F132" s="98">
        <f t="shared" si="19"/>
        <v>-6.29259946609598E-2</v>
      </c>
    </row>
    <row r="133" spans="1:6" ht="18" customHeight="1" x14ac:dyDescent="0.25">
      <c r="A133" s="99">
        <v>8</v>
      </c>
      <c r="B133" s="100" t="s">
        <v>119</v>
      </c>
      <c r="C133" s="117">
        <v>5176</v>
      </c>
      <c r="D133" s="117">
        <v>4807</v>
      </c>
      <c r="E133" s="117">
        <f t="shared" si="18"/>
        <v>-369</v>
      </c>
      <c r="F133" s="98">
        <f t="shared" si="19"/>
        <v>-7.1290571870170016E-2</v>
      </c>
    </row>
    <row r="134" spans="1:6" ht="18" customHeight="1" x14ac:dyDescent="0.25">
      <c r="A134" s="99">
        <v>9</v>
      </c>
      <c r="B134" s="100" t="s">
        <v>120</v>
      </c>
      <c r="C134" s="117">
        <v>15029</v>
      </c>
      <c r="D134" s="117">
        <v>13040</v>
      </c>
      <c r="E134" s="117">
        <f t="shared" si="18"/>
        <v>-1989</v>
      </c>
      <c r="F134" s="98">
        <f t="shared" si="19"/>
        <v>-0.1323441346729656</v>
      </c>
    </row>
    <row r="135" spans="1:6" ht="18" customHeight="1" x14ac:dyDescent="0.25">
      <c r="A135" s="99">
        <v>10</v>
      </c>
      <c r="B135" s="100" t="s">
        <v>121</v>
      </c>
      <c r="C135" s="117">
        <v>9465</v>
      </c>
      <c r="D135" s="117">
        <v>0</v>
      </c>
      <c r="E135" s="117">
        <f t="shared" si="18"/>
        <v>-9465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935</v>
      </c>
      <c r="D136" s="117">
        <v>896</v>
      </c>
      <c r="E136" s="117">
        <f t="shared" si="18"/>
        <v>-39</v>
      </c>
      <c r="F136" s="98">
        <f t="shared" si="19"/>
        <v>-4.1711229946524063E-2</v>
      </c>
    </row>
    <row r="137" spans="1:6" ht="18" customHeight="1" x14ac:dyDescent="0.25">
      <c r="A137" s="101"/>
      <c r="B137" s="102" t="s">
        <v>143</v>
      </c>
      <c r="C137" s="118">
        <f>SUM(C126:C136)</f>
        <v>400550</v>
      </c>
      <c r="D137" s="118">
        <f>SUM(D126:D136)</f>
        <v>382985</v>
      </c>
      <c r="E137" s="118">
        <f t="shared" si="18"/>
        <v>-17565</v>
      </c>
      <c r="F137" s="104">
        <f t="shared" si="19"/>
        <v>-4.3852203220571713E-2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16718378</v>
      </c>
      <c r="D142" s="97">
        <v>17550451</v>
      </c>
      <c r="E142" s="97">
        <f t="shared" ref="E142:E153" si="20">D142-C142</f>
        <v>832073</v>
      </c>
      <c r="F142" s="98">
        <f t="shared" ref="F142:F153" si="21">IF(C142=0,0,E142/C142)</f>
        <v>4.9769959741309835E-2</v>
      </c>
    </row>
    <row r="143" spans="1:6" ht="18" customHeight="1" x14ac:dyDescent="0.25">
      <c r="A143" s="99">
        <v>2</v>
      </c>
      <c r="B143" s="100" t="s">
        <v>113</v>
      </c>
      <c r="C143" s="97">
        <v>2400868</v>
      </c>
      <c r="D143" s="97">
        <v>1965971</v>
      </c>
      <c r="E143" s="97">
        <f t="shared" si="20"/>
        <v>-434897</v>
      </c>
      <c r="F143" s="98">
        <f t="shared" si="21"/>
        <v>-0.18114157046534837</v>
      </c>
    </row>
    <row r="144" spans="1:6" ht="18" customHeight="1" x14ac:dyDescent="0.25">
      <c r="A144" s="99">
        <v>3</v>
      </c>
      <c r="B144" s="100" t="s">
        <v>114</v>
      </c>
      <c r="C144" s="97">
        <v>7996302</v>
      </c>
      <c r="D144" s="97">
        <v>13918040</v>
      </c>
      <c r="E144" s="97">
        <f t="shared" si="20"/>
        <v>5921738</v>
      </c>
      <c r="F144" s="98">
        <f t="shared" si="21"/>
        <v>0.74055957366292569</v>
      </c>
    </row>
    <row r="145" spans="1:6" ht="18" customHeight="1" x14ac:dyDescent="0.25">
      <c r="A145" s="99">
        <v>4</v>
      </c>
      <c r="B145" s="100" t="s">
        <v>115</v>
      </c>
      <c r="C145" s="97">
        <v>14646020</v>
      </c>
      <c r="D145" s="97">
        <v>14749904</v>
      </c>
      <c r="E145" s="97">
        <f t="shared" si="20"/>
        <v>103884</v>
      </c>
      <c r="F145" s="98">
        <f t="shared" si="21"/>
        <v>7.0929849884132342E-3</v>
      </c>
    </row>
    <row r="146" spans="1:6" ht="18" customHeight="1" x14ac:dyDescent="0.25">
      <c r="A146" s="99">
        <v>5</v>
      </c>
      <c r="B146" s="100" t="s">
        <v>116</v>
      </c>
      <c r="C146" s="97">
        <v>2225253</v>
      </c>
      <c r="D146" s="97">
        <v>2255077</v>
      </c>
      <c r="E146" s="97">
        <f t="shared" si="20"/>
        <v>29824</v>
      </c>
      <c r="F146" s="98">
        <f t="shared" si="21"/>
        <v>1.3402520971772648E-2</v>
      </c>
    </row>
    <row r="147" spans="1:6" ht="18" customHeight="1" x14ac:dyDescent="0.25">
      <c r="A147" s="99">
        <v>6</v>
      </c>
      <c r="B147" s="100" t="s">
        <v>117</v>
      </c>
      <c r="C147" s="97">
        <v>2730836</v>
      </c>
      <c r="D147" s="97">
        <v>2717199</v>
      </c>
      <c r="E147" s="97">
        <f t="shared" si="20"/>
        <v>-13637</v>
      </c>
      <c r="F147" s="98">
        <f t="shared" si="21"/>
        <v>-4.9937088862165285E-3</v>
      </c>
    </row>
    <row r="148" spans="1:6" ht="18" customHeight="1" x14ac:dyDescent="0.25">
      <c r="A148" s="99">
        <v>7</v>
      </c>
      <c r="B148" s="100" t="s">
        <v>118</v>
      </c>
      <c r="C148" s="97">
        <v>31020170</v>
      </c>
      <c r="D148" s="97">
        <v>29791455</v>
      </c>
      <c r="E148" s="97">
        <f t="shared" si="20"/>
        <v>-1228715</v>
      </c>
      <c r="F148" s="98">
        <f t="shared" si="21"/>
        <v>-3.9610195559856697E-2</v>
      </c>
    </row>
    <row r="149" spans="1:6" ht="18" customHeight="1" x14ac:dyDescent="0.25">
      <c r="A149" s="99">
        <v>8</v>
      </c>
      <c r="B149" s="100" t="s">
        <v>119</v>
      </c>
      <c r="C149" s="97">
        <v>1597415</v>
      </c>
      <c r="D149" s="97">
        <v>1618152</v>
      </c>
      <c r="E149" s="97">
        <f t="shared" si="20"/>
        <v>20737</v>
      </c>
      <c r="F149" s="98">
        <f t="shared" si="21"/>
        <v>1.2981598394906771E-2</v>
      </c>
    </row>
    <row r="150" spans="1:6" ht="18" customHeight="1" x14ac:dyDescent="0.25">
      <c r="A150" s="99">
        <v>9</v>
      </c>
      <c r="B150" s="100" t="s">
        <v>120</v>
      </c>
      <c r="C150" s="97">
        <v>7398856</v>
      </c>
      <c r="D150" s="97">
        <v>6946245</v>
      </c>
      <c r="E150" s="97">
        <f t="shared" si="20"/>
        <v>-452611</v>
      </c>
      <c r="F150" s="98">
        <f t="shared" si="21"/>
        <v>-6.117310568012136E-2</v>
      </c>
    </row>
    <row r="151" spans="1:6" ht="18" customHeight="1" x14ac:dyDescent="0.25">
      <c r="A151" s="99">
        <v>10</v>
      </c>
      <c r="B151" s="100" t="s">
        <v>121</v>
      </c>
      <c r="C151" s="97">
        <v>4813725</v>
      </c>
      <c r="D151" s="97">
        <v>0</v>
      </c>
      <c r="E151" s="97">
        <f t="shared" si="20"/>
        <v>-4813725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710030</v>
      </c>
      <c r="D152" s="97">
        <v>853351</v>
      </c>
      <c r="E152" s="97">
        <f t="shared" si="20"/>
        <v>143321</v>
      </c>
      <c r="F152" s="98">
        <f t="shared" si="21"/>
        <v>0.20185203442108079</v>
      </c>
    </row>
    <row r="153" spans="1:6" ht="33.75" customHeight="1" x14ac:dyDescent="0.25">
      <c r="A153" s="101"/>
      <c r="B153" s="102" t="s">
        <v>981</v>
      </c>
      <c r="C153" s="103">
        <f>SUM(C142:C152)</f>
        <v>92257853</v>
      </c>
      <c r="D153" s="103">
        <f>SUM(D142:D152)</f>
        <v>92365845</v>
      </c>
      <c r="E153" s="103">
        <f t="shared" si="20"/>
        <v>107992</v>
      </c>
      <c r="F153" s="104">
        <f t="shared" si="21"/>
        <v>1.1705453410020283E-3</v>
      </c>
    </row>
    <row r="154" spans="1:6" ht="18" customHeight="1" x14ac:dyDescent="0.25">
      <c r="A154" s="94" t="s">
        <v>124</v>
      </c>
      <c r="B154" s="95" t="s">
        <v>147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4464376</v>
      </c>
      <c r="D155" s="97">
        <v>4349618</v>
      </c>
      <c r="E155" s="97">
        <f t="shared" ref="E155:E166" si="22">D155-C155</f>
        <v>-114758</v>
      </c>
      <c r="F155" s="98">
        <f t="shared" ref="F155:F166" si="23">IF(C155=0,0,E155/C155)</f>
        <v>-2.5705272136576311E-2</v>
      </c>
    </row>
    <row r="156" spans="1:6" ht="18" customHeight="1" x14ac:dyDescent="0.25">
      <c r="A156" s="99">
        <v>2</v>
      </c>
      <c r="B156" s="100" t="s">
        <v>113</v>
      </c>
      <c r="C156" s="97">
        <v>662926</v>
      </c>
      <c r="D156" s="97">
        <v>499465</v>
      </c>
      <c r="E156" s="97">
        <f t="shared" si="22"/>
        <v>-163461</v>
      </c>
      <c r="F156" s="98">
        <f t="shared" si="23"/>
        <v>-0.24657503250739901</v>
      </c>
    </row>
    <row r="157" spans="1:6" ht="18" customHeight="1" x14ac:dyDescent="0.25">
      <c r="A157" s="99">
        <v>3</v>
      </c>
      <c r="B157" s="100" t="s">
        <v>114</v>
      </c>
      <c r="C157" s="97">
        <v>1764584</v>
      </c>
      <c r="D157" s="97">
        <v>3096918</v>
      </c>
      <c r="E157" s="97">
        <f t="shared" si="22"/>
        <v>1332334</v>
      </c>
      <c r="F157" s="98">
        <f t="shared" si="23"/>
        <v>0.75504141486038634</v>
      </c>
    </row>
    <row r="158" spans="1:6" ht="18" customHeight="1" x14ac:dyDescent="0.25">
      <c r="A158" s="99">
        <v>4</v>
      </c>
      <c r="B158" s="100" t="s">
        <v>115</v>
      </c>
      <c r="C158" s="97">
        <v>4416586</v>
      </c>
      <c r="D158" s="97">
        <v>4108415</v>
      </c>
      <c r="E158" s="97">
        <f t="shared" si="22"/>
        <v>-308171</v>
      </c>
      <c r="F158" s="98">
        <f t="shared" si="23"/>
        <v>-6.9775840434217737E-2</v>
      </c>
    </row>
    <row r="159" spans="1:6" ht="18" customHeight="1" x14ac:dyDescent="0.25">
      <c r="A159" s="99">
        <v>5</v>
      </c>
      <c r="B159" s="100" t="s">
        <v>116</v>
      </c>
      <c r="C159" s="97">
        <v>950228</v>
      </c>
      <c r="D159" s="97">
        <v>841599</v>
      </c>
      <c r="E159" s="97">
        <f t="shared" si="22"/>
        <v>-108629</v>
      </c>
      <c r="F159" s="98">
        <f t="shared" si="23"/>
        <v>-0.11431887925845166</v>
      </c>
    </row>
    <row r="160" spans="1:6" ht="18" customHeight="1" x14ac:dyDescent="0.25">
      <c r="A160" s="99">
        <v>6</v>
      </c>
      <c r="B160" s="100" t="s">
        <v>117</v>
      </c>
      <c r="C160" s="97">
        <v>2249243</v>
      </c>
      <c r="D160" s="97">
        <v>2213340</v>
      </c>
      <c r="E160" s="97">
        <f t="shared" si="22"/>
        <v>-35903</v>
      </c>
      <c r="F160" s="98">
        <f t="shared" si="23"/>
        <v>-1.5962259302351949E-2</v>
      </c>
    </row>
    <row r="161" spans="1:6" ht="18" customHeight="1" x14ac:dyDescent="0.25">
      <c r="A161" s="99">
        <v>7</v>
      </c>
      <c r="B161" s="100" t="s">
        <v>118</v>
      </c>
      <c r="C161" s="97">
        <v>22604197</v>
      </c>
      <c r="D161" s="97">
        <v>23193904</v>
      </c>
      <c r="E161" s="97">
        <f t="shared" si="22"/>
        <v>589707</v>
      </c>
      <c r="F161" s="98">
        <f t="shared" si="23"/>
        <v>2.6088385267567789E-2</v>
      </c>
    </row>
    <row r="162" spans="1:6" ht="18" customHeight="1" x14ac:dyDescent="0.25">
      <c r="A162" s="99">
        <v>8</v>
      </c>
      <c r="B162" s="100" t="s">
        <v>119</v>
      </c>
      <c r="C162" s="97">
        <v>1322542</v>
      </c>
      <c r="D162" s="97">
        <v>1276781</v>
      </c>
      <c r="E162" s="97">
        <f t="shared" si="22"/>
        <v>-45761</v>
      </c>
      <c r="F162" s="98">
        <f t="shared" si="23"/>
        <v>-3.4600791506054253E-2</v>
      </c>
    </row>
    <row r="163" spans="1:6" ht="18" customHeight="1" x14ac:dyDescent="0.25">
      <c r="A163" s="99">
        <v>9</v>
      </c>
      <c r="B163" s="100" t="s">
        <v>120</v>
      </c>
      <c r="C163" s="97">
        <v>1587794</v>
      </c>
      <c r="D163" s="97">
        <v>1639314</v>
      </c>
      <c r="E163" s="97">
        <f t="shared" si="22"/>
        <v>51520</v>
      </c>
      <c r="F163" s="98">
        <f t="shared" si="23"/>
        <v>3.2447534125963441E-2</v>
      </c>
    </row>
    <row r="164" spans="1:6" ht="18" customHeight="1" x14ac:dyDescent="0.25">
      <c r="A164" s="99">
        <v>10</v>
      </c>
      <c r="B164" s="100" t="s">
        <v>121</v>
      </c>
      <c r="C164" s="97">
        <v>746355</v>
      </c>
      <c r="D164" s="97">
        <v>0</v>
      </c>
      <c r="E164" s="97">
        <f t="shared" si="22"/>
        <v>-746355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176547</v>
      </c>
      <c r="D165" s="97">
        <v>170793</v>
      </c>
      <c r="E165" s="97">
        <f t="shared" si="22"/>
        <v>-5754</v>
      </c>
      <c r="F165" s="98">
        <f t="shared" si="23"/>
        <v>-3.2591887712620435E-2</v>
      </c>
    </row>
    <row r="166" spans="1:6" ht="33.75" customHeight="1" x14ac:dyDescent="0.25">
      <c r="A166" s="101"/>
      <c r="B166" s="102" t="s">
        <v>148</v>
      </c>
      <c r="C166" s="103">
        <f>SUM(C155:C165)</f>
        <v>40945378</v>
      </c>
      <c r="D166" s="103">
        <f>SUM(D155:D165)</f>
        <v>41390147</v>
      </c>
      <c r="E166" s="103">
        <f t="shared" si="22"/>
        <v>444769</v>
      </c>
      <c r="F166" s="104">
        <f t="shared" si="23"/>
        <v>1.0862495884150832E-2</v>
      </c>
    </row>
    <row r="167" spans="1:6" ht="18" customHeight="1" x14ac:dyDescent="0.25">
      <c r="A167" s="94" t="s">
        <v>141</v>
      </c>
      <c r="B167" s="95" t="s">
        <v>149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8420</v>
      </c>
      <c r="D168" s="117">
        <v>8684</v>
      </c>
      <c r="E168" s="117">
        <f t="shared" ref="E168:E179" si="24">D168-C168</f>
        <v>264</v>
      </c>
      <c r="F168" s="98">
        <f t="shared" ref="F168:F179" si="25">IF(C168=0,0,E168/C168)</f>
        <v>3.1353919239904986E-2</v>
      </c>
    </row>
    <row r="169" spans="1:6" ht="18" customHeight="1" x14ac:dyDescent="0.25">
      <c r="A169" s="99">
        <v>2</v>
      </c>
      <c r="B169" s="100" t="s">
        <v>113</v>
      </c>
      <c r="C169" s="117">
        <v>1176</v>
      </c>
      <c r="D169" s="117">
        <v>875</v>
      </c>
      <c r="E169" s="117">
        <f t="shared" si="24"/>
        <v>-301</v>
      </c>
      <c r="F169" s="98">
        <f t="shared" si="25"/>
        <v>-0.25595238095238093</v>
      </c>
    </row>
    <row r="170" spans="1:6" ht="18" customHeight="1" x14ac:dyDescent="0.25">
      <c r="A170" s="99">
        <v>3</v>
      </c>
      <c r="B170" s="100" t="s">
        <v>114</v>
      </c>
      <c r="C170" s="117">
        <v>5384</v>
      </c>
      <c r="D170" s="117">
        <v>8701</v>
      </c>
      <c r="E170" s="117">
        <f t="shared" si="24"/>
        <v>3317</v>
      </c>
      <c r="F170" s="98">
        <f t="shared" si="25"/>
        <v>0.61608469539375932</v>
      </c>
    </row>
    <row r="171" spans="1:6" ht="18" customHeight="1" x14ac:dyDescent="0.25">
      <c r="A171" s="99">
        <v>4</v>
      </c>
      <c r="B171" s="100" t="s">
        <v>115</v>
      </c>
      <c r="C171" s="117">
        <v>12493</v>
      </c>
      <c r="D171" s="117">
        <v>11713</v>
      </c>
      <c r="E171" s="117">
        <f t="shared" si="24"/>
        <v>-780</v>
      </c>
      <c r="F171" s="98">
        <f t="shared" si="25"/>
        <v>-6.2434963579604576E-2</v>
      </c>
    </row>
    <row r="172" spans="1:6" ht="18" customHeight="1" x14ac:dyDescent="0.25">
      <c r="A172" s="99">
        <v>5</v>
      </c>
      <c r="B172" s="100" t="s">
        <v>116</v>
      </c>
      <c r="C172" s="117">
        <v>1672</v>
      </c>
      <c r="D172" s="117">
        <v>1569</v>
      </c>
      <c r="E172" s="117">
        <f t="shared" si="24"/>
        <v>-103</v>
      </c>
      <c r="F172" s="98">
        <f t="shared" si="25"/>
        <v>-6.1602870813397131E-2</v>
      </c>
    </row>
    <row r="173" spans="1:6" ht="18" customHeight="1" x14ac:dyDescent="0.25">
      <c r="A173" s="99">
        <v>6</v>
      </c>
      <c r="B173" s="100" t="s">
        <v>117</v>
      </c>
      <c r="C173" s="117">
        <v>1242</v>
      </c>
      <c r="D173" s="117">
        <v>1378</v>
      </c>
      <c r="E173" s="117">
        <f t="shared" si="24"/>
        <v>136</v>
      </c>
      <c r="F173" s="98">
        <f t="shared" si="25"/>
        <v>0.10950080515297907</v>
      </c>
    </row>
    <row r="174" spans="1:6" ht="18" customHeight="1" x14ac:dyDescent="0.25">
      <c r="A174" s="99">
        <v>7</v>
      </c>
      <c r="B174" s="100" t="s">
        <v>118</v>
      </c>
      <c r="C174" s="117">
        <v>18714</v>
      </c>
      <c r="D174" s="117">
        <v>17078</v>
      </c>
      <c r="E174" s="117">
        <f t="shared" si="24"/>
        <v>-1636</v>
      </c>
      <c r="F174" s="98">
        <f t="shared" si="25"/>
        <v>-8.7421182002778666E-2</v>
      </c>
    </row>
    <row r="175" spans="1:6" ht="18" customHeight="1" x14ac:dyDescent="0.25">
      <c r="A175" s="99">
        <v>8</v>
      </c>
      <c r="B175" s="100" t="s">
        <v>119</v>
      </c>
      <c r="C175" s="117">
        <v>1312</v>
      </c>
      <c r="D175" s="117">
        <v>1133</v>
      </c>
      <c r="E175" s="117">
        <f t="shared" si="24"/>
        <v>-179</v>
      </c>
      <c r="F175" s="98">
        <f t="shared" si="25"/>
        <v>-0.1364329268292683</v>
      </c>
    </row>
    <row r="176" spans="1:6" ht="18" customHeight="1" x14ac:dyDescent="0.25">
      <c r="A176" s="99">
        <v>9</v>
      </c>
      <c r="B176" s="100" t="s">
        <v>120</v>
      </c>
      <c r="C176" s="117">
        <v>5308</v>
      </c>
      <c r="D176" s="117">
        <v>4773</v>
      </c>
      <c r="E176" s="117">
        <f t="shared" si="24"/>
        <v>-535</v>
      </c>
      <c r="F176" s="98">
        <f t="shared" si="25"/>
        <v>-0.1007912584777694</v>
      </c>
    </row>
    <row r="177" spans="1:6" ht="18" customHeight="1" x14ac:dyDescent="0.25">
      <c r="A177" s="99">
        <v>10</v>
      </c>
      <c r="B177" s="100" t="s">
        <v>121</v>
      </c>
      <c r="C177" s="117">
        <v>3051</v>
      </c>
      <c r="D177" s="117">
        <v>0</v>
      </c>
      <c r="E177" s="117">
        <f t="shared" si="24"/>
        <v>-3051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398</v>
      </c>
      <c r="D178" s="117">
        <v>448</v>
      </c>
      <c r="E178" s="117">
        <f t="shared" si="24"/>
        <v>50</v>
      </c>
      <c r="F178" s="98">
        <f t="shared" si="25"/>
        <v>0.12562814070351758</v>
      </c>
    </row>
    <row r="179" spans="1:6" ht="33.75" customHeight="1" x14ac:dyDescent="0.25">
      <c r="A179" s="101"/>
      <c r="B179" s="102" t="s">
        <v>150</v>
      </c>
      <c r="C179" s="118">
        <f>SUM(C168:C178)</f>
        <v>59170</v>
      </c>
      <c r="D179" s="118">
        <f>SUM(D168:D178)</f>
        <v>56352</v>
      </c>
      <c r="E179" s="118">
        <f t="shared" si="24"/>
        <v>-2818</v>
      </c>
      <c r="F179" s="104">
        <f t="shared" si="25"/>
        <v>-4.7625485888118976E-2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56" fitToHeight="0" orientation="portrait" r:id="rId1"/>
  <headerFooter>
    <oddHeader>&amp;LOFFICE OF HEALTH CARE ACCESS&amp;CTWELVE MONTHS ACTUAL FILING&amp;RWILLIAM W. BACKUS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7.4257812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20.1406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151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152</v>
      </c>
      <c r="G9" s="124"/>
    </row>
    <row r="10" spans="1:7" ht="15.75" customHeight="1" x14ac:dyDescent="0.25">
      <c r="A10" s="131" t="s">
        <v>153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154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155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156</v>
      </c>
      <c r="C15" s="146">
        <v>40612798</v>
      </c>
      <c r="D15" s="146">
        <v>39914015</v>
      </c>
      <c r="E15" s="146">
        <f>+D15-C15</f>
        <v>-698783</v>
      </c>
      <c r="F15" s="150">
        <f>IF(C15=0,0,E15/C15)</f>
        <v>-1.720598024297661E-2</v>
      </c>
    </row>
    <row r="16" spans="1:7" ht="15" customHeight="1" x14ac:dyDescent="0.2">
      <c r="A16" s="141">
        <v>2</v>
      </c>
      <c r="B16" s="149" t="s">
        <v>157</v>
      </c>
      <c r="C16" s="146">
        <v>11850977</v>
      </c>
      <c r="D16" s="146">
        <v>11095920</v>
      </c>
      <c r="E16" s="146">
        <f>+D16-C16</f>
        <v>-755057</v>
      </c>
      <c r="F16" s="150">
        <f>IF(C16=0,0,E16/C16)</f>
        <v>-6.3712637363147362E-2</v>
      </c>
    </row>
    <row r="17" spans="1:7" ht="15" customHeight="1" x14ac:dyDescent="0.2">
      <c r="A17" s="141">
        <v>3</v>
      </c>
      <c r="B17" s="149" t="s">
        <v>158</v>
      </c>
      <c r="C17" s="146">
        <v>54917330</v>
      </c>
      <c r="D17" s="146">
        <v>57392944</v>
      </c>
      <c r="E17" s="146">
        <f>+D17-C17</f>
        <v>2475614</v>
      </c>
      <c r="F17" s="150">
        <f>IF(C17=0,0,E17/C17)</f>
        <v>4.5078921353241319E-2</v>
      </c>
    </row>
    <row r="18" spans="1:7" ht="15.75" customHeight="1" x14ac:dyDescent="0.25">
      <c r="A18" s="141"/>
      <c r="B18" s="151" t="s">
        <v>159</v>
      </c>
      <c r="C18" s="147">
        <f>SUM(C15:C17)</f>
        <v>107381105</v>
      </c>
      <c r="D18" s="147">
        <f>SUM(D15:D17)</f>
        <v>108402879</v>
      </c>
      <c r="E18" s="147">
        <f>+D18-C18</f>
        <v>1021774</v>
      </c>
      <c r="F18" s="148">
        <f>IF(C18=0,0,E18/C18)</f>
        <v>9.5153984492895652E-3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160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161</v>
      </c>
      <c r="C21" s="146">
        <v>7936981</v>
      </c>
      <c r="D21" s="146">
        <v>7696604</v>
      </c>
      <c r="E21" s="146">
        <f>+D21-C21</f>
        <v>-240377</v>
      </c>
      <c r="F21" s="150">
        <f>IF(C21=0,0,E21/C21)</f>
        <v>-3.0285696790757089E-2</v>
      </c>
    </row>
    <row r="22" spans="1:7" ht="15" customHeight="1" x14ac:dyDescent="0.2">
      <c r="A22" s="141">
        <v>2</v>
      </c>
      <c r="B22" s="149" t="s">
        <v>162</v>
      </c>
      <c r="C22" s="146">
        <v>1934151</v>
      </c>
      <c r="D22" s="146">
        <v>1266332</v>
      </c>
      <c r="E22" s="146">
        <f>+D22-C22</f>
        <v>-667819</v>
      </c>
      <c r="F22" s="150">
        <f>IF(C22=0,0,E22/C22)</f>
        <v>-0.34527759208045289</v>
      </c>
    </row>
    <row r="23" spans="1:7" ht="15" customHeight="1" x14ac:dyDescent="0.2">
      <c r="A23" s="141">
        <v>3</v>
      </c>
      <c r="B23" s="149" t="s">
        <v>163</v>
      </c>
      <c r="C23" s="146">
        <v>17310311</v>
      </c>
      <c r="D23" s="146">
        <v>16692410</v>
      </c>
      <c r="E23" s="146">
        <f>+D23-C23</f>
        <v>-617901</v>
      </c>
      <c r="F23" s="150">
        <f>IF(C23=0,0,E23/C23)</f>
        <v>-3.5695545851255936E-2</v>
      </c>
    </row>
    <row r="24" spans="1:7" ht="15.75" customHeight="1" x14ac:dyDescent="0.25">
      <c r="A24" s="141"/>
      <c r="B24" s="151" t="s">
        <v>164</v>
      </c>
      <c r="C24" s="147">
        <f>SUM(C21:C23)</f>
        <v>27181443</v>
      </c>
      <c r="D24" s="147">
        <f>SUM(D21:D23)</f>
        <v>25655346</v>
      </c>
      <c r="E24" s="147">
        <f>+D24-C24</f>
        <v>-1526097</v>
      </c>
      <c r="F24" s="148">
        <f>IF(C24=0,0,E24/C24)</f>
        <v>-5.6144811737919874E-2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165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166</v>
      </c>
      <c r="C27" s="146">
        <v>0</v>
      </c>
      <c r="D27" s="146">
        <v>947879</v>
      </c>
      <c r="E27" s="146">
        <f>+D27-C27</f>
        <v>947879</v>
      </c>
      <c r="F27" s="150">
        <f>IF(C27=0,0,E27/C27)</f>
        <v>0</v>
      </c>
    </row>
    <row r="28" spans="1:7" ht="15" customHeight="1" x14ac:dyDescent="0.2">
      <c r="A28" s="141">
        <v>2</v>
      </c>
      <c r="B28" s="149" t="s">
        <v>167</v>
      </c>
      <c r="C28" s="146">
        <v>1797921</v>
      </c>
      <c r="D28" s="146">
        <v>1766978</v>
      </c>
      <c r="E28" s="146">
        <f>+D28-C28</f>
        <v>-30943</v>
      </c>
      <c r="F28" s="150">
        <f>IF(C28=0,0,E28/C28)</f>
        <v>-1.7210433606370912E-2</v>
      </c>
    </row>
    <row r="29" spans="1:7" ht="15" customHeight="1" x14ac:dyDescent="0.2">
      <c r="A29" s="141">
        <v>3</v>
      </c>
      <c r="B29" s="149" t="s">
        <v>168</v>
      </c>
      <c r="C29" s="146">
        <v>3950873</v>
      </c>
      <c r="D29" s="146">
        <v>3605001</v>
      </c>
      <c r="E29" s="146">
        <f>+D29-C29</f>
        <v>-345872</v>
      </c>
      <c r="F29" s="150">
        <f>IF(C29=0,0,E29/C29)</f>
        <v>-8.7543183493875909E-2</v>
      </c>
    </row>
    <row r="30" spans="1:7" ht="15.75" customHeight="1" x14ac:dyDescent="0.25">
      <c r="A30" s="141"/>
      <c r="B30" s="151" t="s">
        <v>169</v>
      </c>
      <c r="C30" s="147">
        <f>SUM(C27:C29)</f>
        <v>5748794</v>
      </c>
      <c r="D30" s="147">
        <f>SUM(D27:D29)</f>
        <v>6319858</v>
      </c>
      <c r="E30" s="147">
        <f>+D30-C30</f>
        <v>571064</v>
      </c>
      <c r="F30" s="148">
        <f>IF(C30=0,0,E30/C30)</f>
        <v>9.9336312972773066E-2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170</v>
      </c>
      <c r="B32" s="145" t="s">
        <v>171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172</v>
      </c>
      <c r="C33" s="146">
        <v>30933870</v>
      </c>
      <c r="D33" s="146">
        <v>30858845</v>
      </c>
      <c r="E33" s="146">
        <f>+D33-C33</f>
        <v>-75025</v>
      </c>
      <c r="F33" s="150">
        <f>IF(C33=0,0,E33/C33)</f>
        <v>-2.4253350776996217E-3</v>
      </c>
    </row>
    <row r="34" spans="1:7" ht="15" customHeight="1" x14ac:dyDescent="0.2">
      <c r="A34" s="141">
        <v>2</v>
      </c>
      <c r="B34" s="149" t="s">
        <v>173</v>
      </c>
      <c r="C34" s="146">
        <v>10711551</v>
      </c>
      <c r="D34" s="146">
        <v>10729579</v>
      </c>
      <c r="E34" s="146">
        <f>+D34-C34</f>
        <v>18028</v>
      </c>
      <c r="F34" s="150">
        <f>IF(C34=0,0,E34/C34)</f>
        <v>1.6830429132065003E-3</v>
      </c>
    </row>
    <row r="35" spans="1:7" ht="15.75" customHeight="1" x14ac:dyDescent="0.25">
      <c r="A35" s="141"/>
      <c r="B35" s="151" t="s">
        <v>174</v>
      </c>
      <c r="C35" s="147">
        <f>SUM(C33:C34)</f>
        <v>41645421</v>
      </c>
      <c r="D35" s="147">
        <f>SUM(D33:D34)</f>
        <v>41588424</v>
      </c>
      <c r="E35" s="147">
        <f>+D35-C35</f>
        <v>-56997</v>
      </c>
      <c r="F35" s="148">
        <f>IF(C35=0,0,E35/C35)</f>
        <v>-1.3686258568499044E-3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175</v>
      </c>
      <c r="B37" s="145" t="s">
        <v>176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177</v>
      </c>
      <c r="C38" s="146">
        <v>8588369</v>
      </c>
      <c r="D38" s="146">
        <v>8840289</v>
      </c>
      <c r="E38" s="146">
        <f>+D38-C38</f>
        <v>251920</v>
      </c>
      <c r="F38" s="150">
        <f>IF(C38=0,0,E38/C38)</f>
        <v>2.933269401908558E-2</v>
      </c>
    </row>
    <row r="39" spans="1:7" ht="15" customHeight="1" x14ac:dyDescent="0.2">
      <c r="A39" s="141">
        <v>2</v>
      </c>
      <c r="B39" s="149" t="s">
        <v>178</v>
      </c>
      <c r="C39" s="146">
        <v>8528880</v>
      </c>
      <c r="D39" s="146">
        <v>8039864</v>
      </c>
      <c r="E39" s="146">
        <f>+D39-C39</f>
        <v>-489016</v>
      </c>
      <c r="F39" s="150">
        <f>IF(C39=0,0,E39/C39)</f>
        <v>-5.7336484978097943E-2</v>
      </c>
    </row>
    <row r="40" spans="1:7" ht="15" customHeight="1" x14ac:dyDescent="0.2">
      <c r="A40" s="141">
        <v>3</v>
      </c>
      <c r="B40" s="149" t="s">
        <v>179</v>
      </c>
      <c r="C40" s="146">
        <v>362877</v>
      </c>
      <c r="D40" s="146">
        <v>91034</v>
      </c>
      <c r="E40" s="146">
        <f>+D40-C40</f>
        <v>-271843</v>
      </c>
      <c r="F40" s="150">
        <f>IF(C40=0,0,E40/C40)</f>
        <v>-0.74913262620667609</v>
      </c>
    </row>
    <row r="41" spans="1:7" ht="15.75" customHeight="1" x14ac:dyDescent="0.25">
      <c r="A41" s="141"/>
      <c r="B41" s="151" t="s">
        <v>180</v>
      </c>
      <c r="C41" s="147">
        <f>SUM(C38:C40)</f>
        <v>17480126</v>
      </c>
      <c r="D41" s="147">
        <f>SUM(D38:D40)</f>
        <v>16971187</v>
      </c>
      <c r="E41" s="147">
        <f>+D41-C41</f>
        <v>-508939</v>
      </c>
      <c r="F41" s="148">
        <f>IF(C41=0,0,E41/C41)</f>
        <v>-2.9115293562529239E-2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181</v>
      </c>
      <c r="B43" s="145" t="s">
        <v>182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14409876</v>
      </c>
      <c r="D44" s="146">
        <v>12522978</v>
      </c>
      <c r="E44" s="146">
        <f>+D44-C44</f>
        <v>-1886898</v>
      </c>
      <c r="F44" s="150">
        <f>IF(C44=0,0,E44/C44)</f>
        <v>-0.13094477704041313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183</v>
      </c>
      <c r="B46" s="145" t="s">
        <v>184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185</v>
      </c>
      <c r="C47" s="146">
        <v>3185038</v>
      </c>
      <c r="D47" s="146">
        <v>3247715</v>
      </c>
      <c r="E47" s="146">
        <f>+D47-C47</f>
        <v>62677</v>
      </c>
      <c r="F47" s="150">
        <f>IF(C47=0,0,E47/C47)</f>
        <v>1.9678572123786278E-2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186</v>
      </c>
      <c r="B49" s="145" t="s">
        <v>187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188</v>
      </c>
      <c r="C50" s="146">
        <v>2443084</v>
      </c>
      <c r="D50" s="146">
        <v>1344246</v>
      </c>
      <c r="E50" s="146">
        <f>+D50-C50</f>
        <v>-1098838</v>
      </c>
      <c r="F50" s="150">
        <f>IF(C50=0,0,E50/C50)</f>
        <v>-0.44977495657128447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189</v>
      </c>
      <c r="B52" s="145" t="s">
        <v>190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191</v>
      </c>
      <c r="C53" s="146">
        <v>262233</v>
      </c>
      <c r="D53" s="146">
        <v>270390</v>
      </c>
      <c r="E53" s="146">
        <f t="shared" ref="E53:E59" si="0">+D53-C53</f>
        <v>8157</v>
      </c>
      <c r="F53" s="150">
        <f t="shared" ref="F53:F59" si="1">IF(C53=0,0,E53/C53)</f>
        <v>3.1105924883595888E-2</v>
      </c>
    </row>
    <row r="54" spans="1:7" ht="15" customHeight="1" x14ac:dyDescent="0.2">
      <c r="A54" s="141">
        <v>2</v>
      </c>
      <c r="B54" s="149" t="s">
        <v>192</v>
      </c>
      <c r="C54" s="146">
        <v>1396469</v>
      </c>
      <c r="D54" s="146">
        <v>1325484</v>
      </c>
      <c r="E54" s="146">
        <f t="shared" si="0"/>
        <v>-70985</v>
      </c>
      <c r="F54" s="150">
        <f t="shared" si="1"/>
        <v>-5.0831776430411271E-2</v>
      </c>
    </row>
    <row r="55" spans="1:7" ht="15" customHeight="1" x14ac:dyDescent="0.2">
      <c r="A55" s="141">
        <v>3</v>
      </c>
      <c r="B55" s="149" t="s">
        <v>193</v>
      </c>
      <c r="C55" s="146">
        <v>36248</v>
      </c>
      <c r="D55" s="146">
        <v>42600</v>
      </c>
      <c r="E55" s="146">
        <f t="shared" si="0"/>
        <v>6352</v>
      </c>
      <c r="F55" s="150">
        <f t="shared" si="1"/>
        <v>0.17523725446921209</v>
      </c>
    </row>
    <row r="56" spans="1:7" ht="15" customHeight="1" x14ac:dyDescent="0.2">
      <c r="A56" s="141">
        <v>4</v>
      </c>
      <c r="B56" s="149" t="s">
        <v>194</v>
      </c>
      <c r="C56" s="146">
        <v>2410521</v>
      </c>
      <c r="D56" s="146">
        <v>2983942</v>
      </c>
      <c r="E56" s="146">
        <f t="shared" si="0"/>
        <v>573421</v>
      </c>
      <c r="F56" s="150">
        <f t="shared" si="1"/>
        <v>0.23788259882407164</v>
      </c>
    </row>
    <row r="57" spans="1:7" ht="15" customHeight="1" x14ac:dyDescent="0.2">
      <c r="A57" s="141">
        <v>5</v>
      </c>
      <c r="B57" s="149" t="s">
        <v>195</v>
      </c>
      <c r="C57" s="146">
        <v>473261</v>
      </c>
      <c r="D57" s="146">
        <v>483724</v>
      </c>
      <c r="E57" s="146">
        <f t="shared" si="0"/>
        <v>10463</v>
      </c>
      <c r="F57" s="150">
        <f t="shared" si="1"/>
        <v>2.2108308100604105E-2</v>
      </c>
    </row>
    <row r="58" spans="1:7" ht="15" customHeight="1" x14ac:dyDescent="0.2">
      <c r="A58" s="141">
        <v>6</v>
      </c>
      <c r="B58" s="149" t="s">
        <v>196</v>
      </c>
      <c r="C58" s="146">
        <v>37600</v>
      </c>
      <c r="D58" s="146">
        <v>39471</v>
      </c>
      <c r="E58" s="146">
        <f t="shared" si="0"/>
        <v>1871</v>
      </c>
      <c r="F58" s="150">
        <f t="shared" si="1"/>
        <v>4.9760638297872341E-2</v>
      </c>
    </row>
    <row r="59" spans="1:7" ht="15.75" customHeight="1" x14ac:dyDescent="0.25">
      <c r="A59" s="141"/>
      <c r="B59" s="151" t="s">
        <v>197</v>
      </c>
      <c r="C59" s="147">
        <f>SUM(C53:C58)</f>
        <v>4616332</v>
      </c>
      <c r="D59" s="147">
        <f>SUM(D53:D58)</f>
        <v>5145611</v>
      </c>
      <c r="E59" s="147">
        <f t="shared" si="0"/>
        <v>529279</v>
      </c>
      <c r="F59" s="148">
        <f t="shared" si="1"/>
        <v>0.11465358210804595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198</v>
      </c>
      <c r="B61" s="145" t="s">
        <v>199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200</v>
      </c>
      <c r="C62" s="146">
        <v>161316</v>
      </c>
      <c r="D62" s="146">
        <v>158170</v>
      </c>
      <c r="E62" s="146">
        <f t="shared" ref="E62:E78" si="2">+D62-C62</f>
        <v>-3146</v>
      </c>
      <c r="F62" s="150">
        <f t="shared" ref="F62:F78" si="3">IF(C62=0,0,E62/C62)</f>
        <v>-1.9502095266433584E-2</v>
      </c>
    </row>
    <row r="63" spans="1:7" ht="15" customHeight="1" x14ac:dyDescent="0.2">
      <c r="A63" s="141">
        <v>2</v>
      </c>
      <c r="B63" s="149" t="s">
        <v>201</v>
      </c>
      <c r="C63" s="146">
        <v>1687711</v>
      </c>
      <c r="D63" s="146">
        <v>972377</v>
      </c>
      <c r="E63" s="146">
        <f t="shared" si="2"/>
        <v>-715334</v>
      </c>
      <c r="F63" s="150">
        <f t="shared" si="3"/>
        <v>-0.42384863285242558</v>
      </c>
    </row>
    <row r="64" spans="1:7" ht="15" customHeight="1" x14ac:dyDescent="0.2">
      <c r="A64" s="141">
        <v>3</v>
      </c>
      <c r="B64" s="149" t="s">
        <v>202</v>
      </c>
      <c r="C64" s="146">
        <v>13152134</v>
      </c>
      <c r="D64" s="146">
        <v>3750121</v>
      </c>
      <c r="E64" s="146">
        <f t="shared" si="2"/>
        <v>-9402013</v>
      </c>
      <c r="F64" s="150">
        <f t="shared" si="3"/>
        <v>-0.71486596775854017</v>
      </c>
    </row>
    <row r="65" spans="1:7" ht="15" customHeight="1" x14ac:dyDescent="0.2">
      <c r="A65" s="141">
        <v>4</v>
      </c>
      <c r="B65" s="149" t="s">
        <v>203</v>
      </c>
      <c r="C65" s="146">
        <v>1077356</v>
      </c>
      <c r="D65" s="146">
        <v>1069580</v>
      </c>
      <c r="E65" s="146">
        <f t="shared" si="2"/>
        <v>-7776</v>
      </c>
      <c r="F65" s="150">
        <f t="shared" si="3"/>
        <v>-7.2176699252614737E-3</v>
      </c>
    </row>
    <row r="66" spans="1:7" ht="15" customHeight="1" x14ac:dyDescent="0.2">
      <c r="A66" s="141">
        <v>5</v>
      </c>
      <c r="B66" s="149" t="s">
        <v>204</v>
      </c>
      <c r="C66" s="146">
        <v>374971</v>
      </c>
      <c r="D66" s="146">
        <v>362177</v>
      </c>
      <c r="E66" s="146">
        <f t="shared" si="2"/>
        <v>-12794</v>
      </c>
      <c r="F66" s="150">
        <f t="shared" si="3"/>
        <v>-3.4119971944497042E-2</v>
      </c>
    </row>
    <row r="67" spans="1:7" ht="15" customHeight="1" x14ac:dyDescent="0.2">
      <c r="A67" s="141">
        <v>6</v>
      </c>
      <c r="B67" s="149" t="s">
        <v>205</v>
      </c>
      <c r="C67" s="146">
        <v>1133067</v>
      </c>
      <c r="D67" s="146">
        <v>961720</v>
      </c>
      <c r="E67" s="146">
        <f t="shared" si="2"/>
        <v>-171347</v>
      </c>
      <c r="F67" s="150">
        <f t="shared" si="3"/>
        <v>-0.15122406706752559</v>
      </c>
    </row>
    <row r="68" spans="1:7" ht="15" customHeight="1" x14ac:dyDescent="0.2">
      <c r="A68" s="141">
        <v>7</v>
      </c>
      <c r="B68" s="149" t="s">
        <v>206</v>
      </c>
      <c r="C68" s="146">
        <v>1038117</v>
      </c>
      <c r="D68" s="146">
        <v>1091451</v>
      </c>
      <c r="E68" s="146">
        <f t="shared" si="2"/>
        <v>53334</v>
      </c>
      <c r="F68" s="150">
        <f t="shared" si="3"/>
        <v>5.1375711986221206E-2</v>
      </c>
    </row>
    <row r="69" spans="1:7" ht="15" customHeight="1" x14ac:dyDescent="0.2">
      <c r="A69" s="141">
        <v>8</v>
      </c>
      <c r="B69" s="149" t="s">
        <v>207</v>
      </c>
      <c r="C69" s="146">
        <v>626528</v>
      </c>
      <c r="D69" s="146">
        <v>534189</v>
      </c>
      <c r="E69" s="146">
        <f t="shared" si="2"/>
        <v>-92339</v>
      </c>
      <c r="F69" s="150">
        <f t="shared" si="3"/>
        <v>-0.14738208029010674</v>
      </c>
    </row>
    <row r="70" spans="1:7" ht="15" customHeight="1" x14ac:dyDescent="0.2">
      <c r="A70" s="141">
        <v>9</v>
      </c>
      <c r="B70" s="149" t="s">
        <v>208</v>
      </c>
      <c r="C70" s="146">
        <v>60286</v>
      </c>
      <c r="D70" s="146">
        <v>110680</v>
      </c>
      <c r="E70" s="146">
        <f t="shared" si="2"/>
        <v>50394</v>
      </c>
      <c r="F70" s="150">
        <f t="shared" si="3"/>
        <v>0.83591546959493079</v>
      </c>
    </row>
    <row r="71" spans="1:7" ht="15" customHeight="1" x14ac:dyDescent="0.2">
      <c r="A71" s="141">
        <v>10</v>
      </c>
      <c r="B71" s="149" t="s">
        <v>209</v>
      </c>
      <c r="C71" s="146">
        <v>373852</v>
      </c>
      <c r="D71" s="146">
        <v>369607</v>
      </c>
      <c r="E71" s="146">
        <f t="shared" si="2"/>
        <v>-4245</v>
      </c>
      <c r="F71" s="150">
        <f t="shared" si="3"/>
        <v>-1.1354760707445727E-2</v>
      </c>
    </row>
    <row r="72" spans="1:7" ht="15" customHeight="1" x14ac:dyDescent="0.2">
      <c r="A72" s="141">
        <v>11</v>
      </c>
      <c r="B72" s="149" t="s">
        <v>210</v>
      </c>
      <c r="C72" s="146">
        <v>168754</v>
      </c>
      <c r="D72" s="146">
        <v>135241</v>
      </c>
      <c r="E72" s="146">
        <f t="shared" si="2"/>
        <v>-33513</v>
      </c>
      <c r="F72" s="150">
        <f t="shared" si="3"/>
        <v>-0.19859084821693115</v>
      </c>
    </row>
    <row r="73" spans="1:7" ht="15" customHeight="1" x14ac:dyDescent="0.2">
      <c r="A73" s="141">
        <v>12</v>
      </c>
      <c r="B73" s="149" t="s">
        <v>211</v>
      </c>
      <c r="C73" s="146">
        <v>1697869</v>
      </c>
      <c r="D73" s="146">
        <v>2046634</v>
      </c>
      <c r="E73" s="146">
        <f t="shared" si="2"/>
        <v>348765</v>
      </c>
      <c r="F73" s="150">
        <f t="shared" si="3"/>
        <v>0.20541337405889382</v>
      </c>
    </row>
    <row r="74" spans="1:7" ht="15" customHeight="1" x14ac:dyDescent="0.2">
      <c r="A74" s="141">
        <v>13</v>
      </c>
      <c r="B74" s="149" t="s">
        <v>212</v>
      </c>
      <c r="C74" s="146">
        <v>61340</v>
      </c>
      <c r="D74" s="146">
        <v>68833</v>
      </c>
      <c r="E74" s="146">
        <f t="shared" si="2"/>
        <v>7493</v>
      </c>
      <c r="F74" s="150">
        <f t="shared" si="3"/>
        <v>0.12215520052168242</v>
      </c>
    </row>
    <row r="75" spans="1:7" ht="15" customHeight="1" x14ac:dyDescent="0.2">
      <c r="A75" s="141">
        <v>14</v>
      </c>
      <c r="B75" s="149" t="s">
        <v>213</v>
      </c>
      <c r="C75" s="146">
        <v>671315</v>
      </c>
      <c r="D75" s="146">
        <v>749678</v>
      </c>
      <c r="E75" s="146">
        <f t="shared" si="2"/>
        <v>78363</v>
      </c>
      <c r="F75" s="150">
        <f t="shared" si="3"/>
        <v>0.11673059591994817</v>
      </c>
    </row>
    <row r="76" spans="1:7" ht="15" customHeight="1" x14ac:dyDescent="0.2">
      <c r="A76" s="141">
        <v>15</v>
      </c>
      <c r="B76" s="149" t="s">
        <v>214</v>
      </c>
      <c r="C76" s="146">
        <v>154483</v>
      </c>
      <c r="D76" s="146">
        <v>194970</v>
      </c>
      <c r="E76" s="146">
        <f t="shared" si="2"/>
        <v>40487</v>
      </c>
      <c r="F76" s="150">
        <f t="shared" si="3"/>
        <v>0.2620806172847498</v>
      </c>
    </row>
    <row r="77" spans="1:7" ht="15" customHeight="1" x14ac:dyDescent="0.2">
      <c r="A77" s="141">
        <v>16</v>
      </c>
      <c r="B77" s="149" t="s">
        <v>215</v>
      </c>
      <c r="C77" s="146">
        <v>15571965</v>
      </c>
      <c r="D77" s="146">
        <v>18300063</v>
      </c>
      <c r="E77" s="146">
        <f t="shared" si="2"/>
        <v>2728098</v>
      </c>
      <c r="F77" s="150">
        <f t="shared" si="3"/>
        <v>0.17519291881275098</v>
      </c>
    </row>
    <row r="78" spans="1:7" ht="15.75" customHeight="1" x14ac:dyDescent="0.25">
      <c r="A78" s="141"/>
      <c r="B78" s="151" t="s">
        <v>216</v>
      </c>
      <c r="C78" s="147">
        <f>SUM(C62:C77)</f>
        <v>38011064</v>
      </c>
      <c r="D78" s="147">
        <f>SUM(D62:D77)</f>
        <v>30875491</v>
      </c>
      <c r="E78" s="147">
        <f t="shared" si="2"/>
        <v>-7135573</v>
      </c>
      <c r="F78" s="148">
        <f t="shared" si="3"/>
        <v>-0.18772357963986486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217</v>
      </c>
      <c r="B80" s="145" t="s">
        <v>218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219</v>
      </c>
      <c r="C81" s="146">
        <v>0</v>
      </c>
      <c r="D81" s="146">
        <v>0</v>
      </c>
      <c r="E81" s="146">
        <f>+D81-C81</f>
        <v>0</v>
      </c>
      <c r="F81" s="150">
        <f>IF(C81=0,0,E81/C81)</f>
        <v>0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220</v>
      </c>
      <c r="C83" s="147">
        <f>+C81+C78+C59+C50+C47+C44+C41+C35+C30+C24+C18</f>
        <v>262102283</v>
      </c>
      <c r="D83" s="147">
        <f>+D81+D78+D59+D50+D47+D44+D41+D35+D30+D24+D18</f>
        <v>252073735</v>
      </c>
      <c r="E83" s="147">
        <f>+D83-C83</f>
        <v>-10028548</v>
      </c>
      <c r="F83" s="148">
        <f>IF(C83=0,0,E83/C83)</f>
        <v>-3.8261963555655101E-2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221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222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223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224</v>
      </c>
      <c r="C91" s="146">
        <v>59747025</v>
      </c>
      <c r="D91" s="146">
        <v>45092393</v>
      </c>
      <c r="E91" s="146">
        <f t="shared" ref="E91:E109" si="4">D91-C91</f>
        <v>-14654632</v>
      </c>
      <c r="F91" s="150">
        <f t="shared" ref="F91:F109" si="5">IF(C91=0,0,E91/C91)</f>
        <v>-0.24527802011899338</v>
      </c>
      <c r="G91" s="155"/>
    </row>
    <row r="92" spans="1:7" ht="15" customHeight="1" x14ac:dyDescent="0.2">
      <c r="A92" s="141">
        <v>2</v>
      </c>
      <c r="B92" s="161" t="s">
        <v>225</v>
      </c>
      <c r="C92" s="146">
        <v>1255493</v>
      </c>
      <c r="D92" s="146">
        <v>1220190</v>
      </c>
      <c r="E92" s="146">
        <f t="shared" si="4"/>
        <v>-35303</v>
      </c>
      <c r="F92" s="150">
        <f t="shared" si="5"/>
        <v>-2.8118834593263364E-2</v>
      </c>
      <c r="G92" s="155"/>
    </row>
    <row r="93" spans="1:7" ht="15" customHeight="1" x14ac:dyDescent="0.2">
      <c r="A93" s="141">
        <v>3</v>
      </c>
      <c r="B93" s="161" t="s">
        <v>226</v>
      </c>
      <c r="C93" s="146">
        <v>2658979</v>
      </c>
      <c r="D93" s="146">
        <v>2773551</v>
      </c>
      <c r="E93" s="146">
        <f t="shared" si="4"/>
        <v>114572</v>
      </c>
      <c r="F93" s="150">
        <f t="shared" si="5"/>
        <v>4.3088719391916976E-2</v>
      </c>
      <c r="G93" s="155"/>
    </row>
    <row r="94" spans="1:7" ht="15" customHeight="1" x14ac:dyDescent="0.2">
      <c r="A94" s="141">
        <v>4</v>
      </c>
      <c r="B94" s="161" t="s">
        <v>227</v>
      </c>
      <c r="C94" s="146">
        <v>2599801</v>
      </c>
      <c r="D94" s="146">
        <v>2768080</v>
      </c>
      <c r="E94" s="146">
        <f t="shared" si="4"/>
        <v>168279</v>
      </c>
      <c r="F94" s="150">
        <f t="shared" si="5"/>
        <v>6.4727646462171523E-2</v>
      </c>
      <c r="G94" s="155"/>
    </row>
    <row r="95" spans="1:7" ht="15" customHeight="1" x14ac:dyDescent="0.2">
      <c r="A95" s="141">
        <v>5</v>
      </c>
      <c r="B95" s="161" t="s">
        <v>228</v>
      </c>
      <c r="C95" s="146">
        <v>7446721</v>
      </c>
      <c r="D95" s="146">
        <v>8908110</v>
      </c>
      <c r="E95" s="146">
        <f t="shared" si="4"/>
        <v>1461389</v>
      </c>
      <c r="F95" s="150">
        <f t="shared" si="5"/>
        <v>0.19624597188480675</v>
      </c>
      <c r="G95" s="155"/>
    </row>
    <row r="96" spans="1:7" ht="15" customHeight="1" x14ac:dyDescent="0.2">
      <c r="A96" s="141">
        <v>6</v>
      </c>
      <c r="B96" s="161" t="s">
        <v>229</v>
      </c>
      <c r="C96" s="146">
        <v>392539</v>
      </c>
      <c r="D96" s="146">
        <v>227608</v>
      </c>
      <c r="E96" s="146">
        <f t="shared" si="4"/>
        <v>-164931</v>
      </c>
      <c r="F96" s="150">
        <f t="shared" si="5"/>
        <v>-0.42016462058547049</v>
      </c>
      <c r="G96" s="155"/>
    </row>
    <row r="97" spans="1:7" ht="15" customHeight="1" x14ac:dyDescent="0.2">
      <c r="A97" s="141">
        <v>7</v>
      </c>
      <c r="B97" s="161" t="s">
        <v>230</v>
      </c>
      <c r="C97" s="146">
        <v>29525066</v>
      </c>
      <c r="D97" s="146">
        <v>30500666</v>
      </c>
      <c r="E97" s="146">
        <f t="shared" si="4"/>
        <v>975600</v>
      </c>
      <c r="F97" s="150">
        <f t="shared" si="5"/>
        <v>3.3043109878230247E-2</v>
      </c>
      <c r="G97" s="155"/>
    </row>
    <row r="98" spans="1:7" ht="15" customHeight="1" x14ac:dyDescent="0.2">
      <c r="A98" s="141">
        <v>8</v>
      </c>
      <c r="B98" s="161" t="s">
        <v>231</v>
      </c>
      <c r="C98" s="146">
        <v>1109444</v>
      </c>
      <c r="D98" s="146">
        <v>1217313</v>
      </c>
      <c r="E98" s="146">
        <f t="shared" si="4"/>
        <v>107869</v>
      </c>
      <c r="F98" s="150">
        <f t="shared" si="5"/>
        <v>9.7227980862486074E-2</v>
      </c>
      <c r="G98" s="155"/>
    </row>
    <row r="99" spans="1:7" ht="15" customHeight="1" x14ac:dyDescent="0.2">
      <c r="A99" s="141">
        <v>9</v>
      </c>
      <c r="B99" s="161" t="s">
        <v>232</v>
      </c>
      <c r="C99" s="146">
        <v>1159243</v>
      </c>
      <c r="D99" s="146">
        <v>985191</v>
      </c>
      <c r="E99" s="146">
        <f t="shared" si="4"/>
        <v>-174052</v>
      </c>
      <c r="F99" s="150">
        <f t="shared" si="5"/>
        <v>-0.1501428087122372</v>
      </c>
      <c r="G99" s="155"/>
    </row>
    <row r="100" spans="1:7" ht="15" customHeight="1" x14ac:dyDescent="0.2">
      <c r="A100" s="141">
        <v>10</v>
      </c>
      <c r="B100" s="161" t="s">
        <v>233</v>
      </c>
      <c r="C100" s="146">
        <v>3261812</v>
      </c>
      <c r="D100" s="146">
        <v>3243831</v>
      </c>
      <c r="E100" s="146">
        <f t="shared" si="4"/>
        <v>-17981</v>
      </c>
      <c r="F100" s="150">
        <f t="shared" si="5"/>
        <v>-5.5125801241763779E-3</v>
      </c>
      <c r="G100" s="155"/>
    </row>
    <row r="101" spans="1:7" ht="15" customHeight="1" x14ac:dyDescent="0.2">
      <c r="A101" s="141">
        <v>11</v>
      </c>
      <c r="B101" s="161" t="s">
        <v>234</v>
      </c>
      <c r="C101" s="146">
        <v>2703461</v>
      </c>
      <c r="D101" s="146">
        <v>2593379</v>
      </c>
      <c r="E101" s="146">
        <f t="shared" si="4"/>
        <v>-110082</v>
      </c>
      <c r="F101" s="150">
        <f t="shared" si="5"/>
        <v>-4.0718915493879883E-2</v>
      </c>
      <c r="G101" s="155"/>
    </row>
    <row r="102" spans="1:7" ht="15" customHeight="1" x14ac:dyDescent="0.2">
      <c r="A102" s="141">
        <v>12</v>
      </c>
      <c r="B102" s="161" t="s">
        <v>235</v>
      </c>
      <c r="C102" s="146">
        <v>148927</v>
      </c>
      <c r="D102" s="146">
        <v>131283</v>
      </c>
      <c r="E102" s="146">
        <f t="shared" si="4"/>
        <v>-17644</v>
      </c>
      <c r="F102" s="150">
        <f t="shared" si="5"/>
        <v>-0.11847415176563014</v>
      </c>
      <c r="G102" s="155"/>
    </row>
    <row r="103" spans="1:7" ht="15" customHeight="1" x14ac:dyDescent="0.2">
      <c r="A103" s="141">
        <v>13</v>
      </c>
      <c r="B103" s="161" t="s">
        <v>236</v>
      </c>
      <c r="C103" s="146">
        <v>5846025</v>
      </c>
      <c r="D103" s="146">
        <v>6025261</v>
      </c>
      <c r="E103" s="146">
        <f t="shared" si="4"/>
        <v>179236</v>
      </c>
      <c r="F103" s="150">
        <f t="shared" si="5"/>
        <v>3.0659465192160486E-2</v>
      </c>
      <c r="G103" s="155"/>
    </row>
    <row r="104" spans="1:7" ht="15" customHeight="1" x14ac:dyDescent="0.2">
      <c r="A104" s="141">
        <v>14</v>
      </c>
      <c r="B104" s="161" t="s">
        <v>237</v>
      </c>
      <c r="C104" s="146">
        <v>1243640</v>
      </c>
      <c r="D104" s="146">
        <v>1278567</v>
      </c>
      <c r="E104" s="146">
        <f t="shared" si="4"/>
        <v>34927</v>
      </c>
      <c r="F104" s="150">
        <f t="shared" si="5"/>
        <v>2.8084493904988583E-2</v>
      </c>
      <c r="G104" s="155"/>
    </row>
    <row r="105" spans="1:7" ht="15" customHeight="1" x14ac:dyDescent="0.2">
      <c r="A105" s="141">
        <v>15</v>
      </c>
      <c r="B105" s="161" t="s">
        <v>206</v>
      </c>
      <c r="C105" s="146">
        <v>2340698</v>
      </c>
      <c r="D105" s="146">
        <v>2240585</v>
      </c>
      <c r="E105" s="146">
        <f t="shared" si="4"/>
        <v>-100113</v>
      </c>
      <c r="F105" s="150">
        <f t="shared" si="5"/>
        <v>-4.2770575272845966E-2</v>
      </c>
      <c r="G105" s="155"/>
    </row>
    <row r="106" spans="1:7" ht="15" customHeight="1" x14ac:dyDescent="0.2">
      <c r="A106" s="141">
        <v>16</v>
      </c>
      <c r="B106" s="161" t="s">
        <v>238</v>
      </c>
      <c r="C106" s="146">
        <v>1650375</v>
      </c>
      <c r="D106" s="146">
        <v>1605071</v>
      </c>
      <c r="E106" s="146">
        <f t="shared" si="4"/>
        <v>-45304</v>
      </c>
      <c r="F106" s="150">
        <f t="shared" si="5"/>
        <v>-2.7450730894493677E-2</v>
      </c>
      <c r="G106" s="155"/>
    </row>
    <row r="107" spans="1:7" ht="15" customHeight="1" x14ac:dyDescent="0.2">
      <c r="A107" s="141">
        <v>17</v>
      </c>
      <c r="B107" s="161" t="s">
        <v>239</v>
      </c>
      <c r="C107" s="146">
        <v>13368665</v>
      </c>
      <c r="D107" s="146">
        <v>13346562</v>
      </c>
      <c r="E107" s="146">
        <f t="shared" si="4"/>
        <v>-22103</v>
      </c>
      <c r="F107" s="150">
        <f t="shared" si="5"/>
        <v>-1.6533438454774654E-3</v>
      </c>
      <c r="G107" s="155"/>
    </row>
    <row r="108" spans="1:7" ht="15" customHeight="1" x14ac:dyDescent="0.2">
      <c r="A108" s="141">
        <v>18</v>
      </c>
      <c r="B108" s="161" t="s">
        <v>240</v>
      </c>
      <c r="C108" s="146">
        <v>0</v>
      </c>
      <c r="D108" s="146">
        <v>0</v>
      </c>
      <c r="E108" s="146">
        <f t="shared" si="4"/>
        <v>0</v>
      </c>
      <c r="F108" s="150">
        <f t="shared" si="5"/>
        <v>0</v>
      </c>
      <c r="G108" s="155"/>
    </row>
    <row r="109" spans="1:7" ht="15.75" customHeight="1" x14ac:dyDescent="0.25">
      <c r="A109" s="141"/>
      <c r="B109" s="154" t="s">
        <v>241</v>
      </c>
      <c r="C109" s="147">
        <f>SUM(C91:C108)</f>
        <v>136457914</v>
      </c>
      <c r="D109" s="147">
        <f>SUM(D91:D108)</f>
        <v>124157641</v>
      </c>
      <c r="E109" s="147">
        <f t="shared" si="4"/>
        <v>-12300273</v>
      </c>
      <c r="F109" s="148">
        <f t="shared" si="5"/>
        <v>-9.0139682188018794E-2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242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243</v>
      </c>
      <c r="C112" s="146">
        <v>364534</v>
      </c>
      <c r="D112" s="146">
        <v>472710</v>
      </c>
      <c r="E112" s="146">
        <f t="shared" ref="E112:E118" si="6">D112-C112</f>
        <v>108176</v>
      </c>
      <c r="F112" s="150">
        <f t="shared" ref="F112:F118" si="7">IF(C112=0,0,E112/C112)</f>
        <v>0.29675146899877652</v>
      </c>
      <c r="G112" s="155"/>
    </row>
    <row r="113" spans="1:7" ht="15" customHeight="1" x14ac:dyDescent="0.2">
      <c r="A113" s="141">
        <v>2</v>
      </c>
      <c r="B113" s="161" t="s">
        <v>244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245</v>
      </c>
      <c r="C114" s="146">
        <v>1447097</v>
      </c>
      <c r="D114" s="146">
        <v>2115775</v>
      </c>
      <c r="E114" s="146">
        <f t="shared" si="6"/>
        <v>668678</v>
      </c>
      <c r="F114" s="150">
        <f t="shared" si="7"/>
        <v>0.46208236213605586</v>
      </c>
      <c r="G114" s="155"/>
    </row>
    <row r="115" spans="1:7" ht="15" customHeight="1" x14ac:dyDescent="0.2">
      <c r="A115" s="141">
        <v>4</v>
      </c>
      <c r="B115" s="161" t="s">
        <v>246</v>
      </c>
      <c r="C115" s="146">
        <v>2934730</v>
      </c>
      <c r="D115" s="146">
        <v>2984509</v>
      </c>
      <c r="E115" s="146">
        <f t="shared" si="6"/>
        <v>49779</v>
      </c>
      <c r="F115" s="150">
        <f t="shared" si="7"/>
        <v>1.6962037393559202E-2</v>
      </c>
      <c r="G115" s="155"/>
    </row>
    <row r="116" spans="1:7" ht="15" customHeight="1" x14ac:dyDescent="0.2">
      <c r="A116" s="141">
        <v>5</v>
      </c>
      <c r="B116" s="161" t="s">
        <v>247</v>
      </c>
      <c r="C116" s="146">
        <v>1726596</v>
      </c>
      <c r="D116" s="146">
        <v>1870074</v>
      </c>
      <c r="E116" s="146">
        <f t="shared" si="6"/>
        <v>143478</v>
      </c>
      <c r="F116" s="150">
        <f t="shared" si="7"/>
        <v>8.309876774879589E-2</v>
      </c>
      <c r="G116" s="155"/>
    </row>
    <row r="117" spans="1:7" ht="15" customHeight="1" x14ac:dyDescent="0.2">
      <c r="A117" s="141">
        <v>6</v>
      </c>
      <c r="B117" s="161" t="s">
        <v>248</v>
      </c>
      <c r="C117" s="146">
        <v>1475915</v>
      </c>
      <c r="D117" s="146">
        <v>1458337</v>
      </c>
      <c r="E117" s="146">
        <f t="shared" si="6"/>
        <v>-17578</v>
      </c>
      <c r="F117" s="150">
        <f t="shared" si="7"/>
        <v>-1.1909899960363571E-2</v>
      </c>
      <c r="G117" s="155"/>
    </row>
    <row r="118" spans="1:7" ht="15.75" customHeight="1" x14ac:dyDescent="0.25">
      <c r="A118" s="141"/>
      <c r="B118" s="154" t="s">
        <v>249</v>
      </c>
      <c r="C118" s="147">
        <f>SUM(C112:C117)</f>
        <v>7948872</v>
      </c>
      <c r="D118" s="147">
        <f>SUM(D112:D117)</f>
        <v>8901405</v>
      </c>
      <c r="E118" s="147">
        <f t="shared" si="6"/>
        <v>952533</v>
      </c>
      <c r="F118" s="148">
        <f t="shared" si="7"/>
        <v>0.11983247434352949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250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251</v>
      </c>
      <c r="C121" s="146">
        <v>10064234</v>
      </c>
      <c r="D121" s="146">
        <v>9298879</v>
      </c>
      <c r="E121" s="146">
        <f t="shared" ref="E121:E155" si="8">D121-C121</f>
        <v>-765355</v>
      </c>
      <c r="F121" s="150">
        <f t="shared" ref="F121:F155" si="9">IF(C121=0,0,E121/C121)</f>
        <v>-7.6047019574465385E-2</v>
      </c>
      <c r="G121" s="155"/>
    </row>
    <row r="122" spans="1:7" ht="15" customHeight="1" x14ac:dyDescent="0.2">
      <c r="A122" s="141">
        <v>2</v>
      </c>
      <c r="B122" s="161" t="s">
        <v>252</v>
      </c>
      <c r="C122" s="146">
        <v>2206514</v>
      </c>
      <c r="D122" s="146">
        <v>2126059</v>
      </c>
      <c r="E122" s="146">
        <f t="shared" si="8"/>
        <v>-80455</v>
      </c>
      <c r="F122" s="150">
        <f t="shared" si="9"/>
        <v>-3.646249242017046E-2</v>
      </c>
      <c r="G122" s="155"/>
    </row>
    <row r="123" spans="1:7" ht="15" customHeight="1" x14ac:dyDescent="0.2">
      <c r="A123" s="141">
        <v>3</v>
      </c>
      <c r="B123" s="161" t="s">
        <v>253</v>
      </c>
      <c r="C123" s="146">
        <v>1229735</v>
      </c>
      <c r="D123" s="146">
        <v>1155436</v>
      </c>
      <c r="E123" s="146">
        <f t="shared" si="8"/>
        <v>-74299</v>
      </c>
      <c r="F123" s="150">
        <f t="shared" si="9"/>
        <v>-6.0418708095646624E-2</v>
      </c>
      <c r="G123" s="155"/>
    </row>
    <row r="124" spans="1:7" ht="15" customHeight="1" x14ac:dyDescent="0.2">
      <c r="A124" s="141">
        <v>4</v>
      </c>
      <c r="B124" s="161" t="s">
        <v>254</v>
      </c>
      <c r="C124" s="146">
        <v>0</v>
      </c>
      <c r="D124" s="146">
        <v>0</v>
      </c>
      <c r="E124" s="146">
        <f t="shared" si="8"/>
        <v>0</v>
      </c>
      <c r="F124" s="150">
        <f t="shared" si="9"/>
        <v>0</v>
      </c>
      <c r="G124" s="155"/>
    </row>
    <row r="125" spans="1:7" ht="15" customHeight="1" x14ac:dyDescent="0.2">
      <c r="A125" s="141">
        <v>5</v>
      </c>
      <c r="B125" s="161" t="s">
        <v>255</v>
      </c>
      <c r="C125" s="146">
        <v>7948548</v>
      </c>
      <c r="D125" s="146">
        <v>8748643</v>
      </c>
      <c r="E125" s="146">
        <f t="shared" si="8"/>
        <v>800095</v>
      </c>
      <c r="F125" s="150">
        <f t="shared" si="9"/>
        <v>0.10065926506325432</v>
      </c>
      <c r="G125" s="155"/>
    </row>
    <row r="126" spans="1:7" ht="15" customHeight="1" x14ac:dyDescent="0.2">
      <c r="A126" s="141">
        <v>6</v>
      </c>
      <c r="B126" s="161" t="s">
        <v>256</v>
      </c>
      <c r="C126" s="146">
        <v>1190662</v>
      </c>
      <c r="D126" s="146">
        <v>1401204</v>
      </c>
      <c r="E126" s="146">
        <f t="shared" si="8"/>
        <v>210542</v>
      </c>
      <c r="F126" s="150">
        <f t="shared" si="9"/>
        <v>0.1768276807355908</v>
      </c>
      <c r="G126" s="155"/>
    </row>
    <row r="127" spans="1:7" ht="15" customHeight="1" x14ac:dyDescent="0.2">
      <c r="A127" s="141">
        <v>7</v>
      </c>
      <c r="B127" s="161" t="s">
        <v>257</v>
      </c>
      <c r="C127" s="146">
        <v>3052516</v>
      </c>
      <c r="D127" s="146">
        <v>3195481</v>
      </c>
      <c r="E127" s="146">
        <f t="shared" si="8"/>
        <v>142965</v>
      </c>
      <c r="F127" s="150">
        <f t="shared" si="9"/>
        <v>4.6835135344089923E-2</v>
      </c>
      <c r="G127" s="155"/>
    </row>
    <row r="128" spans="1:7" ht="15" customHeight="1" x14ac:dyDescent="0.2">
      <c r="A128" s="141">
        <v>8</v>
      </c>
      <c r="B128" s="161" t="s">
        <v>258</v>
      </c>
      <c r="C128" s="146">
        <v>1110460</v>
      </c>
      <c r="D128" s="146">
        <v>1099386</v>
      </c>
      <c r="E128" s="146">
        <f t="shared" si="8"/>
        <v>-11074</v>
      </c>
      <c r="F128" s="150">
        <f t="shared" si="9"/>
        <v>-9.9724438520973294E-3</v>
      </c>
      <c r="G128" s="155"/>
    </row>
    <row r="129" spans="1:7" ht="15" customHeight="1" x14ac:dyDescent="0.2">
      <c r="A129" s="141">
        <v>9</v>
      </c>
      <c r="B129" s="161" t="s">
        <v>259</v>
      </c>
      <c r="C129" s="146">
        <v>2003193</v>
      </c>
      <c r="D129" s="146">
        <v>2007427</v>
      </c>
      <c r="E129" s="146">
        <f t="shared" si="8"/>
        <v>4234</v>
      </c>
      <c r="F129" s="150">
        <f t="shared" si="9"/>
        <v>2.1136255967348127E-3</v>
      </c>
      <c r="G129" s="155"/>
    </row>
    <row r="130" spans="1:7" ht="15" customHeight="1" x14ac:dyDescent="0.2">
      <c r="A130" s="141">
        <v>10</v>
      </c>
      <c r="B130" s="161" t="s">
        <v>260</v>
      </c>
      <c r="C130" s="146">
        <v>10780296</v>
      </c>
      <c r="D130" s="146">
        <v>11024380</v>
      </c>
      <c r="E130" s="146">
        <f t="shared" si="8"/>
        <v>244084</v>
      </c>
      <c r="F130" s="150">
        <f t="shared" si="9"/>
        <v>2.2641678855571314E-2</v>
      </c>
      <c r="G130" s="155"/>
    </row>
    <row r="131" spans="1:7" ht="15" customHeight="1" x14ac:dyDescent="0.2">
      <c r="A131" s="141">
        <v>11</v>
      </c>
      <c r="B131" s="161" t="s">
        <v>261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262</v>
      </c>
      <c r="C132" s="146">
        <v>1397799</v>
      </c>
      <c r="D132" s="146">
        <v>1298385</v>
      </c>
      <c r="E132" s="146">
        <f t="shared" si="8"/>
        <v>-99414</v>
      </c>
      <c r="F132" s="150">
        <f t="shared" si="9"/>
        <v>-7.1121813651318963E-2</v>
      </c>
      <c r="G132" s="155"/>
    </row>
    <row r="133" spans="1:7" ht="15" customHeight="1" x14ac:dyDescent="0.2">
      <c r="A133" s="141">
        <v>13</v>
      </c>
      <c r="B133" s="161" t="s">
        <v>263</v>
      </c>
      <c r="C133" s="146">
        <v>225326</v>
      </c>
      <c r="D133" s="146">
        <v>235781</v>
      </c>
      <c r="E133" s="146">
        <f t="shared" si="8"/>
        <v>10455</v>
      </c>
      <c r="F133" s="150">
        <f t="shared" si="9"/>
        <v>4.6399439034998179E-2</v>
      </c>
      <c r="G133" s="155"/>
    </row>
    <row r="134" spans="1:7" ht="15" customHeight="1" x14ac:dyDescent="0.2">
      <c r="A134" s="141">
        <v>14</v>
      </c>
      <c r="B134" s="161" t="s">
        <v>264</v>
      </c>
      <c r="C134" s="146">
        <v>136933</v>
      </c>
      <c r="D134" s="146">
        <v>148588</v>
      </c>
      <c r="E134" s="146">
        <f t="shared" si="8"/>
        <v>11655</v>
      </c>
      <c r="F134" s="150">
        <f t="shared" si="9"/>
        <v>8.5114618097901898E-2</v>
      </c>
      <c r="G134" s="155"/>
    </row>
    <row r="135" spans="1:7" ht="15" customHeight="1" x14ac:dyDescent="0.2">
      <c r="A135" s="141">
        <v>15</v>
      </c>
      <c r="B135" s="161" t="s">
        <v>265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266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267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268</v>
      </c>
      <c r="C138" s="146">
        <v>1971534</v>
      </c>
      <c r="D138" s="146">
        <v>1874778</v>
      </c>
      <c r="E138" s="146">
        <f t="shared" si="8"/>
        <v>-96756</v>
      </c>
      <c r="F138" s="150">
        <f t="shared" si="9"/>
        <v>-4.9076505908597065E-2</v>
      </c>
      <c r="G138" s="155"/>
    </row>
    <row r="139" spans="1:7" ht="15" customHeight="1" x14ac:dyDescent="0.2">
      <c r="A139" s="141">
        <v>19</v>
      </c>
      <c r="B139" s="161" t="s">
        <v>269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20</v>
      </c>
      <c r="B140" s="161" t="s">
        <v>270</v>
      </c>
      <c r="C140" s="146">
        <v>1144312</v>
      </c>
      <c r="D140" s="146">
        <v>1103572</v>
      </c>
      <c r="E140" s="146">
        <f t="shared" si="8"/>
        <v>-40740</v>
      </c>
      <c r="F140" s="150">
        <f t="shared" si="9"/>
        <v>-3.5602178426862606E-2</v>
      </c>
      <c r="G140" s="155"/>
    </row>
    <row r="141" spans="1:7" ht="15" customHeight="1" x14ac:dyDescent="0.2">
      <c r="A141" s="141">
        <v>21</v>
      </c>
      <c r="B141" s="161" t="s">
        <v>271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272</v>
      </c>
      <c r="C142" s="146">
        <v>1993786</v>
      </c>
      <c r="D142" s="146">
        <v>1589580</v>
      </c>
      <c r="E142" s="146">
        <f t="shared" si="8"/>
        <v>-404206</v>
      </c>
      <c r="F142" s="150">
        <f t="shared" si="9"/>
        <v>-0.2027328910926248</v>
      </c>
      <c r="G142" s="155"/>
    </row>
    <row r="143" spans="1:7" ht="15" customHeight="1" x14ac:dyDescent="0.2">
      <c r="A143" s="141">
        <v>23</v>
      </c>
      <c r="B143" s="161" t="s">
        <v>273</v>
      </c>
      <c r="C143" s="146">
        <v>523255</v>
      </c>
      <c r="D143" s="146">
        <v>615670</v>
      </c>
      <c r="E143" s="146">
        <f t="shared" si="8"/>
        <v>92415</v>
      </c>
      <c r="F143" s="150">
        <f t="shared" si="9"/>
        <v>0.17661560806872367</v>
      </c>
      <c r="G143" s="155"/>
    </row>
    <row r="144" spans="1:7" ht="15" customHeight="1" x14ac:dyDescent="0.2">
      <c r="A144" s="141">
        <v>24</v>
      </c>
      <c r="B144" s="161" t="s">
        <v>274</v>
      </c>
      <c r="C144" s="146">
        <v>14824028</v>
      </c>
      <c r="D144" s="146">
        <v>14607816</v>
      </c>
      <c r="E144" s="146">
        <f t="shared" si="8"/>
        <v>-216212</v>
      </c>
      <c r="F144" s="150">
        <f t="shared" si="9"/>
        <v>-1.4585239585354265E-2</v>
      </c>
      <c r="G144" s="155"/>
    </row>
    <row r="145" spans="1:7" ht="15" customHeight="1" x14ac:dyDescent="0.2">
      <c r="A145" s="141">
        <v>25</v>
      </c>
      <c r="B145" s="161" t="s">
        <v>275</v>
      </c>
      <c r="C145" s="146">
        <v>2516057</v>
      </c>
      <c r="D145" s="146">
        <v>2887133</v>
      </c>
      <c r="E145" s="146">
        <f t="shared" si="8"/>
        <v>371076</v>
      </c>
      <c r="F145" s="150">
        <f t="shared" si="9"/>
        <v>0.14748314525465839</v>
      </c>
      <c r="G145" s="155"/>
    </row>
    <row r="146" spans="1:7" ht="15" customHeight="1" x14ac:dyDescent="0.2">
      <c r="A146" s="141">
        <v>26</v>
      </c>
      <c r="B146" s="161" t="s">
        <v>276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277</v>
      </c>
      <c r="C147" s="146">
        <v>751571</v>
      </c>
      <c r="D147" s="146">
        <v>680941</v>
      </c>
      <c r="E147" s="146">
        <f t="shared" si="8"/>
        <v>-70630</v>
      </c>
      <c r="F147" s="150">
        <f t="shared" si="9"/>
        <v>-9.3976483925005086E-2</v>
      </c>
      <c r="G147" s="155"/>
    </row>
    <row r="148" spans="1:7" ht="15" customHeight="1" x14ac:dyDescent="0.2">
      <c r="A148" s="141">
        <v>28</v>
      </c>
      <c r="B148" s="161" t="s">
        <v>278</v>
      </c>
      <c r="C148" s="146">
        <v>1280992</v>
      </c>
      <c r="D148" s="146">
        <v>1139984</v>
      </c>
      <c r="E148" s="146">
        <f t="shared" si="8"/>
        <v>-141008</v>
      </c>
      <c r="F148" s="150">
        <f t="shared" si="9"/>
        <v>-0.11007719017761235</v>
      </c>
      <c r="G148" s="155"/>
    </row>
    <row r="149" spans="1:7" ht="15" customHeight="1" x14ac:dyDescent="0.2">
      <c r="A149" s="141">
        <v>29</v>
      </c>
      <c r="B149" s="161" t="s">
        <v>279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280</v>
      </c>
      <c r="C150" s="146">
        <v>321828</v>
      </c>
      <c r="D150" s="146">
        <v>241131</v>
      </c>
      <c r="E150" s="146">
        <f t="shared" si="8"/>
        <v>-80697</v>
      </c>
      <c r="F150" s="150">
        <f t="shared" si="9"/>
        <v>-0.25074573996047578</v>
      </c>
      <c r="G150" s="155"/>
    </row>
    <row r="151" spans="1:7" ht="15" customHeight="1" x14ac:dyDescent="0.2">
      <c r="A151" s="141">
        <v>31</v>
      </c>
      <c r="B151" s="161" t="s">
        <v>281</v>
      </c>
      <c r="C151" s="146">
        <v>1499554</v>
      </c>
      <c r="D151" s="146">
        <v>1350207</v>
      </c>
      <c r="E151" s="146">
        <f t="shared" si="8"/>
        <v>-149347</v>
      </c>
      <c r="F151" s="150">
        <f t="shared" si="9"/>
        <v>-9.9594279365731411E-2</v>
      </c>
      <c r="G151" s="155"/>
    </row>
    <row r="152" spans="1:7" ht="15" customHeight="1" x14ac:dyDescent="0.2">
      <c r="A152" s="141">
        <v>32</v>
      </c>
      <c r="B152" s="161" t="s">
        <v>282</v>
      </c>
      <c r="C152" s="146">
        <v>1801026</v>
      </c>
      <c r="D152" s="146">
        <v>2140351</v>
      </c>
      <c r="E152" s="146">
        <f t="shared" si="8"/>
        <v>339325</v>
      </c>
      <c r="F152" s="150">
        <f t="shared" si="9"/>
        <v>0.18840649718549315</v>
      </c>
      <c r="G152" s="155"/>
    </row>
    <row r="153" spans="1:7" ht="15" customHeight="1" x14ac:dyDescent="0.2">
      <c r="A153" s="141">
        <v>33</v>
      </c>
      <c r="B153" s="161" t="s">
        <v>283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284</v>
      </c>
      <c r="C154" s="146">
        <v>15838336</v>
      </c>
      <c r="D154" s="146">
        <v>16556406</v>
      </c>
      <c r="E154" s="146">
        <f t="shared" si="8"/>
        <v>718070</v>
      </c>
      <c r="F154" s="150">
        <f t="shared" si="9"/>
        <v>4.533746474377106E-2</v>
      </c>
      <c r="G154" s="155"/>
    </row>
    <row r="155" spans="1:7" ht="15.75" customHeight="1" x14ac:dyDescent="0.25">
      <c r="A155" s="141"/>
      <c r="B155" s="154" t="s">
        <v>285</v>
      </c>
      <c r="C155" s="147">
        <f>SUM(C121:C154)</f>
        <v>85812495</v>
      </c>
      <c r="D155" s="147">
        <f>SUM(D121:D154)</f>
        <v>86527218</v>
      </c>
      <c r="E155" s="147">
        <f t="shared" si="8"/>
        <v>714723</v>
      </c>
      <c r="F155" s="148">
        <f t="shared" si="9"/>
        <v>8.3288919638101651E-3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170</v>
      </c>
      <c r="B157" s="145" t="s">
        <v>286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287</v>
      </c>
      <c r="C158" s="146">
        <v>18299070</v>
      </c>
      <c r="D158" s="146">
        <v>18937783</v>
      </c>
      <c r="E158" s="146">
        <f t="shared" ref="E158:E171" si="10">D158-C158</f>
        <v>638713</v>
      </c>
      <c r="F158" s="150">
        <f t="shared" ref="F158:F171" si="11">IF(C158=0,0,E158/C158)</f>
        <v>3.4904123542890429E-2</v>
      </c>
      <c r="G158" s="155"/>
    </row>
    <row r="159" spans="1:7" ht="15" customHeight="1" x14ac:dyDescent="0.2">
      <c r="A159" s="141">
        <v>2</v>
      </c>
      <c r="B159" s="161" t="s">
        <v>288</v>
      </c>
      <c r="C159" s="146">
        <v>3107920</v>
      </c>
      <c r="D159" s="146">
        <v>3156837</v>
      </c>
      <c r="E159" s="146">
        <f t="shared" si="10"/>
        <v>48917</v>
      </c>
      <c r="F159" s="150">
        <f t="shared" si="11"/>
        <v>1.5739465623310769E-2</v>
      </c>
      <c r="G159" s="155"/>
    </row>
    <row r="160" spans="1:7" ht="15" customHeight="1" x14ac:dyDescent="0.2">
      <c r="A160" s="141">
        <v>3</v>
      </c>
      <c r="B160" s="161" t="s">
        <v>289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290</v>
      </c>
      <c r="C161" s="146">
        <v>2094332</v>
      </c>
      <c r="D161" s="146">
        <v>2107786</v>
      </c>
      <c r="E161" s="146">
        <f t="shared" si="10"/>
        <v>13454</v>
      </c>
      <c r="F161" s="150">
        <f t="shared" si="11"/>
        <v>6.4240053630465468E-3</v>
      </c>
      <c r="G161" s="155"/>
    </row>
    <row r="162" spans="1:7" ht="15" customHeight="1" x14ac:dyDescent="0.2">
      <c r="A162" s="141">
        <v>5</v>
      </c>
      <c r="B162" s="161" t="s">
        <v>291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292</v>
      </c>
      <c r="C163" s="146">
        <v>4067894</v>
      </c>
      <c r="D163" s="146">
        <v>4014654</v>
      </c>
      <c r="E163" s="146">
        <f t="shared" si="10"/>
        <v>-53240</v>
      </c>
      <c r="F163" s="150">
        <f t="shared" si="11"/>
        <v>-1.3087853321645058E-2</v>
      </c>
      <c r="G163" s="155"/>
    </row>
    <row r="164" spans="1:7" ht="15" customHeight="1" x14ac:dyDescent="0.2">
      <c r="A164" s="141">
        <v>7</v>
      </c>
      <c r="B164" s="161" t="s">
        <v>293</v>
      </c>
      <c r="C164" s="146">
        <v>0</v>
      </c>
      <c r="D164" s="146">
        <v>0</v>
      </c>
      <c r="E164" s="146">
        <f t="shared" si="10"/>
        <v>0</v>
      </c>
      <c r="F164" s="150">
        <f t="shared" si="11"/>
        <v>0</v>
      </c>
      <c r="G164" s="155"/>
    </row>
    <row r="165" spans="1:7" ht="15" customHeight="1" x14ac:dyDescent="0.2">
      <c r="A165" s="141">
        <v>8</v>
      </c>
      <c r="B165" s="161" t="s">
        <v>294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295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296</v>
      </c>
      <c r="C167" s="146">
        <v>0</v>
      </c>
      <c r="D167" s="146">
        <v>0</v>
      </c>
      <c r="E167" s="146">
        <f t="shared" si="10"/>
        <v>0</v>
      </c>
      <c r="F167" s="150">
        <f t="shared" si="11"/>
        <v>0</v>
      </c>
      <c r="G167" s="155"/>
    </row>
    <row r="168" spans="1:7" ht="15" customHeight="1" x14ac:dyDescent="0.2">
      <c r="A168" s="141">
        <v>11</v>
      </c>
      <c r="B168" s="161" t="s">
        <v>297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298</v>
      </c>
      <c r="C169" s="146">
        <v>3880055</v>
      </c>
      <c r="D169" s="146">
        <v>3790047</v>
      </c>
      <c r="E169" s="146">
        <f t="shared" si="10"/>
        <v>-90008</v>
      </c>
      <c r="F169" s="150">
        <f t="shared" si="11"/>
        <v>-2.3197609312239131E-2</v>
      </c>
      <c r="G169" s="155"/>
    </row>
    <row r="170" spans="1:7" ht="15" customHeight="1" x14ac:dyDescent="0.2">
      <c r="A170" s="141">
        <v>13</v>
      </c>
      <c r="B170" s="161" t="s">
        <v>299</v>
      </c>
      <c r="C170" s="146">
        <v>433731</v>
      </c>
      <c r="D170" s="146">
        <v>480364</v>
      </c>
      <c r="E170" s="146">
        <f t="shared" si="10"/>
        <v>46633</v>
      </c>
      <c r="F170" s="150">
        <f t="shared" si="11"/>
        <v>0.10751594882542405</v>
      </c>
      <c r="G170" s="155"/>
    </row>
    <row r="171" spans="1:7" ht="15.75" customHeight="1" x14ac:dyDescent="0.25">
      <c r="A171" s="141"/>
      <c r="B171" s="154" t="s">
        <v>300</v>
      </c>
      <c r="C171" s="147">
        <f>SUM(C158:C170)</f>
        <v>31883002</v>
      </c>
      <c r="D171" s="147">
        <f>SUM(D158:D170)</f>
        <v>32487471</v>
      </c>
      <c r="E171" s="147">
        <f t="shared" si="10"/>
        <v>604469</v>
      </c>
      <c r="F171" s="148">
        <f t="shared" si="11"/>
        <v>1.8958973813068169E-2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175</v>
      </c>
      <c r="B173" s="145" t="s">
        <v>301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302</v>
      </c>
      <c r="C174" s="146">
        <v>0</v>
      </c>
      <c r="D174" s="146">
        <v>0</v>
      </c>
      <c r="E174" s="146">
        <f>D174-C174</f>
        <v>0</v>
      </c>
      <c r="F174" s="150">
        <f>IF(C174=0,0,E174/C174)</f>
        <v>0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303</v>
      </c>
      <c r="C176" s="147">
        <f>+C174+C171+C155+C118+C109</f>
        <v>262102283</v>
      </c>
      <c r="D176" s="147">
        <f>+D174+D171+D155+D118+D109</f>
        <v>252073735</v>
      </c>
      <c r="E176" s="147">
        <f>D176-C176</f>
        <v>-10028548</v>
      </c>
      <c r="F176" s="148">
        <f>IF(C176=0,0,E176/C176)</f>
        <v>-3.8261963555655101E-2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982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1" fitToHeight="0" orientation="portrait" r:id="rId1"/>
  <headerFooter>
    <oddHeader>&amp;LOFFICE OF HEALTH CARE ACCESS&amp;CTWELVE MONTHS ACTUAL FILING&amp;RWILLIAM W. BACKUS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304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305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306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259652271</v>
      </c>
      <c r="D11" s="164">
        <v>270048715</v>
      </c>
      <c r="E11" s="51">
        <v>271933218</v>
      </c>
      <c r="F11" s="13"/>
    </row>
    <row r="12" spans="1:6" ht="24" customHeight="1" x14ac:dyDescent="0.25">
      <c r="A12" s="44">
        <v>2</v>
      </c>
      <c r="B12" s="165" t="s">
        <v>307</v>
      </c>
      <c r="C12" s="49">
        <v>3773294</v>
      </c>
      <c r="D12" s="49">
        <v>4374927</v>
      </c>
      <c r="E12" s="49">
        <v>5109286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263425565</v>
      </c>
      <c r="D13" s="51">
        <f>+D11+D12</f>
        <v>274423642</v>
      </c>
      <c r="E13" s="51">
        <f>+E11+E12</f>
        <v>277042504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250646571</v>
      </c>
      <c r="D14" s="49">
        <v>262102283</v>
      </c>
      <c r="E14" s="49">
        <v>252073735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12778994</v>
      </c>
      <c r="D15" s="51">
        <f>+D13-D14</f>
        <v>12321359</v>
      </c>
      <c r="E15" s="51">
        <f>+E13-E14</f>
        <v>24968769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-1302635</v>
      </c>
      <c r="D16" s="49">
        <v>6430426</v>
      </c>
      <c r="E16" s="49">
        <v>174374</v>
      </c>
      <c r="F16" s="13"/>
    </row>
    <row r="17" spans="1:6" ht="24" customHeight="1" x14ac:dyDescent="0.25">
      <c r="A17" s="44">
        <v>7</v>
      </c>
      <c r="B17" s="45" t="s">
        <v>308</v>
      </c>
      <c r="C17" s="51">
        <f>C15+C16</f>
        <v>11476359</v>
      </c>
      <c r="D17" s="51">
        <f>D15+D16</f>
        <v>18751785</v>
      </c>
      <c r="E17" s="51">
        <f>E15+E16</f>
        <v>25143143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309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310</v>
      </c>
      <c r="C20" s="169">
        <f>IF(+C27=0,0,+C24/+C27)</f>
        <v>4.8751911936891594E-2</v>
      </c>
      <c r="D20" s="169">
        <f>IF(+D27=0,0,+D24/+D27)</f>
        <v>4.3871036256451876E-2</v>
      </c>
      <c r="E20" s="169">
        <f>IF(+E27=0,0,+E24/+E27)</f>
        <v>9.006944014426134E-2</v>
      </c>
      <c r="F20" s="13"/>
    </row>
    <row r="21" spans="1:6" ht="24" customHeight="1" x14ac:dyDescent="0.25">
      <c r="A21" s="25">
        <v>2</v>
      </c>
      <c r="B21" s="48" t="s">
        <v>311</v>
      </c>
      <c r="C21" s="169">
        <f>IF(C27=0,0,+C26/C27)</f>
        <v>-4.9695576041363489E-3</v>
      </c>
      <c r="D21" s="169">
        <f>IF(D27=0,0,+D26/D27)</f>
        <v>2.2895968877331696E-2</v>
      </c>
      <c r="E21" s="169">
        <f>IF(E27=0,0,+E26/E27)</f>
        <v>6.2901653484460636E-4</v>
      </c>
      <c r="F21" s="13"/>
    </row>
    <row r="22" spans="1:6" ht="24" customHeight="1" x14ac:dyDescent="0.25">
      <c r="A22" s="25">
        <v>3</v>
      </c>
      <c r="B22" s="48" t="s">
        <v>312</v>
      </c>
      <c r="C22" s="169">
        <f>IF(C27=0,0,+C28/C27)</f>
        <v>4.3782354332755243E-2</v>
      </c>
      <c r="D22" s="169">
        <f>IF(D27=0,0,+D28/D27)</f>
        <v>6.6767005133783572E-2</v>
      </c>
      <c r="E22" s="169">
        <f>IF(E27=0,0,+E28/E27)</f>
        <v>9.0698456679105949E-2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12778994</v>
      </c>
      <c r="D24" s="51">
        <f>+D15</f>
        <v>12321359</v>
      </c>
      <c r="E24" s="51">
        <f>+E15</f>
        <v>24968769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263425565</v>
      </c>
      <c r="D25" s="51">
        <f>+D13</f>
        <v>274423642</v>
      </c>
      <c r="E25" s="51">
        <f>+E13</f>
        <v>277042504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-1302635</v>
      </c>
      <c r="D26" s="51">
        <f>+D16</f>
        <v>6430426</v>
      </c>
      <c r="E26" s="51">
        <f>+E16</f>
        <v>174374</v>
      </c>
      <c r="F26" s="13"/>
    </row>
    <row r="27" spans="1:6" ht="24" customHeight="1" x14ac:dyDescent="0.25">
      <c r="A27" s="21">
        <v>7</v>
      </c>
      <c r="B27" s="48" t="s">
        <v>313</v>
      </c>
      <c r="C27" s="51">
        <f>+C25+C26</f>
        <v>262122930</v>
      </c>
      <c r="D27" s="51">
        <f>+D25+D26</f>
        <v>280854068</v>
      </c>
      <c r="E27" s="51">
        <f>+E25+E26</f>
        <v>277216878</v>
      </c>
      <c r="F27" s="13"/>
    </row>
    <row r="28" spans="1:6" ht="24" customHeight="1" x14ac:dyDescent="0.25">
      <c r="A28" s="21">
        <v>8</v>
      </c>
      <c r="B28" s="45" t="s">
        <v>308</v>
      </c>
      <c r="C28" s="51">
        <f>+C17</f>
        <v>11476359</v>
      </c>
      <c r="D28" s="51">
        <f>+D17</f>
        <v>18751785</v>
      </c>
      <c r="E28" s="51">
        <f>+E17</f>
        <v>25143143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314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315</v>
      </c>
      <c r="C31" s="51">
        <v>102294307</v>
      </c>
      <c r="D31" s="51">
        <v>147348055</v>
      </c>
      <c r="E31" s="51">
        <v>153327362</v>
      </c>
      <c r="F31" s="13"/>
    </row>
    <row r="32" spans="1:6" ht="24" customHeight="1" x14ac:dyDescent="0.25">
      <c r="A32" s="25">
        <v>2</v>
      </c>
      <c r="B32" s="48" t="s">
        <v>316</v>
      </c>
      <c r="C32" s="51">
        <v>112603569</v>
      </c>
      <c r="D32" s="51">
        <v>158925018</v>
      </c>
      <c r="E32" s="51">
        <v>162176033</v>
      </c>
      <c r="F32" s="13"/>
    </row>
    <row r="33" spans="1:6" ht="24" customHeight="1" x14ac:dyDescent="0.2">
      <c r="A33" s="25">
        <v>3</v>
      </c>
      <c r="B33" s="48" t="s">
        <v>317</v>
      </c>
      <c r="C33" s="51">
        <v>-28184517</v>
      </c>
      <c r="D33" s="51">
        <f>+D32-C32</f>
        <v>46321449</v>
      </c>
      <c r="E33" s="51">
        <f>+E32-D32</f>
        <v>3251015</v>
      </c>
      <c r="F33" s="5"/>
    </row>
    <row r="34" spans="1:6" ht="24" customHeight="1" x14ac:dyDescent="0.2">
      <c r="A34" s="25">
        <v>4</v>
      </c>
      <c r="B34" s="48" t="s">
        <v>318</v>
      </c>
      <c r="C34" s="171">
        <v>0.79979999999999996</v>
      </c>
      <c r="D34" s="171">
        <f>IF(C32=0,0,+D33/C32)</f>
        <v>0.41136750292524032</v>
      </c>
      <c r="E34" s="171">
        <f>IF(D32=0,0,+E33/D32)</f>
        <v>2.0456282093987241E-2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319</v>
      </c>
      <c r="B36" s="41" t="s">
        <v>320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321</v>
      </c>
      <c r="C38" s="172">
        <f>IF((C40+C41)=0,0,+C39/(C40+C41))</f>
        <v>0.44408256432205367</v>
      </c>
      <c r="D38" s="172">
        <f>IF((D40+D41)=0,0,+D39/(D40+D41))</f>
        <v>0.4444176803297456</v>
      </c>
      <c r="E38" s="172">
        <f>IF((E40+E41)=0,0,+E39/(E40+E41))</f>
        <v>0.41379875630782798</v>
      </c>
      <c r="F38" s="5"/>
    </row>
    <row r="39" spans="1:6" ht="24" customHeight="1" x14ac:dyDescent="0.2">
      <c r="A39" s="21">
        <v>2</v>
      </c>
      <c r="B39" s="48" t="s">
        <v>322</v>
      </c>
      <c r="C39" s="51">
        <v>250646571</v>
      </c>
      <c r="D39" s="51">
        <v>262102283</v>
      </c>
      <c r="E39" s="23">
        <v>252073735</v>
      </c>
      <c r="F39" s="5"/>
    </row>
    <row r="40" spans="1:6" ht="24" customHeight="1" x14ac:dyDescent="0.2">
      <c r="A40" s="21">
        <v>3</v>
      </c>
      <c r="B40" s="48" t="s">
        <v>323</v>
      </c>
      <c r="C40" s="51">
        <v>560641054</v>
      </c>
      <c r="D40" s="51">
        <v>585390725</v>
      </c>
      <c r="E40" s="23">
        <v>604060585</v>
      </c>
      <c r="F40" s="5"/>
    </row>
    <row r="41" spans="1:6" ht="24" customHeight="1" x14ac:dyDescent="0.2">
      <c r="A41" s="21">
        <v>4</v>
      </c>
      <c r="B41" s="48" t="s">
        <v>324</v>
      </c>
      <c r="C41" s="51">
        <v>3773294</v>
      </c>
      <c r="D41" s="51">
        <v>4374927</v>
      </c>
      <c r="E41" s="23">
        <v>5109286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325</v>
      </c>
      <c r="C43" s="173">
        <f>IF(C38=0,0,IF((C46-C47)=0,0,((+C44-C45)/(C46-C47)/C38)))</f>
        <v>1.4089379108086859</v>
      </c>
      <c r="D43" s="173">
        <f>IF(D38=0,0,IF((D46-D47)=0,0,((+D44-D45)/(D46-D47)/D38)))</f>
        <v>1.4167831459264182</v>
      </c>
      <c r="E43" s="173">
        <f>IF(E38=0,0,IF((E46-E47)=0,0,((+E44-E45)/(E46-E47)/E38)))</f>
        <v>1.5335129058058896</v>
      </c>
      <c r="F43" s="5"/>
    </row>
    <row r="44" spans="1:6" ht="24" customHeight="1" x14ac:dyDescent="0.2">
      <c r="A44" s="21">
        <v>6</v>
      </c>
      <c r="B44" s="48" t="s">
        <v>326</v>
      </c>
      <c r="C44" s="51">
        <v>150719597</v>
      </c>
      <c r="D44" s="51">
        <v>155853342</v>
      </c>
      <c r="E44" s="23">
        <v>158908048</v>
      </c>
      <c r="F44" s="5"/>
    </row>
    <row r="45" spans="1:6" ht="24" customHeight="1" x14ac:dyDescent="0.2">
      <c r="A45" s="21">
        <v>7</v>
      </c>
      <c r="B45" s="48" t="s">
        <v>327</v>
      </c>
      <c r="C45" s="51">
        <v>3277704</v>
      </c>
      <c r="D45" s="51">
        <v>3099707</v>
      </c>
      <c r="E45" s="23">
        <v>3067822</v>
      </c>
      <c r="F45" s="5"/>
    </row>
    <row r="46" spans="1:6" ht="24" customHeight="1" x14ac:dyDescent="0.2">
      <c r="A46" s="21">
        <v>8</v>
      </c>
      <c r="B46" s="48" t="s">
        <v>328</v>
      </c>
      <c r="C46" s="51">
        <v>251836372</v>
      </c>
      <c r="D46" s="51">
        <v>256545666</v>
      </c>
      <c r="E46" s="23">
        <v>258871276</v>
      </c>
      <c r="F46" s="5"/>
    </row>
    <row r="47" spans="1:6" ht="24" customHeight="1" x14ac:dyDescent="0.2">
      <c r="A47" s="21">
        <v>9</v>
      </c>
      <c r="B47" s="48" t="s">
        <v>329</v>
      </c>
      <c r="C47" s="51">
        <v>16187524</v>
      </c>
      <c r="D47" s="51">
        <v>13942288</v>
      </c>
      <c r="E47" s="174">
        <v>13285645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330</v>
      </c>
      <c r="C49" s="175">
        <f>IF(C38=0,0,IF(C51=0,0,(C50/C51)/C38))</f>
        <v>0.73360826945365476</v>
      </c>
      <c r="D49" s="175">
        <f>IF(D38=0,0,IF(D51=0,0,(D50/D51)/D38))</f>
        <v>0.76733480195408732</v>
      </c>
      <c r="E49" s="175">
        <f>IF(E38=0,0,IF(E51=0,0,(E50/E51)/E38))</f>
        <v>0.82378593880221984</v>
      </c>
      <c r="F49" s="7"/>
    </row>
    <row r="50" spans="1:6" ht="24" customHeight="1" x14ac:dyDescent="0.25">
      <c r="A50" s="21">
        <v>11</v>
      </c>
      <c r="B50" s="48" t="s">
        <v>331</v>
      </c>
      <c r="C50" s="176">
        <v>71175892</v>
      </c>
      <c r="D50" s="176">
        <v>76969419</v>
      </c>
      <c r="E50" s="176">
        <v>78626794</v>
      </c>
      <c r="F50" s="11"/>
    </row>
    <row r="51" spans="1:6" ht="24" customHeight="1" x14ac:dyDescent="0.25">
      <c r="A51" s="21">
        <v>12</v>
      </c>
      <c r="B51" s="48" t="s">
        <v>332</v>
      </c>
      <c r="C51" s="176">
        <v>218476625</v>
      </c>
      <c r="D51" s="176">
        <v>225705418</v>
      </c>
      <c r="E51" s="176">
        <v>230657198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333</v>
      </c>
      <c r="C53" s="175">
        <f>IF(C38=0,0,IF(C55=0,0,(C54/C55)/C38))</f>
        <v>0.62251494200013713</v>
      </c>
      <c r="D53" s="175">
        <f>IF(D38=0,0,IF(D55=0,0,(D54/D55)/D38))</f>
        <v>0.60568733827122534</v>
      </c>
      <c r="E53" s="175">
        <f>IF(E38=0,0,IF(E55=0,0,(E54/E55)/E38))</f>
        <v>0.62464112255183424</v>
      </c>
      <c r="F53" s="13"/>
    </row>
    <row r="54" spans="1:6" ht="24" customHeight="1" x14ac:dyDescent="0.25">
      <c r="A54" s="21">
        <v>14</v>
      </c>
      <c r="B54" s="48" t="s">
        <v>334</v>
      </c>
      <c r="C54" s="176">
        <v>16337157</v>
      </c>
      <c r="D54" s="176">
        <v>19918093</v>
      </c>
      <c r="E54" s="176">
        <v>26458942</v>
      </c>
      <c r="F54" s="13"/>
    </row>
    <row r="55" spans="1:6" ht="24" customHeight="1" x14ac:dyDescent="0.25">
      <c r="A55" s="21">
        <v>15</v>
      </c>
      <c r="B55" s="48" t="s">
        <v>335</v>
      </c>
      <c r="C55" s="176">
        <v>59096666</v>
      </c>
      <c r="D55" s="176">
        <v>73995947</v>
      </c>
      <c r="E55" s="176">
        <v>102365290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336</v>
      </c>
      <c r="C57" s="53">
        <f>+C60*C38</f>
        <v>10540404.911751688</v>
      </c>
      <c r="D57" s="53">
        <f>+D60*D38</f>
        <v>9257065.1794981658</v>
      </c>
      <c r="E57" s="53">
        <f>+E60*E38</f>
        <v>7184926.8421549369</v>
      </c>
      <c r="F57" s="13"/>
    </row>
    <row r="58" spans="1:6" ht="24" customHeight="1" x14ac:dyDescent="0.25">
      <c r="A58" s="21">
        <v>17</v>
      </c>
      <c r="B58" s="48" t="s">
        <v>337</v>
      </c>
      <c r="C58" s="51">
        <v>6641717</v>
      </c>
      <c r="D58" s="51">
        <v>6321367</v>
      </c>
      <c r="E58" s="52">
        <v>4672730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17093520</v>
      </c>
      <c r="D59" s="51">
        <v>14508284</v>
      </c>
      <c r="E59" s="52">
        <v>12690606</v>
      </c>
      <c r="F59" s="28"/>
    </row>
    <row r="60" spans="1:6" ht="24" customHeight="1" x14ac:dyDescent="0.25">
      <c r="A60" s="21">
        <v>19</v>
      </c>
      <c r="B60" s="48" t="s">
        <v>338</v>
      </c>
      <c r="C60" s="51">
        <v>23735237</v>
      </c>
      <c r="D60" s="51">
        <v>20829651</v>
      </c>
      <c r="E60" s="52">
        <v>17363336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339</v>
      </c>
      <c r="C62" s="178">
        <f>IF(C63=0,0,+C57/C63)</f>
        <v>4.2052859010593399E-2</v>
      </c>
      <c r="D62" s="178">
        <f>IF(D63=0,0,+D57/D63)</f>
        <v>3.5318521737172988E-2</v>
      </c>
      <c r="E62" s="178">
        <f>IF(E63=0,0,+E57/E63)</f>
        <v>2.8503274417522862E-2</v>
      </c>
      <c r="F62" s="13"/>
    </row>
    <row r="63" spans="1:6" ht="24" customHeight="1" x14ac:dyDescent="0.25">
      <c r="A63" s="21">
        <v>21</v>
      </c>
      <c r="B63" s="45" t="s">
        <v>322</v>
      </c>
      <c r="C63" s="176">
        <v>250646571</v>
      </c>
      <c r="D63" s="176">
        <v>262102283</v>
      </c>
      <c r="E63" s="176">
        <v>252073735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340</v>
      </c>
      <c r="B65" s="41" t="s">
        <v>341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342</v>
      </c>
      <c r="C67" s="179">
        <f>IF(C69=0,0,C68/C69)</f>
        <v>3.6870409403598376</v>
      </c>
      <c r="D67" s="179">
        <f>IF(D69=0,0,D68/D69)</f>
        <v>3.8975841405369973</v>
      </c>
      <c r="E67" s="179">
        <f>IF(E69=0,0,E68/E69)</f>
        <v>4.1431022265623652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108982983</v>
      </c>
      <c r="D68" s="180">
        <v>116727013</v>
      </c>
      <c r="E68" s="180">
        <v>136970305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29558387</v>
      </c>
      <c r="D69" s="180">
        <v>29948555</v>
      </c>
      <c r="E69" s="180">
        <v>33059842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343</v>
      </c>
      <c r="C71" s="181">
        <f>IF((C77/365)=0,0,+C74/(C77/365))</f>
        <v>89.913011217343666</v>
      </c>
      <c r="D71" s="181">
        <f>IF((D77/365)=0,0,+D74/(D77/365))</f>
        <v>107.62761500381994</v>
      </c>
      <c r="E71" s="181">
        <f>IF((E77/365)=0,0,+E74/(E77/365))</f>
        <v>144.59528190651511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57570735</v>
      </c>
      <c r="D72" s="182">
        <v>72131779</v>
      </c>
      <c r="E72" s="182">
        <v>93136217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344</v>
      </c>
      <c r="C74" s="180">
        <f>+C72+C73</f>
        <v>57570735</v>
      </c>
      <c r="D74" s="180">
        <f>+D72+D73</f>
        <v>72131779</v>
      </c>
      <c r="E74" s="180">
        <f>+E72+E73</f>
        <v>93136217</v>
      </c>
      <c r="F74" s="28"/>
    </row>
    <row r="75" spans="1:6" ht="24" customHeight="1" x14ac:dyDescent="0.25">
      <c r="A75" s="21">
        <v>8</v>
      </c>
      <c r="B75" s="48" t="s">
        <v>322</v>
      </c>
      <c r="C75" s="180">
        <f>+C14</f>
        <v>250646571</v>
      </c>
      <c r="D75" s="180">
        <f>+D14</f>
        <v>262102283</v>
      </c>
      <c r="E75" s="180">
        <f>+E14</f>
        <v>252073735</v>
      </c>
      <c r="F75" s="28"/>
    </row>
    <row r="76" spans="1:6" ht="24" customHeight="1" x14ac:dyDescent="0.25">
      <c r="A76" s="21">
        <v>9</v>
      </c>
      <c r="B76" s="45" t="s">
        <v>345</v>
      </c>
      <c r="C76" s="180">
        <v>16939369</v>
      </c>
      <c r="D76" s="180">
        <v>17480126</v>
      </c>
      <c r="E76" s="180">
        <v>16971187</v>
      </c>
      <c r="F76" s="28"/>
    </row>
    <row r="77" spans="1:6" ht="24" customHeight="1" x14ac:dyDescent="0.25">
      <c r="A77" s="21">
        <v>10</v>
      </c>
      <c r="B77" s="45" t="s">
        <v>346</v>
      </c>
      <c r="C77" s="180">
        <f>+C75-C76</f>
        <v>233707202</v>
      </c>
      <c r="D77" s="180">
        <f>+D75-D76</f>
        <v>244622157</v>
      </c>
      <c r="E77" s="180">
        <f>+E75-E76</f>
        <v>235102548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347</v>
      </c>
      <c r="C79" s="179">
        <f>IF((C84/365)=0,0,+C83/(C84/365))</f>
        <v>48.188690519868395</v>
      </c>
      <c r="D79" s="179">
        <f>IF((D84/365)=0,0,+D83/(D84/365))</f>
        <v>38.040626984653485</v>
      </c>
      <c r="E79" s="179">
        <f>IF((E84/365)=0,0,+E83/(E84/365))</f>
        <v>37.166586834566125</v>
      </c>
      <c r="F79" s="28"/>
    </row>
    <row r="80" spans="1:6" ht="24" customHeight="1" x14ac:dyDescent="0.25">
      <c r="A80" s="21">
        <v>12</v>
      </c>
      <c r="B80" s="188" t="s">
        <v>348</v>
      </c>
      <c r="C80" s="189">
        <v>36111295</v>
      </c>
      <c r="D80" s="189">
        <v>30758941</v>
      </c>
      <c r="E80" s="189">
        <v>32373122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1831013</v>
      </c>
      <c r="D82" s="190">
        <v>2614222</v>
      </c>
      <c r="E82" s="190">
        <v>4683178</v>
      </c>
      <c r="F82" s="28"/>
    </row>
    <row r="83" spans="1:6" ht="33.950000000000003" customHeight="1" x14ac:dyDescent="0.25">
      <c r="A83" s="21">
        <v>15</v>
      </c>
      <c r="B83" s="45" t="s">
        <v>349</v>
      </c>
      <c r="C83" s="191">
        <f>+C80+C81-C82</f>
        <v>34280282</v>
      </c>
      <c r="D83" s="191">
        <f>+D80+D81-D82</f>
        <v>28144719</v>
      </c>
      <c r="E83" s="191">
        <f>+E80+E81-E82</f>
        <v>27689944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259652271</v>
      </c>
      <c r="D84" s="191">
        <f>+D11</f>
        <v>270048715</v>
      </c>
      <c r="E84" s="191">
        <f>+E11</f>
        <v>271933218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350</v>
      </c>
      <c r="C86" s="179">
        <f>IF((C90/365)=0,0,+C87/(C90/365))</f>
        <v>46.163794537234679</v>
      </c>
      <c r="D86" s="179">
        <f>IF((D90/365)=0,0,+D87/(D90/365))</f>
        <v>44.686150711196611</v>
      </c>
      <c r="E86" s="179">
        <f>IF((E90/365)=0,0,+E87/(E90/365))</f>
        <v>51.325867935723096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29558387</v>
      </c>
      <c r="D87" s="51">
        <f>+D69</f>
        <v>29948555</v>
      </c>
      <c r="E87" s="51">
        <f>+E69</f>
        <v>33059842</v>
      </c>
      <c r="F87" s="28"/>
    </row>
    <row r="88" spans="1:6" ht="24" customHeight="1" x14ac:dyDescent="0.25">
      <c r="A88" s="21">
        <v>19</v>
      </c>
      <c r="B88" s="48" t="s">
        <v>322</v>
      </c>
      <c r="C88" s="51">
        <f t="shared" ref="C88:E89" si="0">+C75</f>
        <v>250646571</v>
      </c>
      <c r="D88" s="51">
        <f t="shared" si="0"/>
        <v>262102283</v>
      </c>
      <c r="E88" s="51">
        <f t="shared" si="0"/>
        <v>252073735</v>
      </c>
      <c r="F88" s="28"/>
    </row>
    <row r="89" spans="1:6" ht="24" customHeight="1" x14ac:dyDescent="0.25">
      <c r="A89" s="21">
        <v>20</v>
      </c>
      <c r="B89" s="48" t="s">
        <v>345</v>
      </c>
      <c r="C89" s="52">
        <f t="shared" si="0"/>
        <v>16939369</v>
      </c>
      <c r="D89" s="52">
        <f t="shared" si="0"/>
        <v>17480126</v>
      </c>
      <c r="E89" s="52">
        <f t="shared" si="0"/>
        <v>16971187</v>
      </c>
      <c r="F89" s="28"/>
    </row>
    <row r="90" spans="1:6" ht="24" customHeight="1" x14ac:dyDescent="0.25">
      <c r="A90" s="21">
        <v>21</v>
      </c>
      <c r="B90" s="48" t="s">
        <v>351</v>
      </c>
      <c r="C90" s="51">
        <f>+C88-C89</f>
        <v>233707202</v>
      </c>
      <c r="D90" s="51">
        <f>+D88-D89</f>
        <v>244622157</v>
      </c>
      <c r="E90" s="51">
        <f>+E88-E89</f>
        <v>235102548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352</v>
      </c>
      <c r="B92" s="41" t="s">
        <v>353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354</v>
      </c>
      <c r="C94" s="192">
        <f>IF(C96=0,0,(C95/C96)*100)</f>
        <v>36.080269261783279</v>
      </c>
      <c r="D94" s="192">
        <f>IF(D96=0,0,(D95/D96)*100)</f>
        <v>47.430357805356813</v>
      </c>
      <c r="E94" s="192">
        <f>IF(E96=0,0,(E95/E96)*100)</f>
        <v>45.30437217887274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112603569</v>
      </c>
      <c r="D95" s="51">
        <f>+D32</f>
        <v>158925018</v>
      </c>
      <c r="E95" s="51">
        <f>+E32</f>
        <v>162176033</v>
      </c>
      <c r="F95" s="28"/>
    </row>
    <row r="96" spans="1:6" ht="24" customHeight="1" x14ac:dyDescent="0.25">
      <c r="A96" s="21">
        <v>3</v>
      </c>
      <c r="B96" s="48" t="s">
        <v>43</v>
      </c>
      <c r="C96" s="51">
        <v>312091820</v>
      </c>
      <c r="D96" s="51">
        <v>335070249</v>
      </c>
      <c r="E96" s="51">
        <v>357969938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355</v>
      </c>
      <c r="C98" s="192">
        <f>IF(C104=0,0,(C101/C104)*100)</f>
        <v>30.394428712921282</v>
      </c>
      <c r="D98" s="192">
        <f>IF(D104=0,0,(D101/D104)*100)</f>
        <v>38.32426810696542</v>
      </c>
      <c r="E98" s="192">
        <f>IF(E104=0,0,(E101/E104)*100)</f>
        <v>44.122081030131568</v>
      </c>
      <c r="F98" s="28"/>
    </row>
    <row r="99" spans="1:6" ht="24" customHeight="1" x14ac:dyDescent="0.25">
      <c r="A99" s="21">
        <v>5</v>
      </c>
      <c r="B99" s="48" t="s">
        <v>356</v>
      </c>
      <c r="C99" s="51">
        <f>+C28</f>
        <v>11476359</v>
      </c>
      <c r="D99" s="51">
        <f>+D28</f>
        <v>18751785</v>
      </c>
      <c r="E99" s="51">
        <f>+E28</f>
        <v>25143143</v>
      </c>
      <c r="F99" s="28"/>
    </row>
    <row r="100" spans="1:6" ht="24" customHeight="1" x14ac:dyDescent="0.25">
      <c r="A100" s="21">
        <v>6</v>
      </c>
      <c r="B100" s="48" t="s">
        <v>345</v>
      </c>
      <c r="C100" s="52">
        <f>+C76</f>
        <v>16939369</v>
      </c>
      <c r="D100" s="52">
        <f>+D76</f>
        <v>17480126</v>
      </c>
      <c r="E100" s="52">
        <f>+E76</f>
        <v>16971187</v>
      </c>
      <c r="F100" s="28"/>
    </row>
    <row r="101" spans="1:6" ht="24" customHeight="1" x14ac:dyDescent="0.25">
      <c r="A101" s="21">
        <v>7</v>
      </c>
      <c r="B101" s="48" t="s">
        <v>357</v>
      </c>
      <c r="C101" s="51">
        <f>+C99+C100</f>
        <v>28415728</v>
      </c>
      <c r="D101" s="51">
        <f>+D99+D100</f>
        <v>36231911</v>
      </c>
      <c r="E101" s="51">
        <f>+E99+E100</f>
        <v>42114330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29558387</v>
      </c>
      <c r="D102" s="180">
        <f>+D69</f>
        <v>29948555</v>
      </c>
      <c r="E102" s="180">
        <f>+E69</f>
        <v>33059842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63931536</v>
      </c>
      <c r="D103" s="194">
        <v>64591831</v>
      </c>
      <c r="E103" s="194">
        <v>62389713</v>
      </c>
      <c r="F103" s="28"/>
    </row>
    <row r="104" spans="1:6" ht="24" customHeight="1" x14ac:dyDescent="0.25">
      <c r="A104" s="21">
        <v>10</v>
      </c>
      <c r="B104" s="195" t="s">
        <v>358</v>
      </c>
      <c r="C104" s="180">
        <f>+C102+C103</f>
        <v>93489923</v>
      </c>
      <c r="D104" s="180">
        <f>+D102+D103</f>
        <v>94540386</v>
      </c>
      <c r="E104" s="180">
        <f>+E102+E103</f>
        <v>95449555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359</v>
      </c>
      <c r="C106" s="197">
        <f>IF(C109=0,0,(C107/C109)*100)</f>
        <v>36.21463051215791</v>
      </c>
      <c r="D106" s="197">
        <f>IF(D109=0,0,(D107/D109)*100)</f>
        <v>28.89796956649116</v>
      </c>
      <c r="E106" s="197">
        <f>IF(E109=0,0,(E107/E109)*100)</f>
        <v>27.782381824162979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63931536</v>
      </c>
      <c r="D107" s="180">
        <f>+D103</f>
        <v>64591831</v>
      </c>
      <c r="E107" s="180">
        <f>+E103</f>
        <v>62389713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112603569</v>
      </c>
      <c r="D108" s="180">
        <f>+D32</f>
        <v>158925018</v>
      </c>
      <c r="E108" s="180">
        <f>+E32</f>
        <v>162176033</v>
      </c>
      <c r="F108" s="28"/>
    </row>
    <row r="109" spans="1:6" ht="24" customHeight="1" x14ac:dyDescent="0.25">
      <c r="A109" s="17">
        <v>14</v>
      </c>
      <c r="B109" s="48" t="s">
        <v>360</v>
      </c>
      <c r="C109" s="180">
        <f>+C107+C108</f>
        <v>176535105</v>
      </c>
      <c r="D109" s="180">
        <f>+D107+D108</f>
        <v>223516849</v>
      </c>
      <c r="E109" s="180">
        <f>+E107+E108</f>
        <v>224565746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361</v>
      </c>
      <c r="C111" s="197">
        <f>IF((+C113+C115)=0,0,((+C112+C113+C114)/(+C113+C115)))</f>
        <v>6.5012564229438636</v>
      </c>
      <c r="D111" s="197">
        <f>IF((+D113+D115)=0,0,((+D112+D113+D114)/(+D113+D115)))</f>
        <v>7.8465861722178296</v>
      </c>
      <c r="E111" s="197">
        <f>IF((+E113+E115)=0,0,((+E112+E113+E114)/(+E113+E115)))</f>
        <v>8.7299757030479448</v>
      </c>
    </row>
    <row r="112" spans="1:6" ht="24" customHeight="1" x14ac:dyDescent="0.25">
      <c r="A112" s="17">
        <v>16</v>
      </c>
      <c r="B112" s="48" t="s">
        <v>362</v>
      </c>
      <c r="C112" s="180">
        <f>+C17</f>
        <v>11476359</v>
      </c>
      <c r="D112" s="180">
        <f>+D17</f>
        <v>18751785</v>
      </c>
      <c r="E112" s="180">
        <f>+E17</f>
        <v>25143143</v>
      </c>
      <c r="F112" s="28"/>
    </row>
    <row r="113" spans="1:8" ht="24" customHeight="1" x14ac:dyDescent="0.25">
      <c r="A113" s="17">
        <v>17</v>
      </c>
      <c r="B113" s="48" t="s">
        <v>185</v>
      </c>
      <c r="C113" s="180">
        <v>3091298</v>
      </c>
      <c r="D113" s="180">
        <v>3185038</v>
      </c>
      <c r="E113" s="180">
        <v>3247715</v>
      </c>
      <c r="F113" s="28"/>
    </row>
    <row r="114" spans="1:8" ht="24" customHeight="1" x14ac:dyDescent="0.25">
      <c r="A114" s="17">
        <v>18</v>
      </c>
      <c r="B114" s="48" t="s">
        <v>363</v>
      </c>
      <c r="C114" s="180">
        <v>16939369</v>
      </c>
      <c r="D114" s="180">
        <v>17480126</v>
      </c>
      <c r="E114" s="180">
        <v>16971187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1755000</v>
      </c>
      <c r="D115" s="180">
        <v>1838414</v>
      </c>
      <c r="E115" s="180">
        <v>1948410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364</v>
      </c>
      <c r="B117" s="30" t="s">
        <v>365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366</v>
      </c>
      <c r="C119" s="197">
        <f>IF(+C121=0,0,(+C120)/(+C121))</f>
        <v>6.7534100001009483</v>
      </c>
      <c r="D119" s="197">
        <f>IF(+D121=0,0,(+D120)/(+D121))</f>
        <v>7.5930416634296574</v>
      </c>
      <c r="E119" s="197">
        <f>IF(+E121=0,0,(+E120)/(+E121))</f>
        <v>8.2956014213973361</v>
      </c>
    </row>
    <row r="120" spans="1:8" ht="24" customHeight="1" x14ac:dyDescent="0.25">
      <c r="A120" s="17">
        <v>21</v>
      </c>
      <c r="B120" s="48" t="s">
        <v>367</v>
      </c>
      <c r="C120" s="180">
        <v>114398504</v>
      </c>
      <c r="D120" s="180">
        <v>132727325</v>
      </c>
      <c r="E120" s="180">
        <v>140786203</v>
      </c>
      <c r="F120" s="28"/>
    </row>
    <row r="121" spans="1:8" ht="24" customHeight="1" x14ac:dyDescent="0.25">
      <c r="A121" s="17">
        <v>22</v>
      </c>
      <c r="B121" s="48" t="s">
        <v>363</v>
      </c>
      <c r="C121" s="180">
        <v>16939369</v>
      </c>
      <c r="D121" s="180">
        <v>17480126</v>
      </c>
      <c r="E121" s="180">
        <v>16971187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368</v>
      </c>
      <c r="B123" s="30" t="s">
        <v>369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370</v>
      </c>
      <c r="C124" s="198">
        <v>50032</v>
      </c>
      <c r="D124" s="198">
        <v>49096</v>
      </c>
      <c r="E124" s="198">
        <v>49654</v>
      </c>
    </row>
    <row r="125" spans="1:8" ht="24" customHeight="1" x14ac:dyDescent="0.2">
      <c r="A125" s="44">
        <v>2</v>
      </c>
      <c r="B125" s="48" t="s">
        <v>371</v>
      </c>
      <c r="C125" s="198">
        <v>11885</v>
      </c>
      <c r="D125" s="198">
        <v>12175</v>
      </c>
      <c r="E125" s="198">
        <v>11999</v>
      </c>
    </row>
    <row r="126" spans="1:8" ht="24" customHeight="1" x14ac:dyDescent="0.2">
      <c r="A126" s="44">
        <v>3</v>
      </c>
      <c r="B126" s="48" t="s">
        <v>372</v>
      </c>
      <c r="C126" s="199">
        <f>IF(C125=0,0,C124/C125)</f>
        <v>4.2096760622633571</v>
      </c>
      <c r="D126" s="199">
        <f>IF(D125=0,0,D124/D125)</f>
        <v>4.0325256673511296</v>
      </c>
      <c r="E126" s="199">
        <f>IF(E125=0,0,E124/E125)</f>
        <v>4.1381781815151264</v>
      </c>
    </row>
    <row r="127" spans="1:8" ht="24" customHeight="1" x14ac:dyDescent="0.2">
      <c r="A127" s="44">
        <v>4</v>
      </c>
      <c r="B127" s="48" t="s">
        <v>373</v>
      </c>
      <c r="C127" s="198">
        <v>202</v>
      </c>
      <c r="D127" s="198">
        <v>202</v>
      </c>
      <c r="E127" s="198">
        <v>202</v>
      </c>
    </row>
    <row r="128" spans="1:8" ht="24" customHeight="1" x14ac:dyDescent="0.2">
      <c r="A128" s="44">
        <v>5</v>
      </c>
      <c r="B128" s="48" t="s">
        <v>374</v>
      </c>
      <c r="C128" s="198">
        <v>0</v>
      </c>
      <c r="D128" s="198">
        <v>233</v>
      </c>
      <c r="E128" s="198">
        <v>233</v>
      </c>
      <c r="G128" s="6"/>
      <c r="H128" s="12"/>
    </row>
    <row r="129" spans="1:8" ht="24" customHeight="1" x14ac:dyDescent="0.2">
      <c r="A129" s="44">
        <v>6</v>
      </c>
      <c r="B129" s="48" t="s">
        <v>375</v>
      </c>
      <c r="C129" s="198">
        <v>233</v>
      </c>
      <c r="D129" s="198">
        <v>233</v>
      </c>
      <c r="E129" s="198">
        <v>233</v>
      </c>
      <c r="G129" s="6"/>
      <c r="H129" s="12"/>
    </row>
    <row r="130" spans="1:8" ht="24" customHeight="1" x14ac:dyDescent="0.2">
      <c r="A130" s="44">
        <v>6</v>
      </c>
      <c r="B130" s="48" t="s">
        <v>376</v>
      </c>
      <c r="C130" s="171">
        <v>0.67849999999999999</v>
      </c>
      <c r="D130" s="171">
        <v>0.66579999999999995</v>
      </c>
      <c r="E130" s="171">
        <v>0.6734</v>
      </c>
    </row>
    <row r="131" spans="1:8" ht="24" customHeight="1" x14ac:dyDescent="0.2">
      <c r="A131" s="44">
        <v>7</v>
      </c>
      <c r="B131" s="48" t="s">
        <v>377</v>
      </c>
      <c r="C131" s="171">
        <v>0.58830000000000005</v>
      </c>
      <c r="D131" s="171">
        <v>0.57720000000000005</v>
      </c>
      <c r="E131" s="171">
        <v>0.58379999999999999</v>
      </c>
    </row>
    <row r="132" spans="1:8" ht="24" customHeight="1" x14ac:dyDescent="0.2">
      <c r="A132" s="44">
        <v>8</v>
      </c>
      <c r="B132" s="48" t="s">
        <v>378</v>
      </c>
      <c r="C132" s="199">
        <v>1583.5</v>
      </c>
      <c r="D132" s="199">
        <v>1542.1</v>
      </c>
      <c r="E132" s="199">
        <v>1513.9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379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380</v>
      </c>
      <c r="C135" s="203">
        <f>IF(C149=0,0,C143/C149)</f>
        <v>0.42032035706040177</v>
      </c>
      <c r="D135" s="203">
        <f>IF(D149=0,0,D143/D149)</f>
        <v>0.41442982889761365</v>
      </c>
      <c r="E135" s="203">
        <f>IF(E149=0,0,E143/E149)</f>
        <v>0.40655794650134308</v>
      </c>
      <c r="G135" s="6"/>
    </row>
    <row r="136" spans="1:8" ht="20.100000000000001" customHeight="1" x14ac:dyDescent="0.2">
      <c r="A136" s="202">
        <v>2</v>
      </c>
      <c r="B136" s="195" t="s">
        <v>381</v>
      </c>
      <c r="C136" s="203">
        <f>IF(C149=0,0,C144/C149)</f>
        <v>0.38969073606229343</v>
      </c>
      <c r="D136" s="203">
        <f>IF(D149=0,0,D144/D149)</f>
        <v>0.38556370704370146</v>
      </c>
      <c r="E136" s="203">
        <f>IF(E149=0,0,E144/E149)</f>
        <v>0.38184447674234528</v>
      </c>
    </row>
    <row r="137" spans="1:8" ht="20.100000000000001" customHeight="1" x14ac:dyDescent="0.2">
      <c r="A137" s="202">
        <v>3</v>
      </c>
      <c r="B137" s="195" t="s">
        <v>382</v>
      </c>
      <c r="C137" s="203">
        <f>IF(C149=0,0,C145/C149)</f>
        <v>0.1054090947824167</v>
      </c>
      <c r="D137" s="203">
        <f>IF(D149=0,0,D145/D149)</f>
        <v>0.1264043720542378</v>
      </c>
      <c r="E137" s="203">
        <f>IF(E149=0,0,E145/E149)</f>
        <v>0.16946195885301804</v>
      </c>
      <c r="G137" s="6"/>
    </row>
    <row r="138" spans="1:8" ht="20.100000000000001" customHeight="1" x14ac:dyDescent="0.2">
      <c r="A138" s="202">
        <v>4</v>
      </c>
      <c r="B138" s="195" t="s">
        <v>383</v>
      </c>
      <c r="C138" s="203">
        <f>IF(C149=0,0,C146/C149)</f>
        <v>3.8990046918683199E-2</v>
      </c>
      <c r="D138" s="203">
        <f>IF(D149=0,0,D146/D149)</f>
        <v>3.3511174950713471E-2</v>
      </c>
      <c r="E138" s="203">
        <f>IF(E149=0,0,E146/E149)</f>
        <v>4.0120710739635496E-3</v>
      </c>
      <c r="G138" s="6"/>
    </row>
    <row r="139" spans="1:8" ht="20.100000000000001" customHeight="1" x14ac:dyDescent="0.2">
      <c r="A139" s="202">
        <v>5</v>
      </c>
      <c r="B139" s="195" t="s">
        <v>384</v>
      </c>
      <c r="C139" s="203">
        <f>IF(C149=0,0,C147/C149)</f>
        <v>2.8873240524408688E-2</v>
      </c>
      <c r="D139" s="203">
        <f>IF(D149=0,0,D147/D149)</f>
        <v>2.3817063381043491E-2</v>
      </c>
      <c r="E139" s="203">
        <f>IF(E149=0,0,E147/E149)</f>
        <v>2.1993894867350101E-2</v>
      </c>
    </row>
    <row r="140" spans="1:8" ht="20.100000000000001" customHeight="1" x14ac:dyDescent="0.2">
      <c r="A140" s="202">
        <v>6</v>
      </c>
      <c r="B140" s="195" t="s">
        <v>385</v>
      </c>
      <c r="C140" s="203">
        <f>IF(C149=0,0,C148/C149)</f>
        <v>1.6716524651796193E-2</v>
      </c>
      <c r="D140" s="203">
        <f>IF(D149=0,0,D148/D149)</f>
        <v>1.6273853672690151E-2</v>
      </c>
      <c r="E140" s="203">
        <f>IF(E149=0,0,E148/E149)</f>
        <v>1.6129651961979938E-2</v>
      </c>
    </row>
    <row r="141" spans="1:8" ht="20.100000000000001" customHeight="1" x14ac:dyDescent="0.2">
      <c r="A141" s="202">
        <v>7</v>
      </c>
      <c r="B141" s="195" t="s">
        <v>386</v>
      </c>
      <c r="C141" s="203">
        <f>SUM(C135:C140)</f>
        <v>0.99999999999999989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387</v>
      </c>
      <c r="C143" s="204">
        <f>+C46-C147</f>
        <v>235648848</v>
      </c>
      <c r="D143" s="205">
        <f>+D46-D147</f>
        <v>242603378</v>
      </c>
      <c r="E143" s="205">
        <f>+E46-E147</f>
        <v>245585631</v>
      </c>
    </row>
    <row r="144" spans="1:8" ht="20.100000000000001" customHeight="1" x14ac:dyDescent="0.2">
      <c r="A144" s="202">
        <v>9</v>
      </c>
      <c r="B144" s="201" t="s">
        <v>388</v>
      </c>
      <c r="C144" s="206">
        <f>+C51</f>
        <v>218476625</v>
      </c>
      <c r="D144" s="205">
        <f>+D51</f>
        <v>225705418</v>
      </c>
      <c r="E144" s="205">
        <f>+E51</f>
        <v>230657198</v>
      </c>
    </row>
    <row r="145" spans="1:7" ht="20.100000000000001" customHeight="1" x14ac:dyDescent="0.2">
      <c r="A145" s="202">
        <v>10</v>
      </c>
      <c r="B145" s="201" t="s">
        <v>389</v>
      </c>
      <c r="C145" s="206">
        <f>+C55</f>
        <v>59096666</v>
      </c>
      <c r="D145" s="205">
        <f>+D55</f>
        <v>73995947</v>
      </c>
      <c r="E145" s="205">
        <f>+E55</f>
        <v>102365290</v>
      </c>
    </row>
    <row r="146" spans="1:7" ht="20.100000000000001" customHeight="1" x14ac:dyDescent="0.2">
      <c r="A146" s="202">
        <v>11</v>
      </c>
      <c r="B146" s="201" t="s">
        <v>390</v>
      </c>
      <c r="C146" s="204">
        <v>21859421</v>
      </c>
      <c r="D146" s="205">
        <v>19617131</v>
      </c>
      <c r="E146" s="205">
        <v>2423534</v>
      </c>
    </row>
    <row r="147" spans="1:7" ht="20.100000000000001" customHeight="1" x14ac:dyDescent="0.2">
      <c r="A147" s="202">
        <v>12</v>
      </c>
      <c r="B147" s="201" t="s">
        <v>391</v>
      </c>
      <c r="C147" s="206">
        <f>+C47</f>
        <v>16187524</v>
      </c>
      <c r="D147" s="205">
        <f>+D47</f>
        <v>13942288</v>
      </c>
      <c r="E147" s="205">
        <f>+E47</f>
        <v>13285645</v>
      </c>
    </row>
    <row r="148" spans="1:7" ht="20.100000000000001" customHeight="1" x14ac:dyDescent="0.2">
      <c r="A148" s="202">
        <v>13</v>
      </c>
      <c r="B148" s="201" t="s">
        <v>392</v>
      </c>
      <c r="C148" s="206">
        <v>9371970</v>
      </c>
      <c r="D148" s="205">
        <v>9526563</v>
      </c>
      <c r="E148" s="205">
        <v>9743287</v>
      </c>
    </row>
    <row r="149" spans="1:7" ht="20.100000000000001" customHeight="1" x14ac:dyDescent="0.2">
      <c r="A149" s="202">
        <v>14</v>
      </c>
      <c r="B149" s="201" t="s">
        <v>393</v>
      </c>
      <c r="C149" s="204">
        <f>SUM(C143:C148)</f>
        <v>560641054</v>
      </c>
      <c r="D149" s="205">
        <f>SUM(D143:D148)</f>
        <v>585390725</v>
      </c>
      <c r="E149" s="205">
        <f>SUM(E143:E148)</f>
        <v>604060585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394</v>
      </c>
      <c r="B151" s="30" t="s">
        <v>395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396</v>
      </c>
      <c r="C152" s="203">
        <f>IF(C166=0,0,C160/C166)</f>
        <v>0.60025964234568152</v>
      </c>
      <c r="D152" s="203">
        <f>IF(D166=0,0,D160/D166)</f>
        <v>0.59064299609408089</v>
      </c>
      <c r="E152" s="203">
        <f>IF(E166=0,0,E160/E166)</f>
        <v>0.58229506401737197</v>
      </c>
    </row>
    <row r="153" spans="1:7" ht="20.100000000000001" customHeight="1" x14ac:dyDescent="0.2">
      <c r="A153" s="202">
        <v>2</v>
      </c>
      <c r="B153" s="195" t="s">
        <v>397</v>
      </c>
      <c r="C153" s="203">
        <f>IF(C166=0,0,C161/C166)</f>
        <v>0.28976849527803372</v>
      </c>
      <c r="D153" s="203">
        <f>IF(D166=0,0,D161/D166)</f>
        <v>0.29761287347290083</v>
      </c>
      <c r="E153" s="203">
        <f>IF(E166=0,0,E161/E166)</f>
        <v>0.29378803676600623</v>
      </c>
    </row>
    <row r="154" spans="1:7" ht="20.100000000000001" customHeight="1" x14ac:dyDescent="0.2">
      <c r="A154" s="202">
        <v>3</v>
      </c>
      <c r="B154" s="195" t="s">
        <v>398</v>
      </c>
      <c r="C154" s="203">
        <f>IF(C166=0,0,C162/C166)</f>
        <v>6.6511191753114887E-2</v>
      </c>
      <c r="D154" s="203">
        <f>IF(D166=0,0,D162/D166)</f>
        <v>7.7016053503411161E-2</v>
      </c>
      <c r="E154" s="203">
        <f>IF(E166=0,0,E162/E166)</f>
        <v>9.8863507331681685E-2</v>
      </c>
    </row>
    <row r="155" spans="1:7" ht="20.100000000000001" customHeight="1" x14ac:dyDescent="0.2">
      <c r="A155" s="202">
        <v>4</v>
      </c>
      <c r="B155" s="195" t="s">
        <v>399</v>
      </c>
      <c r="C155" s="203">
        <f>IF(C166=0,0,C163/C166)</f>
        <v>1.507248325068504E-2</v>
      </c>
      <c r="D155" s="203">
        <f>IF(D166=0,0,D163/D166)</f>
        <v>1.0693836737315774E-2</v>
      </c>
      <c r="E155" s="203">
        <f>IF(E166=0,0,E163/E166)</f>
        <v>2.1304331055756105E-3</v>
      </c>
      <c r="G155" s="6"/>
    </row>
    <row r="156" spans="1:7" ht="20.100000000000001" customHeight="1" x14ac:dyDescent="0.2">
      <c r="A156" s="202">
        <v>5</v>
      </c>
      <c r="B156" s="195" t="s">
        <v>400</v>
      </c>
      <c r="C156" s="203">
        <f>IF(C166=0,0,C164/C166)</f>
        <v>1.3344059756171265E-2</v>
      </c>
      <c r="D156" s="203">
        <f>IF(D166=0,0,D164/D166)</f>
        <v>1.1985444598380884E-2</v>
      </c>
      <c r="E156" s="203">
        <f>IF(E166=0,0,E164/E166)</f>
        <v>1.1462878704269217E-2</v>
      </c>
    </row>
    <row r="157" spans="1:7" ht="20.100000000000001" customHeight="1" x14ac:dyDescent="0.2">
      <c r="A157" s="202">
        <v>6</v>
      </c>
      <c r="B157" s="195" t="s">
        <v>401</v>
      </c>
      <c r="C157" s="203">
        <f>IF(C166=0,0,C165/C166)</f>
        <v>1.5044127616313621E-2</v>
      </c>
      <c r="D157" s="203">
        <f>IF(D166=0,0,D165/D166)</f>
        <v>1.2048795593910422E-2</v>
      </c>
      <c r="E157" s="203">
        <f>IF(E166=0,0,E165/E166)</f>
        <v>1.1460080075095328E-2</v>
      </c>
    </row>
    <row r="158" spans="1:7" ht="20.100000000000001" customHeight="1" x14ac:dyDescent="0.2">
      <c r="A158" s="202">
        <v>7</v>
      </c>
      <c r="B158" s="195" t="s">
        <v>402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403</v>
      </c>
      <c r="C160" s="207">
        <f>+C44-C164</f>
        <v>147441893</v>
      </c>
      <c r="D160" s="208">
        <f>+D44-D164</f>
        <v>152753635</v>
      </c>
      <c r="E160" s="208">
        <f>+E44-E164</f>
        <v>155840226</v>
      </c>
    </row>
    <row r="161" spans="1:6" ht="20.100000000000001" customHeight="1" x14ac:dyDescent="0.2">
      <c r="A161" s="202">
        <v>9</v>
      </c>
      <c r="B161" s="201" t="s">
        <v>404</v>
      </c>
      <c r="C161" s="209">
        <f>+C50</f>
        <v>71175892</v>
      </c>
      <c r="D161" s="208">
        <f>+D50</f>
        <v>76969419</v>
      </c>
      <c r="E161" s="208">
        <f>+E50</f>
        <v>78626794</v>
      </c>
    </row>
    <row r="162" spans="1:6" ht="20.100000000000001" customHeight="1" x14ac:dyDescent="0.2">
      <c r="A162" s="202">
        <v>10</v>
      </c>
      <c r="B162" s="201" t="s">
        <v>405</v>
      </c>
      <c r="C162" s="209">
        <f>+C54</f>
        <v>16337157</v>
      </c>
      <c r="D162" s="208">
        <f>+D54</f>
        <v>19918093</v>
      </c>
      <c r="E162" s="208">
        <f>+E54</f>
        <v>26458942</v>
      </c>
    </row>
    <row r="163" spans="1:6" ht="20.100000000000001" customHeight="1" x14ac:dyDescent="0.2">
      <c r="A163" s="202">
        <v>11</v>
      </c>
      <c r="B163" s="201" t="s">
        <v>406</v>
      </c>
      <c r="C163" s="207">
        <v>3702257</v>
      </c>
      <c r="D163" s="208">
        <v>2765668</v>
      </c>
      <c r="E163" s="208">
        <v>570170</v>
      </c>
    </row>
    <row r="164" spans="1:6" ht="20.100000000000001" customHeight="1" x14ac:dyDescent="0.2">
      <c r="A164" s="202">
        <v>12</v>
      </c>
      <c r="B164" s="201" t="s">
        <v>407</v>
      </c>
      <c r="C164" s="209">
        <f>+C45</f>
        <v>3277704</v>
      </c>
      <c r="D164" s="208">
        <f>+D45</f>
        <v>3099707</v>
      </c>
      <c r="E164" s="208">
        <f>+E45</f>
        <v>3067822</v>
      </c>
    </row>
    <row r="165" spans="1:6" ht="20.100000000000001" customHeight="1" x14ac:dyDescent="0.2">
      <c r="A165" s="202">
        <v>13</v>
      </c>
      <c r="B165" s="201" t="s">
        <v>408</v>
      </c>
      <c r="C165" s="209">
        <v>3695292</v>
      </c>
      <c r="D165" s="208">
        <v>3116091</v>
      </c>
      <c r="E165" s="208">
        <v>3067073</v>
      </c>
    </row>
    <row r="166" spans="1:6" ht="20.100000000000001" customHeight="1" x14ac:dyDescent="0.2">
      <c r="A166" s="202">
        <v>14</v>
      </c>
      <c r="B166" s="201" t="s">
        <v>409</v>
      </c>
      <c r="C166" s="207">
        <f>SUM(C160:C165)</f>
        <v>245630195</v>
      </c>
      <c r="D166" s="208">
        <f>SUM(D160:D165)</f>
        <v>258622613</v>
      </c>
      <c r="E166" s="208">
        <f>SUM(E160:E165)</f>
        <v>267631027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410</v>
      </c>
      <c r="B168" s="30" t="s">
        <v>371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411</v>
      </c>
      <c r="C169" s="198">
        <v>4461</v>
      </c>
      <c r="D169" s="198">
        <v>4440</v>
      </c>
      <c r="E169" s="198">
        <v>4178</v>
      </c>
    </row>
    <row r="170" spans="1:6" ht="20.100000000000001" customHeight="1" x14ac:dyDescent="0.2">
      <c r="A170" s="202">
        <v>2</v>
      </c>
      <c r="B170" s="201" t="s">
        <v>412</v>
      </c>
      <c r="C170" s="198">
        <v>5039</v>
      </c>
      <c r="D170" s="198">
        <v>5229</v>
      </c>
      <c r="E170" s="198">
        <v>5200</v>
      </c>
    </row>
    <row r="171" spans="1:6" ht="20.100000000000001" customHeight="1" x14ac:dyDescent="0.2">
      <c r="A171" s="202">
        <v>3</v>
      </c>
      <c r="B171" s="201" t="s">
        <v>413</v>
      </c>
      <c r="C171" s="198">
        <v>2148</v>
      </c>
      <c r="D171" s="198">
        <v>2289</v>
      </c>
      <c r="E171" s="198">
        <v>2384</v>
      </c>
    </row>
    <row r="172" spans="1:6" ht="20.100000000000001" customHeight="1" x14ac:dyDescent="0.2">
      <c r="A172" s="202">
        <v>4</v>
      </c>
      <c r="B172" s="201" t="s">
        <v>414</v>
      </c>
      <c r="C172" s="198">
        <v>1764</v>
      </c>
      <c r="D172" s="198">
        <v>1891</v>
      </c>
      <c r="E172" s="198">
        <v>2318</v>
      </c>
    </row>
    <row r="173" spans="1:6" ht="20.100000000000001" customHeight="1" x14ac:dyDescent="0.2">
      <c r="A173" s="202">
        <v>5</v>
      </c>
      <c r="B173" s="201" t="s">
        <v>415</v>
      </c>
      <c r="C173" s="198">
        <v>384</v>
      </c>
      <c r="D173" s="198">
        <v>398</v>
      </c>
      <c r="E173" s="198">
        <v>66</v>
      </c>
    </row>
    <row r="174" spans="1:6" ht="20.100000000000001" customHeight="1" x14ac:dyDescent="0.2">
      <c r="A174" s="202">
        <v>6</v>
      </c>
      <c r="B174" s="201" t="s">
        <v>416</v>
      </c>
      <c r="C174" s="198">
        <v>237</v>
      </c>
      <c r="D174" s="198">
        <v>217</v>
      </c>
      <c r="E174" s="198">
        <v>237</v>
      </c>
    </row>
    <row r="175" spans="1:6" ht="20.100000000000001" customHeight="1" x14ac:dyDescent="0.2">
      <c r="A175" s="202">
        <v>7</v>
      </c>
      <c r="B175" s="201" t="s">
        <v>417</v>
      </c>
      <c r="C175" s="198">
        <v>265</v>
      </c>
      <c r="D175" s="198">
        <v>176</v>
      </c>
      <c r="E175" s="198">
        <v>172</v>
      </c>
    </row>
    <row r="176" spans="1:6" ht="20.100000000000001" customHeight="1" x14ac:dyDescent="0.2">
      <c r="A176" s="202">
        <v>8</v>
      </c>
      <c r="B176" s="201" t="s">
        <v>418</v>
      </c>
      <c r="C176" s="198">
        <f>+C169+C170+C171+C174</f>
        <v>11885</v>
      </c>
      <c r="D176" s="198">
        <f>+D169+D170+D171+D174</f>
        <v>12175</v>
      </c>
      <c r="E176" s="198">
        <f>+E169+E170+E171+E174</f>
        <v>11999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419</v>
      </c>
      <c r="B178" s="30" t="s">
        <v>420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411</v>
      </c>
      <c r="C179" s="210">
        <v>1.3150999999999999</v>
      </c>
      <c r="D179" s="210">
        <v>1.216</v>
      </c>
      <c r="E179" s="210">
        <v>1.2574000000000001</v>
      </c>
    </row>
    <row r="180" spans="1:6" ht="20.100000000000001" customHeight="1" x14ac:dyDescent="0.2">
      <c r="A180" s="202">
        <v>2</v>
      </c>
      <c r="B180" s="201" t="s">
        <v>412</v>
      </c>
      <c r="C180" s="210">
        <v>1.4590000000000001</v>
      </c>
      <c r="D180" s="210">
        <v>1.417</v>
      </c>
      <c r="E180" s="210">
        <v>1.4507000000000001</v>
      </c>
    </row>
    <row r="181" spans="1:6" ht="20.100000000000001" customHeight="1" x14ac:dyDescent="0.2">
      <c r="A181" s="202">
        <v>3</v>
      </c>
      <c r="B181" s="201" t="s">
        <v>413</v>
      </c>
      <c r="C181" s="210">
        <v>0.96192100000000003</v>
      </c>
      <c r="D181" s="210">
        <v>0.93410199999999999</v>
      </c>
      <c r="E181" s="210">
        <v>1.0012939999999999</v>
      </c>
    </row>
    <row r="182" spans="1:6" ht="20.100000000000001" customHeight="1" x14ac:dyDescent="0.2">
      <c r="A182" s="202">
        <v>4</v>
      </c>
      <c r="B182" s="201" t="s">
        <v>414</v>
      </c>
      <c r="C182" s="210">
        <v>0.89439999999999997</v>
      </c>
      <c r="D182" s="210">
        <v>0.88619999999999999</v>
      </c>
      <c r="E182" s="210">
        <v>0.99650000000000005</v>
      </c>
    </row>
    <row r="183" spans="1:6" ht="20.100000000000001" customHeight="1" x14ac:dyDescent="0.2">
      <c r="A183" s="202">
        <v>5</v>
      </c>
      <c r="B183" s="201" t="s">
        <v>415</v>
      </c>
      <c r="C183" s="210">
        <v>1.2721</v>
      </c>
      <c r="D183" s="210">
        <v>1.1617</v>
      </c>
      <c r="E183" s="210">
        <v>1.1697</v>
      </c>
    </row>
    <row r="184" spans="1:6" ht="20.100000000000001" customHeight="1" x14ac:dyDescent="0.2">
      <c r="A184" s="202">
        <v>6</v>
      </c>
      <c r="B184" s="201" t="s">
        <v>416</v>
      </c>
      <c r="C184" s="210">
        <v>0.94079999999999997</v>
      </c>
      <c r="D184" s="210">
        <v>0.78739999999999999</v>
      </c>
      <c r="E184" s="210">
        <v>0.83979999999999999</v>
      </c>
    </row>
    <row r="185" spans="1:6" ht="20.100000000000001" customHeight="1" x14ac:dyDescent="0.2">
      <c r="A185" s="202">
        <v>7</v>
      </c>
      <c r="B185" s="201" t="s">
        <v>417</v>
      </c>
      <c r="C185" s="210">
        <v>1.1848000000000001</v>
      </c>
      <c r="D185" s="210">
        <v>1.0119</v>
      </c>
      <c r="E185" s="210">
        <v>1.0202</v>
      </c>
    </row>
    <row r="186" spans="1:6" ht="20.100000000000001" customHeight="1" x14ac:dyDescent="0.2">
      <c r="A186" s="202">
        <v>8</v>
      </c>
      <c r="B186" s="201" t="s">
        <v>421</v>
      </c>
      <c r="C186" s="210">
        <v>1.304816</v>
      </c>
      <c r="D186" s="210">
        <v>1.2416879999999999</v>
      </c>
      <c r="E186" s="210">
        <v>1.282038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422</v>
      </c>
      <c r="B188" s="30" t="s">
        <v>423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424</v>
      </c>
      <c r="C189" s="198">
        <v>6343</v>
      </c>
      <c r="D189" s="198">
        <v>6391</v>
      </c>
      <c r="E189" s="198">
        <v>6846</v>
      </c>
    </row>
    <row r="190" spans="1:6" ht="20.100000000000001" customHeight="1" x14ac:dyDescent="0.2">
      <c r="A190" s="202">
        <v>2</v>
      </c>
      <c r="B190" s="201" t="s">
        <v>425</v>
      </c>
      <c r="C190" s="198">
        <v>57305</v>
      </c>
      <c r="D190" s="198">
        <v>59170</v>
      </c>
      <c r="E190" s="198">
        <v>56352</v>
      </c>
    </row>
    <row r="191" spans="1:6" ht="20.100000000000001" customHeight="1" x14ac:dyDescent="0.2">
      <c r="A191" s="202">
        <v>3</v>
      </c>
      <c r="B191" s="201" t="s">
        <v>426</v>
      </c>
      <c r="C191" s="198">
        <f>+C190+C189</f>
        <v>63648</v>
      </c>
      <c r="D191" s="198">
        <f>+D190+D189</f>
        <v>65561</v>
      </c>
      <c r="E191" s="198">
        <f>+E190+E189</f>
        <v>63198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FILING&amp;RWILLIAM W. BACKUS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427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153</v>
      </c>
      <c r="B8" s="221" t="s">
        <v>9</v>
      </c>
      <c r="C8" s="222" t="s">
        <v>428</v>
      </c>
      <c r="D8" s="223" t="s">
        <v>429</v>
      </c>
      <c r="E8" s="223" t="s">
        <v>430</v>
      </c>
      <c r="F8" s="224" t="s">
        <v>108</v>
      </c>
      <c r="G8" s="212"/>
    </row>
    <row r="9" spans="1:7" ht="20.25" customHeight="1" x14ac:dyDescent="0.3">
      <c r="A9" s="225"/>
      <c r="B9" s="226"/>
      <c r="C9" s="676"/>
      <c r="D9" s="677"/>
      <c r="E9" s="677"/>
      <c r="F9" s="678"/>
      <c r="G9" s="212"/>
    </row>
    <row r="10" spans="1:7" ht="20.25" customHeight="1" x14ac:dyDescent="0.3">
      <c r="A10" s="679" t="s">
        <v>12</v>
      </c>
      <c r="B10" s="681" t="s">
        <v>113</v>
      </c>
      <c r="C10" s="683"/>
      <c r="D10" s="684"/>
      <c r="E10" s="684"/>
      <c r="F10" s="685"/>
    </row>
    <row r="11" spans="1:7" ht="20.25" customHeight="1" x14ac:dyDescent="0.3">
      <c r="A11" s="680"/>
      <c r="B11" s="682"/>
      <c r="C11" s="686"/>
      <c r="D11" s="687"/>
      <c r="E11" s="687"/>
      <c r="F11" s="688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431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432</v>
      </c>
      <c r="C14" s="237">
        <v>979350</v>
      </c>
      <c r="D14" s="237">
        <v>444399</v>
      </c>
      <c r="E14" s="237">
        <f t="shared" ref="E14:E24" si="0">D14-C14</f>
        <v>-534951</v>
      </c>
      <c r="F14" s="238">
        <f t="shared" ref="F14:F24" si="1">IF(C14=0,0,E14/C14)</f>
        <v>-0.54623066319497626</v>
      </c>
    </row>
    <row r="15" spans="1:7" ht="20.25" customHeight="1" x14ac:dyDescent="0.3">
      <c r="A15" s="235">
        <v>2</v>
      </c>
      <c r="B15" s="236" t="s">
        <v>433</v>
      </c>
      <c r="C15" s="237">
        <v>420710</v>
      </c>
      <c r="D15" s="237">
        <v>244260</v>
      </c>
      <c r="E15" s="237">
        <f t="shared" si="0"/>
        <v>-176450</v>
      </c>
      <c r="F15" s="238">
        <f t="shared" si="1"/>
        <v>-0.41941004492405692</v>
      </c>
    </row>
    <row r="16" spans="1:7" ht="20.25" customHeight="1" x14ac:dyDescent="0.3">
      <c r="A16" s="235">
        <v>3</v>
      </c>
      <c r="B16" s="236" t="s">
        <v>434</v>
      </c>
      <c r="C16" s="237">
        <v>934602</v>
      </c>
      <c r="D16" s="237">
        <v>694010</v>
      </c>
      <c r="E16" s="237">
        <f t="shared" si="0"/>
        <v>-240592</v>
      </c>
      <c r="F16" s="238">
        <f t="shared" si="1"/>
        <v>-0.25742722570677146</v>
      </c>
    </row>
    <row r="17" spans="1:6" ht="20.25" customHeight="1" x14ac:dyDescent="0.3">
      <c r="A17" s="235">
        <v>4</v>
      </c>
      <c r="B17" s="236" t="s">
        <v>435</v>
      </c>
      <c r="C17" s="237">
        <v>224671</v>
      </c>
      <c r="D17" s="237">
        <v>172546</v>
      </c>
      <c r="E17" s="237">
        <f t="shared" si="0"/>
        <v>-52125</v>
      </c>
      <c r="F17" s="238">
        <f t="shared" si="1"/>
        <v>-0.23200591086522071</v>
      </c>
    </row>
    <row r="18" spans="1:6" ht="20.25" customHeight="1" x14ac:dyDescent="0.3">
      <c r="A18" s="235">
        <v>5</v>
      </c>
      <c r="B18" s="236" t="s">
        <v>371</v>
      </c>
      <c r="C18" s="239">
        <v>47</v>
      </c>
      <c r="D18" s="239">
        <v>21</v>
      </c>
      <c r="E18" s="239">
        <f t="shared" si="0"/>
        <v>-26</v>
      </c>
      <c r="F18" s="238">
        <f t="shared" si="1"/>
        <v>-0.55319148936170215</v>
      </c>
    </row>
    <row r="19" spans="1:6" ht="20.25" customHeight="1" x14ac:dyDescent="0.3">
      <c r="A19" s="235">
        <v>6</v>
      </c>
      <c r="B19" s="236" t="s">
        <v>370</v>
      </c>
      <c r="C19" s="239">
        <v>240</v>
      </c>
      <c r="D19" s="239">
        <v>93</v>
      </c>
      <c r="E19" s="239">
        <f t="shared" si="0"/>
        <v>-147</v>
      </c>
      <c r="F19" s="238">
        <f t="shared" si="1"/>
        <v>-0.61250000000000004</v>
      </c>
    </row>
    <row r="20" spans="1:6" ht="20.25" customHeight="1" x14ac:dyDescent="0.3">
      <c r="A20" s="235">
        <v>7</v>
      </c>
      <c r="B20" s="236" t="s">
        <v>436</v>
      </c>
      <c r="C20" s="239">
        <v>705</v>
      </c>
      <c r="D20" s="239">
        <v>334</v>
      </c>
      <c r="E20" s="239">
        <f t="shared" si="0"/>
        <v>-371</v>
      </c>
      <c r="F20" s="238">
        <f t="shared" si="1"/>
        <v>-0.52624113475177303</v>
      </c>
    </row>
    <row r="21" spans="1:6" ht="20.25" customHeight="1" x14ac:dyDescent="0.3">
      <c r="A21" s="235">
        <v>8</v>
      </c>
      <c r="B21" s="236" t="s">
        <v>437</v>
      </c>
      <c r="C21" s="239">
        <v>59</v>
      </c>
      <c r="D21" s="239">
        <v>35</v>
      </c>
      <c r="E21" s="239">
        <f t="shared" si="0"/>
        <v>-24</v>
      </c>
      <c r="F21" s="238">
        <f t="shared" si="1"/>
        <v>-0.40677966101694918</v>
      </c>
    </row>
    <row r="22" spans="1:6" ht="20.25" customHeight="1" x14ac:dyDescent="0.3">
      <c r="A22" s="235">
        <v>9</v>
      </c>
      <c r="B22" s="236" t="s">
        <v>438</v>
      </c>
      <c r="C22" s="239">
        <v>41</v>
      </c>
      <c r="D22" s="239">
        <v>19</v>
      </c>
      <c r="E22" s="239">
        <f t="shared" si="0"/>
        <v>-22</v>
      </c>
      <c r="F22" s="238">
        <f t="shared" si="1"/>
        <v>-0.53658536585365857</v>
      </c>
    </row>
    <row r="23" spans="1:6" s="240" customFormat="1" ht="20.25" customHeight="1" x14ac:dyDescent="0.3">
      <c r="A23" s="241"/>
      <c r="B23" s="242" t="s">
        <v>439</v>
      </c>
      <c r="C23" s="243">
        <f>+C14+C16</f>
        <v>1913952</v>
      </c>
      <c r="D23" s="243">
        <f>+D14+D16</f>
        <v>1138409</v>
      </c>
      <c r="E23" s="243">
        <f t="shared" si="0"/>
        <v>-775543</v>
      </c>
      <c r="F23" s="244">
        <f t="shared" si="1"/>
        <v>-0.40520504171473476</v>
      </c>
    </row>
    <row r="24" spans="1:6" s="240" customFormat="1" ht="20.25" customHeight="1" x14ac:dyDescent="0.3">
      <c r="A24" s="241"/>
      <c r="B24" s="242" t="s">
        <v>440</v>
      </c>
      <c r="C24" s="243">
        <f>+C15+C17</f>
        <v>645381</v>
      </c>
      <c r="D24" s="243">
        <f>+D15+D17</f>
        <v>416806</v>
      </c>
      <c r="E24" s="243">
        <f t="shared" si="0"/>
        <v>-228575</v>
      </c>
      <c r="F24" s="244">
        <f t="shared" si="1"/>
        <v>-0.35417063718950509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441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432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433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434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435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371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370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436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437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438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439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440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442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432</v>
      </c>
      <c r="C40" s="237">
        <v>2997090</v>
      </c>
      <c r="D40" s="237">
        <v>5845085</v>
      </c>
      <c r="E40" s="237">
        <f t="shared" ref="E40:E50" si="4">D40-C40</f>
        <v>2847995</v>
      </c>
      <c r="F40" s="238">
        <f t="shared" ref="F40:F50" si="5">IF(C40=0,0,E40/C40)</f>
        <v>0.95025341247676909</v>
      </c>
    </row>
    <row r="41" spans="1:6" ht="20.25" customHeight="1" x14ac:dyDescent="0.3">
      <c r="A41" s="235">
        <v>2</v>
      </c>
      <c r="B41" s="236" t="s">
        <v>433</v>
      </c>
      <c r="C41" s="237">
        <v>1242698</v>
      </c>
      <c r="D41" s="237">
        <v>2486438</v>
      </c>
      <c r="E41" s="237">
        <f t="shared" si="4"/>
        <v>1243740</v>
      </c>
      <c r="F41" s="238">
        <f t="shared" si="5"/>
        <v>1.0008384981709153</v>
      </c>
    </row>
    <row r="42" spans="1:6" ht="20.25" customHeight="1" x14ac:dyDescent="0.3">
      <c r="A42" s="235">
        <v>3</v>
      </c>
      <c r="B42" s="236" t="s">
        <v>434</v>
      </c>
      <c r="C42" s="237">
        <v>2862650</v>
      </c>
      <c r="D42" s="237">
        <v>7146797</v>
      </c>
      <c r="E42" s="237">
        <f t="shared" si="4"/>
        <v>4284147</v>
      </c>
      <c r="F42" s="238">
        <f t="shared" si="5"/>
        <v>1.4965668174593472</v>
      </c>
    </row>
    <row r="43" spans="1:6" ht="20.25" customHeight="1" x14ac:dyDescent="0.3">
      <c r="A43" s="235">
        <v>4</v>
      </c>
      <c r="B43" s="236" t="s">
        <v>435</v>
      </c>
      <c r="C43" s="237">
        <v>645809</v>
      </c>
      <c r="D43" s="237">
        <v>1621038</v>
      </c>
      <c r="E43" s="237">
        <f t="shared" si="4"/>
        <v>975229</v>
      </c>
      <c r="F43" s="238">
        <f t="shared" si="5"/>
        <v>1.5100888962526071</v>
      </c>
    </row>
    <row r="44" spans="1:6" ht="20.25" customHeight="1" x14ac:dyDescent="0.3">
      <c r="A44" s="235">
        <v>5</v>
      </c>
      <c r="B44" s="236" t="s">
        <v>371</v>
      </c>
      <c r="C44" s="239">
        <v>114</v>
      </c>
      <c r="D44" s="239">
        <v>248</v>
      </c>
      <c r="E44" s="239">
        <f t="shared" si="4"/>
        <v>134</v>
      </c>
      <c r="F44" s="238">
        <f t="shared" si="5"/>
        <v>1.1754385964912282</v>
      </c>
    </row>
    <row r="45" spans="1:6" ht="20.25" customHeight="1" x14ac:dyDescent="0.3">
      <c r="A45" s="235">
        <v>6</v>
      </c>
      <c r="B45" s="236" t="s">
        <v>370</v>
      </c>
      <c r="C45" s="239">
        <v>563</v>
      </c>
      <c r="D45" s="239">
        <v>1129</v>
      </c>
      <c r="E45" s="239">
        <f t="shared" si="4"/>
        <v>566</v>
      </c>
      <c r="F45" s="238">
        <f t="shared" si="5"/>
        <v>1.0053285968028418</v>
      </c>
    </row>
    <row r="46" spans="1:6" ht="20.25" customHeight="1" x14ac:dyDescent="0.3">
      <c r="A46" s="235">
        <v>7</v>
      </c>
      <c r="B46" s="236" t="s">
        <v>436</v>
      </c>
      <c r="C46" s="239">
        <v>1888</v>
      </c>
      <c r="D46" s="239">
        <v>5053</v>
      </c>
      <c r="E46" s="239">
        <f t="shared" si="4"/>
        <v>3165</v>
      </c>
      <c r="F46" s="238">
        <f t="shared" si="5"/>
        <v>1.6763771186440677</v>
      </c>
    </row>
    <row r="47" spans="1:6" ht="20.25" customHeight="1" x14ac:dyDescent="0.3">
      <c r="A47" s="235">
        <v>8</v>
      </c>
      <c r="B47" s="236" t="s">
        <v>437</v>
      </c>
      <c r="C47" s="239">
        <v>102</v>
      </c>
      <c r="D47" s="239">
        <v>348</v>
      </c>
      <c r="E47" s="239">
        <f t="shared" si="4"/>
        <v>246</v>
      </c>
      <c r="F47" s="238">
        <f t="shared" si="5"/>
        <v>2.4117647058823528</v>
      </c>
    </row>
    <row r="48" spans="1:6" ht="20.25" customHeight="1" x14ac:dyDescent="0.3">
      <c r="A48" s="235">
        <v>9</v>
      </c>
      <c r="B48" s="236" t="s">
        <v>438</v>
      </c>
      <c r="C48" s="239">
        <v>66</v>
      </c>
      <c r="D48" s="239">
        <v>168</v>
      </c>
      <c r="E48" s="239">
        <f t="shared" si="4"/>
        <v>102</v>
      </c>
      <c r="F48" s="238">
        <f t="shared" si="5"/>
        <v>1.5454545454545454</v>
      </c>
    </row>
    <row r="49" spans="1:6" s="240" customFormat="1" ht="20.25" customHeight="1" x14ac:dyDescent="0.3">
      <c r="A49" s="241"/>
      <c r="B49" s="242" t="s">
        <v>439</v>
      </c>
      <c r="C49" s="243">
        <f>+C40+C42</f>
        <v>5859740</v>
      </c>
      <c r="D49" s="243">
        <f>+D40+D42</f>
        <v>12991882</v>
      </c>
      <c r="E49" s="243">
        <f t="shared" si="4"/>
        <v>7132142</v>
      </c>
      <c r="F49" s="244">
        <f t="shared" si="5"/>
        <v>1.2171430814336472</v>
      </c>
    </row>
    <row r="50" spans="1:6" s="240" customFormat="1" ht="20.25" customHeight="1" x14ac:dyDescent="0.3">
      <c r="A50" s="241"/>
      <c r="B50" s="242" t="s">
        <v>440</v>
      </c>
      <c r="C50" s="243">
        <f>+C41+C43</f>
        <v>1888507</v>
      </c>
      <c r="D50" s="243">
        <f>+D41+D43</f>
        <v>4107476</v>
      </c>
      <c r="E50" s="243">
        <f t="shared" si="4"/>
        <v>2218969</v>
      </c>
      <c r="F50" s="244">
        <f t="shared" si="5"/>
        <v>1.1749858486095099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170</v>
      </c>
      <c r="B52" s="231" t="s">
        <v>443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432</v>
      </c>
      <c r="C53" s="237">
        <v>6616255</v>
      </c>
      <c r="D53" s="237">
        <v>1765932</v>
      </c>
      <c r="E53" s="237">
        <f t="shared" ref="E53:E63" si="6">D53-C53</f>
        <v>-4850323</v>
      </c>
      <c r="F53" s="238">
        <f t="shared" ref="F53:F63" si="7">IF(C53=0,0,E53/C53)</f>
        <v>-0.73309190773330235</v>
      </c>
    </row>
    <row r="54" spans="1:6" ht="20.25" customHeight="1" x14ac:dyDescent="0.3">
      <c r="A54" s="235">
        <v>2</v>
      </c>
      <c r="B54" s="236" t="s">
        <v>433</v>
      </c>
      <c r="C54" s="237">
        <v>2870799</v>
      </c>
      <c r="D54" s="237">
        <v>726270</v>
      </c>
      <c r="E54" s="237">
        <f t="shared" si="6"/>
        <v>-2144529</v>
      </c>
      <c r="F54" s="238">
        <f t="shared" si="7"/>
        <v>-0.74701468127862658</v>
      </c>
    </row>
    <row r="55" spans="1:6" ht="20.25" customHeight="1" x14ac:dyDescent="0.3">
      <c r="A55" s="235">
        <v>3</v>
      </c>
      <c r="B55" s="236" t="s">
        <v>434</v>
      </c>
      <c r="C55" s="237">
        <v>7454236</v>
      </c>
      <c r="D55" s="237">
        <v>2045059</v>
      </c>
      <c r="E55" s="237">
        <f t="shared" si="6"/>
        <v>-5409177</v>
      </c>
      <c r="F55" s="238">
        <f t="shared" si="7"/>
        <v>-0.72565142826172935</v>
      </c>
    </row>
    <row r="56" spans="1:6" ht="20.25" customHeight="1" x14ac:dyDescent="0.3">
      <c r="A56" s="235">
        <v>4</v>
      </c>
      <c r="B56" s="236" t="s">
        <v>435</v>
      </c>
      <c r="C56" s="237">
        <v>1769876</v>
      </c>
      <c r="D56" s="237">
        <v>441479</v>
      </c>
      <c r="E56" s="237">
        <f t="shared" si="6"/>
        <v>-1328397</v>
      </c>
      <c r="F56" s="238">
        <f t="shared" si="7"/>
        <v>-0.75055936122078604</v>
      </c>
    </row>
    <row r="57" spans="1:6" ht="20.25" customHeight="1" x14ac:dyDescent="0.3">
      <c r="A57" s="235">
        <v>5</v>
      </c>
      <c r="B57" s="236" t="s">
        <v>371</v>
      </c>
      <c r="C57" s="239">
        <v>284</v>
      </c>
      <c r="D57" s="239">
        <v>77</v>
      </c>
      <c r="E57" s="239">
        <f t="shared" si="6"/>
        <v>-207</v>
      </c>
      <c r="F57" s="238">
        <f t="shared" si="7"/>
        <v>-0.72887323943661975</v>
      </c>
    </row>
    <row r="58" spans="1:6" ht="20.25" customHeight="1" x14ac:dyDescent="0.3">
      <c r="A58" s="235">
        <v>6</v>
      </c>
      <c r="B58" s="236" t="s">
        <v>370</v>
      </c>
      <c r="C58" s="239">
        <v>1359</v>
      </c>
      <c r="D58" s="239">
        <v>402</v>
      </c>
      <c r="E58" s="239">
        <f t="shared" si="6"/>
        <v>-957</v>
      </c>
      <c r="F58" s="238">
        <f t="shared" si="7"/>
        <v>-0.70419426048565126</v>
      </c>
    </row>
    <row r="59" spans="1:6" ht="20.25" customHeight="1" x14ac:dyDescent="0.3">
      <c r="A59" s="235">
        <v>7</v>
      </c>
      <c r="B59" s="236" t="s">
        <v>436</v>
      </c>
      <c r="C59" s="239">
        <v>5809</v>
      </c>
      <c r="D59" s="239">
        <v>1544</v>
      </c>
      <c r="E59" s="239">
        <f t="shared" si="6"/>
        <v>-4265</v>
      </c>
      <c r="F59" s="238">
        <f t="shared" si="7"/>
        <v>-0.73420554312274056</v>
      </c>
    </row>
    <row r="60" spans="1:6" ht="20.25" customHeight="1" x14ac:dyDescent="0.3">
      <c r="A60" s="235">
        <v>8</v>
      </c>
      <c r="B60" s="236" t="s">
        <v>437</v>
      </c>
      <c r="C60" s="239">
        <v>422</v>
      </c>
      <c r="D60" s="239">
        <v>108</v>
      </c>
      <c r="E60" s="239">
        <f t="shared" si="6"/>
        <v>-314</v>
      </c>
      <c r="F60" s="238">
        <f t="shared" si="7"/>
        <v>-0.74407582938388628</v>
      </c>
    </row>
    <row r="61" spans="1:6" ht="20.25" customHeight="1" x14ac:dyDescent="0.3">
      <c r="A61" s="235">
        <v>9</v>
      </c>
      <c r="B61" s="236" t="s">
        <v>438</v>
      </c>
      <c r="C61" s="239">
        <v>212</v>
      </c>
      <c r="D61" s="239">
        <v>47</v>
      </c>
      <c r="E61" s="239">
        <f t="shared" si="6"/>
        <v>-165</v>
      </c>
      <c r="F61" s="238">
        <f t="shared" si="7"/>
        <v>-0.77830188679245282</v>
      </c>
    </row>
    <row r="62" spans="1:6" s="240" customFormat="1" ht="20.25" customHeight="1" x14ac:dyDescent="0.3">
      <c r="A62" s="241"/>
      <c r="B62" s="242" t="s">
        <v>439</v>
      </c>
      <c r="C62" s="243">
        <f>+C53+C55</f>
        <v>14070491</v>
      </c>
      <c r="D62" s="243">
        <f>+D53+D55</f>
        <v>3810991</v>
      </c>
      <c r="E62" s="243">
        <f t="shared" si="6"/>
        <v>-10259500</v>
      </c>
      <c r="F62" s="244">
        <f t="shared" si="7"/>
        <v>-0.72915010570704319</v>
      </c>
    </row>
    <row r="63" spans="1:6" s="240" customFormat="1" ht="20.25" customHeight="1" x14ac:dyDescent="0.3">
      <c r="A63" s="241"/>
      <c r="B63" s="242" t="s">
        <v>440</v>
      </c>
      <c r="C63" s="243">
        <f>+C54+C56</f>
        <v>4640675</v>
      </c>
      <c r="D63" s="243">
        <f>+D54+D56</f>
        <v>1167749</v>
      </c>
      <c r="E63" s="243">
        <f t="shared" si="6"/>
        <v>-3472926</v>
      </c>
      <c r="F63" s="244">
        <f t="shared" si="7"/>
        <v>-0.74836656305386606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175</v>
      </c>
      <c r="B65" s="231" t="s">
        <v>444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432</v>
      </c>
      <c r="C66" s="237">
        <v>1805617</v>
      </c>
      <c r="D66" s="237">
        <v>1803407</v>
      </c>
      <c r="E66" s="237">
        <f t="shared" ref="E66:E76" si="8">D66-C66</f>
        <v>-2210</v>
      </c>
      <c r="F66" s="238">
        <f t="shared" ref="F66:F76" si="9">IF(C66=0,0,E66/C66)</f>
        <v>-1.2239583477559194E-3</v>
      </c>
    </row>
    <row r="67" spans="1:6" ht="20.25" customHeight="1" x14ac:dyDescent="0.3">
      <c r="A67" s="235">
        <v>2</v>
      </c>
      <c r="B67" s="236" t="s">
        <v>433</v>
      </c>
      <c r="C67" s="237">
        <v>776208</v>
      </c>
      <c r="D67" s="237">
        <v>662697</v>
      </c>
      <c r="E67" s="237">
        <f t="shared" si="8"/>
        <v>-113511</v>
      </c>
      <c r="F67" s="238">
        <f t="shared" si="9"/>
        <v>-0.14623786407766989</v>
      </c>
    </row>
    <row r="68" spans="1:6" ht="20.25" customHeight="1" x14ac:dyDescent="0.3">
      <c r="A68" s="235">
        <v>3</v>
      </c>
      <c r="B68" s="236" t="s">
        <v>434</v>
      </c>
      <c r="C68" s="237">
        <v>790277</v>
      </c>
      <c r="D68" s="237">
        <v>757398</v>
      </c>
      <c r="E68" s="237">
        <f t="shared" si="8"/>
        <v>-32879</v>
      </c>
      <c r="F68" s="238">
        <f t="shared" si="9"/>
        <v>-4.1604399470059235E-2</v>
      </c>
    </row>
    <row r="69" spans="1:6" ht="20.25" customHeight="1" x14ac:dyDescent="0.3">
      <c r="A69" s="235">
        <v>4</v>
      </c>
      <c r="B69" s="236" t="s">
        <v>435</v>
      </c>
      <c r="C69" s="237">
        <v>192655</v>
      </c>
      <c r="D69" s="237">
        <v>216000</v>
      </c>
      <c r="E69" s="237">
        <f t="shared" si="8"/>
        <v>23345</v>
      </c>
      <c r="F69" s="238">
        <f t="shared" si="9"/>
        <v>0.12117515766525655</v>
      </c>
    </row>
    <row r="70" spans="1:6" ht="20.25" customHeight="1" x14ac:dyDescent="0.3">
      <c r="A70" s="235">
        <v>5</v>
      </c>
      <c r="B70" s="236" t="s">
        <v>371</v>
      </c>
      <c r="C70" s="239">
        <v>86</v>
      </c>
      <c r="D70" s="239">
        <v>72</v>
      </c>
      <c r="E70" s="239">
        <f t="shared" si="8"/>
        <v>-14</v>
      </c>
      <c r="F70" s="238">
        <f t="shared" si="9"/>
        <v>-0.16279069767441862</v>
      </c>
    </row>
    <row r="71" spans="1:6" ht="20.25" customHeight="1" x14ac:dyDescent="0.3">
      <c r="A71" s="235">
        <v>6</v>
      </c>
      <c r="B71" s="236" t="s">
        <v>370</v>
      </c>
      <c r="C71" s="239">
        <v>189</v>
      </c>
      <c r="D71" s="239">
        <v>360</v>
      </c>
      <c r="E71" s="239">
        <f t="shared" si="8"/>
        <v>171</v>
      </c>
      <c r="F71" s="238">
        <f t="shared" si="9"/>
        <v>0.90476190476190477</v>
      </c>
    </row>
    <row r="72" spans="1:6" ht="20.25" customHeight="1" x14ac:dyDescent="0.3">
      <c r="A72" s="235">
        <v>7</v>
      </c>
      <c r="B72" s="236" t="s">
        <v>436</v>
      </c>
      <c r="C72" s="239">
        <v>4707</v>
      </c>
      <c r="D72" s="239">
        <v>432</v>
      </c>
      <c r="E72" s="239">
        <f t="shared" si="8"/>
        <v>-4275</v>
      </c>
      <c r="F72" s="238">
        <f t="shared" si="9"/>
        <v>-0.90822179732313579</v>
      </c>
    </row>
    <row r="73" spans="1:6" ht="20.25" customHeight="1" x14ac:dyDescent="0.3">
      <c r="A73" s="235">
        <v>8</v>
      </c>
      <c r="B73" s="236" t="s">
        <v>437</v>
      </c>
      <c r="C73" s="239">
        <v>492</v>
      </c>
      <c r="D73" s="239">
        <v>95</v>
      </c>
      <c r="E73" s="239">
        <f t="shared" si="8"/>
        <v>-397</v>
      </c>
      <c r="F73" s="238">
        <f t="shared" si="9"/>
        <v>-0.80691056910569103</v>
      </c>
    </row>
    <row r="74" spans="1:6" ht="20.25" customHeight="1" x14ac:dyDescent="0.3">
      <c r="A74" s="235">
        <v>9</v>
      </c>
      <c r="B74" s="236" t="s">
        <v>438</v>
      </c>
      <c r="C74" s="239">
        <v>70</v>
      </c>
      <c r="D74" s="239">
        <v>67</v>
      </c>
      <c r="E74" s="239">
        <f t="shared" si="8"/>
        <v>-3</v>
      </c>
      <c r="F74" s="238">
        <f t="shared" si="9"/>
        <v>-4.2857142857142858E-2</v>
      </c>
    </row>
    <row r="75" spans="1:6" s="240" customFormat="1" ht="20.25" customHeight="1" x14ac:dyDescent="0.3">
      <c r="A75" s="241"/>
      <c r="B75" s="242" t="s">
        <v>439</v>
      </c>
      <c r="C75" s="243">
        <f>+C66+C68</f>
        <v>2595894</v>
      </c>
      <c r="D75" s="243">
        <f>+D66+D68</f>
        <v>2560805</v>
      </c>
      <c r="E75" s="243">
        <f t="shared" si="8"/>
        <v>-35089</v>
      </c>
      <c r="F75" s="244">
        <f t="shared" si="9"/>
        <v>-1.3517115876071982E-2</v>
      </c>
    </row>
    <row r="76" spans="1:6" s="240" customFormat="1" ht="20.25" customHeight="1" x14ac:dyDescent="0.3">
      <c r="A76" s="241"/>
      <c r="B76" s="242" t="s">
        <v>440</v>
      </c>
      <c r="C76" s="243">
        <f>+C67+C69</f>
        <v>968863</v>
      </c>
      <c r="D76" s="243">
        <f>+D67+D69</f>
        <v>878697</v>
      </c>
      <c r="E76" s="243">
        <f t="shared" si="8"/>
        <v>-90166</v>
      </c>
      <c r="F76" s="244">
        <f t="shared" si="9"/>
        <v>-9.3063725211923673E-2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181</v>
      </c>
      <c r="B78" s="231" t="s">
        <v>445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432</v>
      </c>
      <c r="C79" s="237">
        <v>0</v>
      </c>
      <c r="D79" s="237">
        <v>71126</v>
      </c>
      <c r="E79" s="237">
        <f t="shared" ref="E79:E89" si="10">D79-C79</f>
        <v>71126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433</v>
      </c>
      <c r="C80" s="237">
        <v>0</v>
      </c>
      <c r="D80" s="237">
        <v>34822</v>
      </c>
      <c r="E80" s="237">
        <f t="shared" si="10"/>
        <v>34822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434</v>
      </c>
      <c r="C81" s="237">
        <v>2473</v>
      </c>
      <c r="D81" s="237">
        <v>17230</v>
      </c>
      <c r="E81" s="237">
        <f t="shared" si="10"/>
        <v>14757</v>
      </c>
      <c r="F81" s="238">
        <f t="shared" si="11"/>
        <v>5.9672462596037201</v>
      </c>
    </row>
    <row r="82" spans="1:6" ht="20.25" customHeight="1" x14ac:dyDescent="0.3">
      <c r="A82" s="235">
        <v>4</v>
      </c>
      <c r="B82" s="236" t="s">
        <v>435</v>
      </c>
      <c r="C82" s="237">
        <v>500</v>
      </c>
      <c r="D82" s="237">
        <v>4115</v>
      </c>
      <c r="E82" s="237">
        <f t="shared" si="10"/>
        <v>3615</v>
      </c>
      <c r="F82" s="238">
        <f t="shared" si="11"/>
        <v>7.23</v>
      </c>
    </row>
    <row r="83" spans="1:6" ht="20.25" customHeight="1" x14ac:dyDescent="0.3">
      <c r="A83" s="235">
        <v>5</v>
      </c>
      <c r="B83" s="236" t="s">
        <v>371</v>
      </c>
      <c r="C83" s="239">
        <v>0</v>
      </c>
      <c r="D83" s="239">
        <v>4</v>
      </c>
      <c r="E83" s="239">
        <f t="shared" si="10"/>
        <v>4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370</v>
      </c>
      <c r="C84" s="239">
        <v>0</v>
      </c>
      <c r="D84" s="239">
        <v>20</v>
      </c>
      <c r="E84" s="239">
        <f t="shared" si="10"/>
        <v>20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436</v>
      </c>
      <c r="C85" s="239">
        <v>0</v>
      </c>
      <c r="D85" s="239">
        <v>5</v>
      </c>
      <c r="E85" s="239">
        <f t="shared" si="10"/>
        <v>5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437</v>
      </c>
      <c r="C86" s="239">
        <v>2</v>
      </c>
      <c r="D86" s="239">
        <v>4</v>
      </c>
      <c r="E86" s="239">
        <f t="shared" si="10"/>
        <v>2</v>
      </c>
      <c r="F86" s="238">
        <f t="shared" si="11"/>
        <v>1</v>
      </c>
    </row>
    <row r="87" spans="1:6" ht="20.25" customHeight="1" x14ac:dyDescent="0.3">
      <c r="A87" s="235">
        <v>9</v>
      </c>
      <c r="B87" s="236" t="s">
        <v>438</v>
      </c>
      <c r="C87" s="239">
        <v>0</v>
      </c>
      <c r="D87" s="239">
        <v>4</v>
      </c>
      <c r="E87" s="239">
        <f t="shared" si="10"/>
        <v>4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439</v>
      </c>
      <c r="C88" s="243">
        <f>+C79+C81</f>
        <v>2473</v>
      </c>
      <c r="D88" s="243">
        <f>+D79+D81</f>
        <v>88356</v>
      </c>
      <c r="E88" s="243">
        <f t="shared" si="10"/>
        <v>85883</v>
      </c>
      <c r="F88" s="244">
        <f t="shared" si="11"/>
        <v>34.728265264860497</v>
      </c>
    </row>
    <row r="89" spans="1:6" s="240" customFormat="1" ht="20.25" customHeight="1" x14ac:dyDescent="0.3">
      <c r="A89" s="241"/>
      <c r="B89" s="242" t="s">
        <v>440</v>
      </c>
      <c r="C89" s="243">
        <f>+C80+C82</f>
        <v>500</v>
      </c>
      <c r="D89" s="243">
        <f>+D80+D82</f>
        <v>38937</v>
      </c>
      <c r="E89" s="243">
        <f t="shared" si="10"/>
        <v>38437</v>
      </c>
      <c r="F89" s="244">
        <f t="shared" si="11"/>
        <v>76.873999999999995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183</v>
      </c>
      <c r="B91" s="231" t="s">
        <v>446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432</v>
      </c>
      <c r="C92" s="237">
        <v>1257505</v>
      </c>
      <c r="D92" s="237">
        <v>3850403</v>
      </c>
      <c r="E92" s="237">
        <f t="shared" ref="E92:E102" si="12">D92-C92</f>
        <v>2592898</v>
      </c>
      <c r="F92" s="238">
        <f t="shared" ref="F92:F102" si="13">IF(C92=0,0,E92/C92)</f>
        <v>2.0619385211192003</v>
      </c>
    </row>
    <row r="93" spans="1:6" ht="20.25" customHeight="1" x14ac:dyDescent="0.3">
      <c r="A93" s="235">
        <v>2</v>
      </c>
      <c r="B93" s="236" t="s">
        <v>433</v>
      </c>
      <c r="C93" s="237">
        <v>487333</v>
      </c>
      <c r="D93" s="237">
        <v>1556890</v>
      </c>
      <c r="E93" s="237">
        <f t="shared" si="12"/>
        <v>1069557</v>
      </c>
      <c r="F93" s="238">
        <f t="shared" si="13"/>
        <v>2.1947149074657371</v>
      </c>
    </row>
    <row r="94" spans="1:6" ht="20.25" customHeight="1" x14ac:dyDescent="0.3">
      <c r="A94" s="235">
        <v>3</v>
      </c>
      <c r="B94" s="236" t="s">
        <v>434</v>
      </c>
      <c r="C94" s="237">
        <v>996103</v>
      </c>
      <c r="D94" s="237">
        <v>3600656</v>
      </c>
      <c r="E94" s="237">
        <f t="shared" si="12"/>
        <v>2604553</v>
      </c>
      <c r="F94" s="238">
        <f t="shared" si="13"/>
        <v>2.6147426521152934</v>
      </c>
    </row>
    <row r="95" spans="1:6" ht="20.25" customHeight="1" x14ac:dyDescent="0.3">
      <c r="A95" s="235">
        <v>4</v>
      </c>
      <c r="B95" s="236" t="s">
        <v>435</v>
      </c>
      <c r="C95" s="237">
        <v>218977</v>
      </c>
      <c r="D95" s="237">
        <v>818427</v>
      </c>
      <c r="E95" s="237">
        <f t="shared" si="12"/>
        <v>599450</v>
      </c>
      <c r="F95" s="238">
        <f t="shared" si="13"/>
        <v>2.737502112093964</v>
      </c>
    </row>
    <row r="96" spans="1:6" ht="20.25" customHeight="1" x14ac:dyDescent="0.3">
      <c r="A96" s="235">
        <v>5</v>
      </c>
      <c r="B96" s="236" t="s">
        <v>371</v>
      </c>
      <c r="C96" s="239">
        <v>47</v>
      </c>
      <c r="D96" s="239">
        <v>151</v>
      </c>
      <c r="E96" s="239">
        <f t="shared" si="12"/>
        <v>104</v>
      </c>
      <c r="F96" s="238">
        <f t="shared" si="13"/>
        <v>2.2127659574468086</v>
      </c>
    </row>
    <row r="97" spans="1:6" ht="20.25" customHeight="1" x14ac:dyDescent="0.3">
      <c r="A97" s="235">
        <v>6</v>
      </c>
      <c r="B97" s="236" t="s">
        <v>370</v>
      </c>
      <c r="C97" s="239">
        <v>252</v>
      </c>
      <c r="D97" s="239">
        <v>762</v>
      </c>
      <c r="E97" s="239">
        <f t="shared" si="12"/>
        <v>510</v>
      </c>
      <c r="F97" s="238">
        <f t="shared" si="13"/>
        <v>2.0238095238095237</v>
      </c>
    </row>
    <row r="98" spans="1:6" ht="20.25" customHeight="1" x14ac:dyDescent="0.3">
      <c r="A98" s="235">
        <v>7</v>
      </c>
      <c r="B98" s="236" t="s">
        <v>436</v>
      </c>
      <c r="C98" s="239">
        <v>644</v>
      </c>
      <c r="D98" s="239">
        <v>2708</v>
      </c>
      <c r="E98" s="239">
        <f t="shared" si="12"/>
        <v>2064</v>
      </c>
      <c r="F98" s="238">
        <f t="shared" si="13"/>
        <v>3.2049689440993787</v>
      </c>
    </row>
    <row r="99" spans="1:6" ht="20.25" customHeight="1" x14ac:dyDescent="0.3">
      <c r="A99" s="235">
        <v>8</v>
      </c>
      <c r="B99" s="236" t="s">
        <v>437</v>
      </c>
      <c r="C99" s="239">
        <v>78</v>
      </c>
      <c r="D99" s="239">
        <v>273</v>
      </c>
      <c r="E99" s="239">
        <f t="shared" si="12"/>
        <v>195</v>
      </c>
      <c r="F99" s="238">
        <f t="shared" si="13"/>
        <v>2.5</v>
      </c>
    </row>
    <row r="100" spans="1:6" ht="20.25" customHeight="1" x14ac:dyDescent="0.3">
      <c r="A100" s="235">
        <v>9</v>
      </c>
      <c r="B100" s="236" t="s">
        <v>438</v>
      </c>
      <c r="C100" s="239">
        <v>28</v>
      </c>
      <c r="D100" s="239">
        <v>118</v>
      </c>
      <c r="E100" s="239">
        <f t="shared" si="12"/>
        <v>90</v>
      </c>
      <c r="F100" s="238">
        <f t="shared" si="13"/>
        <v>3.2142857142857144</v>
      </c>
    </row>
    <row r="101" spans="1:6" s="240" customFormat="1" ht="20.25" customHeight="1" x14ac:dyDescent="0.3">
      <c r="A101" s="241"/>
      <c r="B101" s="242" t="s">
        <v>439</v>
      </c>
      <c r="C101" s="243">
        <f>+C92+C94</f>
        <v>2253608</v>
      </c>
      <c r="D101" s="243">
        <f>+D92+D94</f>
        <v>7451059</v>
      </c>
      <c r="E101" s="243">
        <f t="shared" si="12"/>
        <v>5197451</v>
      </c>
      <c r="F101" s="244">
        <f t="shared" si="13"/>
        <v>2.3062799741569964</v>
      </c>
    </row>
    <row r="102" spans="1:6" s="240" customFormat="1" ht="20.25" customHeight="1" x14ac:dyDescent="0.3">
      <c r="A102" s="241"/>
      <c r="B102" s="242" t="s">
        <v>440</v>
      </c>
      <c r="C102" s="243">
        <f>+C93+C95</f>
        <v>706310</v>
      </c>
      <c r="D102" s="243">
        <f>+D93+D95</f>
        <v>2375317</v>
      </c>
      <c r="E102" s="243">
        <f t="shared" si="12"/>
        <v>1669007</v>
      </c>
      <c r="F102" s="244">
        <f t="shared" si="13"/>
        <v>2.3629950021945039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186</v>
      </c>
      <c r="B104" s="231" t="s">
        <v>447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432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433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434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435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371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370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436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437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438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439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440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189</v>
      </c>
      <c r="B117" s="231" t="s">
        <v>448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432</v>
      </c>
      <c r="C118" s="237">
        <v>26266</v>
      </c>
      <c r="D118" s="237">
        <v>128404</v>
      </c>
      <c r="E118" s="237">
        <f t="shared" ref="E118:E128" si="16">D118-C118</f>
        <v>102138</v>
      </c>
      <c r="F118" s="238">
        <f t="shared" ref="F118:F128" si="17">IF(C118=0,0,E118/C118)</f>
        <v>3.888601233533846</v>
      </c>
    </row>
    <row r="119" spans="1:6" ht="20.25" customHeight="1" x14ac:dyDescent="0.3">
      <c r="A119" s="235">
        <v>2</v>
      </c>
      <c r="B119" s="236" t="s">
        <v>433</v>
      </c>
      <c r="C119" s="237">
        <v>11855</v>
      </c>
      <c r="D119" s="237">
        <v>60121</v>
      </c>
      <c r="E119" s="237">
        <f t="shared" si="16"/>
        <v>48266</v>
      </c>
      <c r="F119" s="238">
        <f t="shared" si="17"/>
        <v>4.0713622943905525</v>
      </c>
    </row>
    <row r="120" spans="1:6" ht="20.25" customHeight="1" x14ac:dyDescent="0.3">
      <c r="A120" s="235">
        <v>3</v>
      </c>
      <c r="B120" s="236" t="s">
        <v>434</v>
      </c>
      <c r="C120" s="237">
        <v>126607</v>
      </c>
      <c r="D120" s="237">
        <v>53421</v>
      </c>
      <c r="E120" s="237">
        <f t="shared" si="16"/>
        <v>-73186</v>
      </c>
      <c r="F120" s="238">
        <f t="shared" si="17"/>
        <v>-0.57805650556446331</v>
      </c>
    </row>
    <row r="121" spans="1:6" ht="20.25" customHeight="1" x14ac:dyDescent="0.3">
      <c r="A121" s="235">
        <v>4</v>
      </c>
      <c r="B121" s="236" t="s">
        <v>435</v>
      </c>
      <c r="C121" s="237">
        <v>30825</v>
      </c>
      <c r="D121" s="237">
        <v>12498</v>
      </c>
      <c r="E121" s="237">
        <f t="shared" si="16"/>
        <v>-18327</v>
      </c>
      <c r="F121" s="238">
        <f t="shared" si="17"/>
        <v>-0.59454987834549877</v>
      </c>
    </row>
    <row r="122" spans="1:6" ht="20.25" customHeight="1" x14ac:dyDescent="0.3">
      <c r="A122" s="235">
        <v>5</v>
      </c>
      <c r="B122" s="236" t="s">
        <v>371</v>
      </c>
      <c r="C122" s="239">
        <v>2</v>
      </c>
      <c r="D122" s="239">
        <v>7</v>
      </c>
      <c r="E122" s="239">
        <f t="shared" si="16"/>
        <v>5</v>
      </c>
      <c r="F122" s="238">
        <f t="shared" si="17"/>
        <v>2.5</v>
      </c>
    </row>
    <row r="123" spans="1:6" ht="20.25" customHeight="1" x14ac:dyDescent="0.3">
      <c r="A123" s="235">
        <v>6</v>
      </c>
      <c r="B123" s="236" t="s">
        <v>370</v>
      </c>
      <c r="C123" s="239">
        <v>3</v>
      </c>
      <c r="D123" s="239">
        <v>29</v>
      </c>
      <c r="E123" s="239">
        <f t="shared" si="16"/>
        <v>26</v>
      </c>
      <c r="F123" s="238">
        <f t="shared" si="17"/>
        <v>8.6666666666666661</v>
      </c>
    </row>
    <row r="124" spans="1:6" ht="20.25" customHeight="1" x14ac:dyDescent="0.3">
      <c r="A124" s="235">
        <v>7</v>
      </c>
      <c r="B124" s="236" t="s">
        <v>436</v>
      </c>
      <c r="C124" s="239">
        <v>98</v>
      </c>
      <c r="D124" s="239">
        <v>66</v>
      </c>
      <c r="E124" s="239">
        <f t="shared" si="16"/>
        <v>-32</v>
      </c>
      <c r="F124" s="238">
        <f t="shared" si="17"/>
        <v>-0.32653061224489793</v>
      </c>
    </row>
    <row r="125" spans="1:6" ht="20.25" customHeight="1" x14ac:dyDescent="0.3">
      <c r="A125" s="235">
        <v>8</v>
      </c>
      <c r="B125" s="236" t="s">
        <v>437</v>
      </c>
      <c r="C125" s="239">
        <v>10</v>
      </c>
      <c r="D125" s="239">
        <v>6</v>
      </c>
      <c r="E125" s="239">
        <f t="shared" si="16"/>
        <v>-4</v>
      </c>
      <c r="F125" s="238">
        <f t="shared" si="17"/>
        <v>-0.4</v>
      </c>
    </row>
    <row r="126" spans="1:6" ht="20.25" customHeight="1" x14ac:dyDescent="0.3">
      <c r="A126" s="235">
        <v>9</v>
      </c>
      <c r="B126" s="236" t="s">
        <v>438</v>
      </c>
      <c r="C126" s="239">
        <v>2</v>
      </c>
      <c r="D126" s="239">
        <v>6</v>
      </c>
      <c r="E126" s="239">
        <f t="shared" si="16"/>
        <v>4</v>
      </c>
      <c r="F126" s="238">
        <f t="shared" si="17"/>
        <v>2</v>
      </c>
    </row>
    <row r="127" spans="1:6" s="240" customFormat="1" ht="20.25" customHeight="1" x14ac:dyDescent="0.3">
      <c r="A127" s="241"/>
      <c r="B127" s="242" t="s">
        <v>439</v>
      </c>
      <c r="C127" s="243">
        <f>+C118+C120</f>
        <v>152873</v>
      </c>
      <c r="D127" s="243">
        <f>+D118+D120</f>
        <v>181825</v>
      </c>
      <c r="E127" s="243">
        <f t="shared" si="16"/>
        <v>28952</v>
      </c>
      <c r="F127" s="244">
        <f t="shared" si="17"/>
        <v>0.18938596089564541</v>
      </c>
    </row>
    <row r="128" spans="1:6" s="240" customFormat="1" ht="20.25" customHeight="1" x14ac:dyDescent="0.3">
      <c r="A128" s="241"/>
      <c r="B128" s="242" t="s">
        <v>440</v>
      </c>
      <c r="C128" s="243">
        <f>+C119+C121</f>
        <v>42680</v>
      </c>
      <c r="D128" s="243">
        <f>+D119+D121</f>
        <v>72619</v>
      </c>
      <c r="E128" s="243">
        <f t="shared" si="16"/>
        <v>29939</v>
      </c>
      <c r="F128" s="244">
        <f t="shared" si="17"/>
        <v>0.70147610121836923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198</v>
      </c>
      <c r="B130" s="231" t="s">
        <v>449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432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433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434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435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371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370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436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437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438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439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440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217</v>
      </c>
      <c r="B143" s="231" t="s">
        <v>450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432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433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434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435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371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370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436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437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438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439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440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451</v>
      </c>
      <c r="B156" s="231" t="s">
        <v>452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432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433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434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435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371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370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436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437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438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439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440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453</v>
      </c>
      <c r="B169" s="231" t="s">
        <v>454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432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433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434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435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371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370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436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437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438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439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440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455</v>
      </c>
      <c r="B182" s="231" t="s">
        <v>456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432</v>
      </c>
      <c r="C183" s="237">
        <v>220420</v>
      </c>
      <c r="D183" s="237">
        <v>53609</v>
      </c>
      <c r="E183" s="237">
        <f t="shared" ref="E183:E193" si="26">D183-C183</f>
        <v>-166811</v>
      </c>
      <c r="F183" s="238">
        <f t="shared" ref="F183:F193" si="27">IF(C183=0,0,E183/C183)</f>
        <v>-0.75678704291806553</v>
      </c>
    </row>
    <row r="184" spans="1:6" ht="20.25" customHeight="1" x14ac:dyDescent="0.3">
      <c r="A184" s="235">
        <v>2</v>
      </c>
      <c r="B184" s="236" t="s">
        <v>433</v>
      </c>
      <c r="C184" s="237">
        <v>119219</v>
      </c>
      <c r="D184" s="237">
        <v>19043</v>
      </c>
      <c r="E184" s="237">
        <f t="shared" si="26"/>
        <v>-100176</v>
      </c>
      <c r="F184" s="238">
        <f t="shared" si="27"/>
        <v>-0.84026874910878302</v>
      </c>
    </row>
    <row r="185" spans="1:6" ht="20.25" customHeight="1" x14ac:dyDescent="0.3">
      <c r="A185" s="235">
        <v>3</v>
      </c>
      <c r="B185" s="236" t="s">
        <v>434</v>
      </c>
      <c r="C185" s="237">
        <v>131588</v>
      </c>
      <c r="D185" s="237">
        <v>28796</v>
      </c>
      <c r="E185" s="237">
        <f t="shared" si="26"/>
        <v>-102792</v>
      </c>
      <c r="F185" s="238">
        <f t="shared" si="27"/>
        <v>-0.78116545581663976</v>
      </c>
    </row>
    <row r="186" spans="1:6" ht="20.25" customHeight="1" x14ac:dyDescent="0.3">
      <c r="A186" s="235">
        <v>4</v>
      </c>
      <c r="B186" s="236" t="s">
        <v>435</v>
      </c>
      <c r="C186" s="237">
        <v>32765</v>
      </c>
      <c r="D186" s="237">
        <v>8249</v>
      </c>
      <c r="E186" s="237">
        <f t="shared" si="26"/>
        <v>-24516</v>
      </c>
      <c r="F186" s="238">
        <f t="shared" si="27"/>
        <v>-0.74823744849687168</v>
      </c>
    </row>
    <row r="187" spans="1:6" ht="20.25" customHeight="1" x14ac:dyDescent="0.3">
      <c r="A187" s="235">
        <v>5</v>
      </c>
      <c r="B187" s="236" t="s">
        <v>371</v>
      </c>
      <c r="C187" s="239">
        <v>14</v>
      </c>
      <c r="D187" s="239">
        <v>3</v>
      </c>
      <c r="E187" s="239">
        <f t="shared" si="26"/>
        <v>-11</v>
      </c>
      <c r="F187" s="238">
        <f t="shared" si="27"/>
        <v>-0.7857142857142857</v>
      </c>
    </row>
    <row r="188" spans="1:6" ht="20.25" customHeight="1" x14ac:dyDescent="0.3">
      <c r="A188" s="235">
        <v>6</v>
      </c>
      <c r="B188" s="236" t="s">
        <v>370</v>
      </c>
      <c r="C188" s="239">
        <v>49</v>
      </c>
      <c r="D188" s="239">
        <v>10</v>
      </c>
      <c r="E188" s="239">
        <f t="shared" si="26"/>
        <v>-39</v>
      </c>
      <c r="F188" s="238">
        <f t="shared" si="27"/>
        <v>-0.79591836734693877</v>
      </c>
    </row>
    <row r="189" spans="1:6" ht="20.25" customHeight="1" x14ac:dyDescent="0.3">
      <c r="A189" s="235">
        <v>7</v>
      </c>
      <c r="B189" s="236" t="s">
        <v>436</v>
      </c>
      <c r="C189" s="239">
        <v>46</v>
      </c>
      <c r="D189" s="239">
        <v>25</v>
      </c>
      <c r="E189" s="239">
        <f t="shared" si="26"/>
        <v>-21</v>
      </c>
      <c r="F189" s="238">
        <f t="shared" si="27"/>
        <v>-0.45652173913043476</v>
      </c>
    </row>
    <row r="190" spans="1:6" ht="20.25" customHeight="1" x14ac:dyDescent="0.3">
      <c r="A190" s="235">
        <v>8</v>
      </c>
      <c r="B190" s="236" t="s">
        <v>437</v>
      </c>
      <c r="C190" s="239">
        <v>11</v>
      </c>
      <c r="D190" s="239">
        <v>6</v>
      </c>
      <c r="E190" s="239">
        <f t="shared" si="26"/>
        <v>-5</v>
      </c>
      <c r="F190" s="238">
        <f t="shared" si="27"/>
        <v>-0.45454545454545453</v>
      </c>
    </row>
    <row r="191" spans="1:6" ht="20.25" customHeight="1" x14ac:dyDescent="0.3">
      <c r="A191" s="235">
        <v>9</v>
      </c>
      <c r="B191" s="236" t="s">
        <v>438</v>
      </c>
      <c r="C191" s="239">
        <v>7</v>
      </c>
      <c r="D191" s="239">
        <v>3</v>
      </c>
      <c r="E191" s="239">
        <f t="shared" si="26"/>
        <v>-4</v>
      </c>
      <c r="F191" s="238">
        <f t="shared" si="27"/>
        <v>-0.5714285714285714</v>
      </c>
    </row>
    <row r="192" spans="1:6" s="240" customFormat="1" ht="20.25" customHeight="1" x14ac:dyDescent="0.3">
      <c r="A192" s="241"/>
      <c r="B192" s="242" t="s">
        <v>439</v>
      </c>
      <c r="C192" s="243">
        <f>+C183+C185</f>
        <v>352008</v>
      </c>
      <c r="D192" s="243">
        <f>+D183+D185</f>
        <v>82405</v>
      </c>
      <c r="E192" s="243">
        <f t="shared" si="26"/>
        <v>-269603</v>
      </c>
      <c r="F192" s="244">
        <f t="shared" si="27"/>
        <v>-0.76590020681348148</v>
      </c>
    </row>
    <row r="193" spans="1:9" s="240" customFormat="1" ht="20.25" customHeight="1" x14ac:dyDescent="0.3">
      <c r="A193" s="241"/>
      <c r="B193" s="242" t="s">
        <v>440</v>
      </c>
      <c r="C193" s="243">
        <f>+C184+C186</f>
        <v>151984</v>
      </c>
      <c r="D193" s="243">
        <f>+D184+D186</f>
        <v>27292</v>
      </c>
      <c r="E193" s="243">
        <f t="shared" si="26"/>
        <v>-124692</v>
      </c>
      <c r="F193" s="244">
        <f t="shared" si="27"/>
        <v>-0.82042846615433207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9" t="s">
        <v>44</v>
      </c>
      <c r="B195" s="690" t="s">
        <v>457</v>
      </c>
      <c r="C195" s="692"/>
      <c r="D195" s="693"/>
      <c r="E195" s="693"/>
      <c r="F195" s="694"/>
      <c r="G195" s="674"/>
      <c r="H195" s="674"/>
      <c r="I195" s="674"/>
    </row>
    <row r="196" spans="1:9" ht="20.25" customHeight="1" x14ac:dyDescent="0.3">
      <c r="A196" s="680"/>
      <c r="B196" s="691"/>
      <c r="C196" s="686"/>
      <c r="D196" s="687"/>
      <c r="E196" s="687"/>
      <c r="F196" s="688"/>
      <c r="G196" s="674"/>
      <c r="H196" s="674"/>
      <c r="I196" s="67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458</v>
      </c>
      <c r="C198" s="243">
        <f t="shared" ref="C198:D206" si="28">+C183+C170+C157+C144+C131+C118+C105+C92+C79+C66+C53+C40+C27+C14</f>
        <v>13902503</v>
      </c>
      <c r="D198" s="243">
        <f t="shared" si="28"/>
        <v>13962365</v>
      </c>
      <c r="E198" s="243">
        <f t="shared" ref="E198:E208" si="29">D198-C198</f>
        <v>59862</v>
      </c>
      <c r="F198" s="251">
        <f t="shared" ref="F198:F208" si="30">IF(C198=0,0,E198/C198)</f>
        <v>4.3058433434612457E-3</v>
      </c>
    </row>
    <row r="199" spans="1:9" ht="20.25" customHeight="1" x14ac:dyDescent="0.3">
      <c r="A199" s="249"/>
      <c r="B199" s="250" t="s">
        <v>459</v>
      </c>
      <c r="C199" s="243">
        <f t="shared" si="28"/>
        <v>5928822</v>
      </c>
      <c r="D199" s="243">
        <f t="shared" si="28"/>
        <v>5790541</v>
      </c>
      <c r="E199" s="243">
        <f t="shared" si="29"/>
        <v>-138281</v>
      </c>
      <c r="F199" s="251">
        <f t="shared" si="30"/>
        <v>-2.3323520254107815E-2</v>
      </c>
    </row>
    <row r="200" spans="1:9" ht="20.25" customHeight="1" x14ac:dyDescent="0.3">
      <c r="A200" s="249"/>
      <c r="B200" s="250" t="s">
        <v>460</v>
      </c>
      <c r="C200" s="243">
        <f t="shared" si="28"/>
        <v>13298536</v>
      </c>
      <c r="D200" s="243">
        <f t="shared" si="28"/>
        <v>14343367</v>
      </c>
      <c r="E200" s="243">
        <f t="shared" si="29"/>
        <v>1044831</v>
      </c>
      <c r="F200" s="251">
        <f t="shared" si="30"/>
        <v>7.8567370122545818E-2</v>
      </c>
    </row>
    <row r="201" spans="1:9" ht="20.25" customHeight="1" x14ac:dyDescent="0.3">
      <c r="A201" s="249"/>
      <c r="B201" s="250" t="s">
        <v>461</v>
      </c>
      <c r="C201" s="243">
        <f t="shared" si="28"/>
        <v>3116078</v>
      </c>
      <c r="D201" s="243">
        <f t="shared" si="28"/>
        <v>3294352</v>
      </c>
      <c r="E201" s="243">
        <f t="shared" si="29"/>
        <v>178274</v>
      </c>
      <c r="F201" s="251">
        <f t="shared" si="30"/>
        <v>5.7211019749826543E-2</v>
      </c>
    </row>
    <row r="202" spans="1:9" ht="20.25" customHeight="1" x14ac:dyDescent="0.3">
      <c r="A202" s="249"/>
      <c r="B202" s="250" t="s">
        <v>462</v>
      </c>
      <c r="C202" s="252">
        <f t="shared" si="28"/>
        <v>594</v>
      </c>
      <c r="D202" s="252">
        <f t="shared" si="28"/>
        <v>583</v>
      </c>
      <c r="E202" s="252">
        <f t="shared" si="29"/>
        <v>-11</v>
      </c>
      <c r="F202" s="251">
        <f t="shared" si="30"/>
        <v>-1.8518518518518517E-2</v>
      </c>
    </row>
    <row r="203" spans="1:9" ht="20.25" customHeight="1" x14ac:dyDescent="0.3">
      <c r="A203" s="249"/>
      <c r="B203" s="250" t="s">
        <v>463</v>
      </c>
      <c r="C203" s="252">
        <f t="shared" si="28"/>
        <v>2655</v>
      </c>
      <c r="D203" s="252">
        <f t="shared" si="28"/>
        <v>2805</v>
      </c>
      <c r="E203" s="252">
        <f t="shared" si="29"/>
        <v>150</v>
      </c>
      <c r="F203" s="251">
        <f t="shared" si="30"/>
        <v>5.6497175141242938E-2</v>
      </c>
    </row>
    <row r="204" spans="1:9" ht="39.950000000000003" customHeight="1" x14ac:dyDescent="0.3">
      <c r="A204" s="249"/>
      <c r="B204" s="250" t="s">
        <v>464</v>
      </c>
      <c r="C204" s="252">
        <f t="shared" si="28"/>
        <v>13897</v>
      </c>
      <c r="D204" s="252">
        <f t="shared" si="28"/>
        <v>10167</v>
      </c>
      <c r="E204" s="252">
        <f t="shared" si="29"/>
        <v>-3730</v>
      </c>
      <c r="F204" s="251">
        <f t="shared" si="30"/>
        <v>-0.2684032525005397</v>
      </c>
    </row>
    <row r="205" spans="1:9" ht="39.950000000000003" customHeight="1" x14ac:dyDescent="0.3">
      <c r="A205" s="249"/>
      <c r="B205" s="250" t="s">
        <v>465</v>
      </c>
      <c r="C205" s="252">
        <f t="shared" si="28"/>
        <v>1176</v>
      </c>
      <c r="D205" s="252">
        <f t="shared" si="28"/>
        <v>875</v>
      </c>
      <c r="E205" s="252">
        <f t="shared" si="29"/>
        <v>-301</v>
      </c>
      <c r="F205" s="251">
        <f t="shared" si="30"/>
        <v>-0.25595238095238093</v>
      </c>
    </row>
    <row r="206" spans="1:9" ht="39.950000000000003" customHeight="1" x14ac:dyDescent="0.3">
      <c r="A206" s="249"/>
      <c r="B206" s="250" t="s">
        <v>466</v>
      </c>
      <c r="C206" s="252">
        <f t="shared" si="28"/>
        <v>426</v>
      </c>
      <c r="D206" s="252">
        <f t="shared" si="28"/>
        <v>432</v>
      </c>
      <c r="E206" s="252">
        <f t="shared" si="29"/>
        <v>6</v>
      </c>
      <c r="F206" s="251">
        <f t="shared" si="30"/>
        <v>1.4084507042253521E-2</v>
      </c>
    </row>
    <row r="207" spans="1:9" ht="20.25" customHeight="1" x14ac:dyDescent="0.3">
      <c r="A207" s="249"/>
      <c r="B207" s="242" t="s">
        <v>467</v>
      </c>
      <c r="C207" s="243">
        <f>+C198+C200</f>
        <v>27201039</v>
      </c>
      <c r="D207" s="243">
        <f>+D198+D200</f>
        <v>28305732</v>
      </c>
      <c r="E207" s="243">
        <f t="shared" si="29"/>
        <v>1104693</v>
      </c>
      <c r="F207" s="251">
        <f t="shared" si="30"/>
        <v>4.0612161910432903E-2</v>
      </c>
    </row>
    <row r="208" spans="1:9" ht="20.25" customHeight="1" x14ac:dyDescent="0.3">
      <c r="A208" s="249"/>
      <c r="B208" s="242" t="s">
        <v>468</v>
      </c>
      <c r="C208" s="243">
        <f>+C199+C201</f>
        <v>9044900</v>
      </c>
      <c r="D208" s="243">
        <f>+D199+D201</f>
        <v>9084893</v>
      </c>
      <c r="E208" s="243">
        <f t="shared" si="29"/>
        <v>39993</v>
      </c>
      <c r="F208" s="251">
        <f t="shared" si="30"/>
        <v>4.4216077568574553E-3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FILING&amp;RWILLIAM W. BACKUS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469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428</v>
      </c>
      <c r="D8" s="223" t="s">
        <v>429</v>
      </c>
      <c r="E8" s="223" t="s">
        <v>430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9" t="s">
        <v>12</v>
      </c>
      <c r="B10" s="690" t="s">
        <v>115</v>
      </c>
      <c r="C10" s="692"/>
      <c r="D10" s="693"/>
      <c r="E10" s="693"/>
      <c r="F10" s="694"/>
    </row>
    <row r="11" spans="1:7" ht="20.25" customHeight="1" x14ac:dyDescent="0.3">
      <c r="A11" s="680"/>
      <c r="B11" s="691"/>
      <c r="C11" s="686"/>
      <c r="D11" s="687"/>
      <c r="E11" s="687"/>
      <c r="F11" s="688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470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432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433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434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435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371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370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436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437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438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439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468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471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432</v>
      </c>
      <c r="C26" s="237">
        <v>7104022</v>
      </c>
      <c r="D26" s="237">
        <v>7968729</v>
      </c>
      <c r="E26" s="237">
        <f t="shared" ref="E26:E36" si="2">D26-C26</f>
        <v>864707</v>
      </c>
      <c r="F26" s="238">
        <f t="shared" ref="F26:F36" si="3">IF(C26=0,0,E26/C26)</f>
        <v>0.12172076606744743</v>
      </c>
    </row>
    <row r="27" spans="1:6" ht="20.25" customHeight="1" x14ac:dyDescent="0.3">
      <c r="A27" s="235">
        <v>2</v>
      </c>
      <c r="B27" s="236" t="s">
        <v>433</v>
      </c>
      <c r="C27" s="237">
        <v>2189631</v>
      </c>
      <c r="D27" s="237">
        <v>2278846</v>
      </c>
      <c r="E27" s="237">
        <f t="shared" si="2"/>
        <v>89215</v>
      </c>
      <c r="F27" s="238">
        <f t="shared" si="3"/>
        <v>4.0744308059211802E-2</v>
      </c>
    </row>
    <row r="28" spans="1:6" ht="20.25" customHeight="1" x14ac:dyDescent="0.3">
      <c r="A28" s="235">
        <v>3</v>
      </c>
      <c r="B28" s="236" t="s">
        <v>434</v>
      </c>
      <c r="C28" s="237">
        <v>19870665</v>
      </c>
      <c r="D28" s="237">
        <v>21294421</v>
      </c>
      <c r="E28" s="237">
        <f t="shared" si="2"/>
        <v>1423756</v>
      </c>
      <c r="F28" s="238">
        <f t="shared" si="3"/>
        <v>7.1651150074745859E-2</v>
      </c>
    </row>
    <row r="29" spans="1:6" ht="20.25" customHeight="1" x14ac:dyDescent="0.3">
      <c r="A29" s="235">
        <v>4</v>
      </c>
      <c r="B29" s="236" t="s">
        <v>435</v>
      </c>
      <c r="C29" s="237">
        <v>6180688</v>
      </c>
      <c r="D29" s="237">
        <v>6137666</v>
      </c>
      <c r="E29" s="237">
        <f t="shared" si="2"/>
        <v>-43022</v>
      </c>
      <c r="F29" s="238">
        <f t="shared" si="3"/>
        <v>-6.9607137587271838E-3</v>
      </c>
    </row>
    <row r="30" spans="1:6" ht="20.25" customHeight="1" x14ac:dyDescent="0.3">
      <c r="A30" s="235">
        <v>5</v>
      </c>
      <c r="B30" s="236" t="s">
        <v>371</v>
      </c>
      <c r="C30" s="239">
        <v>868</v>
      </c>
      <c r="D30" s="239">
        <v>778</v>
      </c>
      <c r="E30" s="239">
        <f t="shared" si="2"/>
        <v>-90</v>
      </c>
      <c r="F30" s="238">
        <f t="shared" si="3"/>
        <v>-0.10368663594470046</v>
      </c>
    </row>
    <row r="31" spans="1:6" ht="20.25" customHeight="1" x14ac:dyDescent="0.3">
      <c r="A31" s="235">
        <v>6</v>
      </c>
      <c r="B31" s="236" t="s">
        <v>370</v>
      </c>
      <c r="C31" s="239">
        <v>1969</v>
      </c>
      <c r="D31" s="239">
        <v>1957</v>
      </c>
      <c r="E31" s="239">
        <f t="shared" si="2"/>
        <v>-12</v>
      </c>
      <c r="F31" s="238">
        <f t="shared" si="3"/>
        <v>-6.0944641950228546E-3</v>
      </c>
    </row>
    <row r="32" spans="1:6" ht="20.25" customHeight="1" x14ac:dyDescent="0.3">
      <c r="A32" s="235">
        <v>7</v>
      </c>
      <c r="B32" s="236" t="s">
        <v>436</v>
      </c>
      <c r="C32" s="239">
        <v>10360</v>
      </c>
      <c r="D32" s="239">
        <v>10819</v>
      </c>
      <c r="E32" s="239">
        <f t="shared" si="2"/>
        <v>459</v>
      </c>
      <c r="F32" s="238">
        <f t="shared" si="3"/>
        <v>4.4305019305019303E-2</v>
      </c>
    </row>
    <row r="33" spans="1:6" ht="20.25" customHeight="1" x14ac:dyDescent="0.3">
      <c r="A33" s="235">
        <v>8</v>
      </c>
      <c r="B33" s="236" t="s">
        <v>437</v>
      </c>
      <c r="C33" s="239">
        <v>8828</v>
      </c>
      <c r="D33" s="239">
        <v>8224</v>
      </c>
      <c r="E33" s="239">
        <f t="shared" si="2"/>
        <v>-604</v>
      </c>
      <c r="F33" s="238">
        <f t="shared" si="3"/>
        <v>-6.8418667874943356E-2</v>
      </c>
    </row>
    <row r="34" spans="1:6" ht="20.25" customHeight="1" x14ac:dyDescent="0.3">
      <c r="A34" s="235">
        <v>9</v>
      </c>
      <c r="B34" s="236" t="s">
        <v>438</v>
      </c>
      <c r="C34" s="239">
        <v>155</v>
      </c>
      <c r="D34" s="239">
        <v>138</v>
      </c>
      <c r="E34" s="239">
        <f t="shared" si="2"/>
        <v>-17</v>
      </c>
      <c r="F34" s="238">
        <f t="shared" si="3"/>
        <v>-0.10967741935483871</v>
      </c>
    </row>
    <row r="35" spans="1:6" s="240" customFormat="1" ht="39.950000000000003" customHeight="1" x14ac:dyDescent="0.3">
      <c r="A35" s="245"/>
      <c r="B35" s="242" t="s">
        <v>439</v>
      </c>
      <c r="C35" s="243">
        <f>+C26+C28</f>
        <v>26974687</v>
      </c>
      <c r="D35" s="243">
        <f>+D26+D28</f>
        <v>29263150</v>
      </c>
      <c r="E35" s="243">
        <f t="shared" si="2"/>
        <v>2288463</v>
      </c>
      <c r="F35" s="244">
        <f t="shared" si="3"/>
        <v>8.483742554640207E-2</v>
      </c>
    </row>
    <row r="36" spans="1:6" s="240" customFormat="1" ht="39.950000000000003" customHeight="1" x14ac:dyDescent="0.3">
      <c r="A36" s="245"/>
      <c r="B36" s="242" t="s">
        <v>468</v>
      </c>
      <c r="C36" s="243">
        <f>+C27+C29</f>
        <v>8370319</v>
      </c>
      <c r="D36" s="243">
        <f>+D27+D29</f>
        <v>8416512</v>
      </c>
      <c r="E36" s="243">
        <f t="shared" si="2"/>
        <v>46193</v>
      </c>
      <c r="F36" s="244">
        <f t="shared" si="3"/>
        <v>5.5186666123477491E-3</v>
      </c>
    </row>
    <row r="37" spans="1:6" ht="42" customHeight="1" x14ac:dyDescent="0.3">
      <c r="A37" s="227" t="s">
        <v>141</v>
      </c>
      <c r="B37" s="261" t="s">
        <v>472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432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433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434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435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371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370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436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437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438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439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468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170</v>
      </c>
      <c r="B49" s="261" t="s">
        <v>473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432</v>
      </c>
      <c r="C50" s="237">
        <v>2008176</v>
      </c>
      <c r="D50" s="237">
        <v>3071506</v>
      </c>
      <c r="E50" s="237">
        <f t="shared" ref="E50:E60" si="6">D50-C50</f>
        <v>1063330</v>
      </c>
      <c r="F50" s="238">
        <f t="shared" ref="F50:F60" si="7">IF(C50=0,0,E50/C50)</f>
        <v>0.52950040235517204</v>
      </c>
    </row>
    <row r="51" spans="1:6" ht="20.25" customHeight="1" x14ac:dyDescent="0.3">
      <c r="A51" s="235">
        <v>2</v>
      </c>
      <c r="B51" s="236" t="s">
        <v>433</v>
      </c>
      <c r="C51" s="237">
        <v>485946</v>
      </c>
      <c r="D51" s="237">
        <v>1028637</v>
      </c>
      <c r="E51" s="237">
        <f t="shared" si="6"/>
        <v>542691</v>
      </c>
      <c r="F51" s="238">
        <f t="shared" si="7"/>
        <v>1.1167722339519206</v>
      </c>
    </row>
    <row r="52" spans="1:6" ht="20.25" customHeight="1" x14ac:dyDescent="0.3">
      <c r="A52" s="235">
        <v>3</v>
      </c>
      <c r="B52" s="236" t="s">
        <v>434</v>
      </c>
      <c r="C52" s="237">
        <v>3836416</v>
      </c>
      <c r="D52" s="237">
        <v>4515139</v>
      </c>
      <c r="E52" s="237">
        <f t="shared" si="6"/>
        <v>678723</v>
      </c>
      <c r="F52" s="238">
        <f t="shared" si="7"/>
        <v>0.17691590275924196</v>
      </c>
    </row>
    <row r="53" spans="1:6" ht="20.25" customHeight="1" x14ac:dyDescent="0.3">
      <c r="A53" s="235">
        <v>4</v>
      </c>
      <c r="B53" s="236" t="s">
        <v>435</v>
      </c>
      <c r="C53" s="237">
        <v>1167599</v>
      </c>
      <c r="D53" s="237">
        <v>1194953</v>
      </c>
      <c r="E53" s="237">
        <f t="shared" si="6"/>
        <v>27354</v>
      </c>
      <c r="F53" s="238">
        <f t="shared" si="7"/>
        <v>2.3427563744059389E-2</v>
      </c>
    </row>
    <row r="54" spans="1:6" ht="20.25" customHeight="1" x14ac:dyDescent="0.3">
      <c r="A54" s="235">
        <v>5</v>
      </c>
      <c r="B54" s="236" t="s">
        <v>371</v>
      </c>
      <c r="C54" s="239">
        <v>177</v>
      </c>
      <c r="D54" s="239">
        <v>271</v>
      </c>
      <c r="E54" s="239">
        <f t="shared" si="6"/>
        <v>94</v>
      </c>
      <c r="F54" s="238">
        <f t="shared" si="7"/>
        <v>0.53107344632768361</v>
      </c>
    </row>
    <row r="55" spans="1:6" ht="20.25" customHeight="1" x14ac:dyDescent="0.3">
      <c r="A55" s="235">
        <v>6</v>
      </c>
      <c r="B55" s="236" t="s">
        <v>370</v>
      </c>
      <c r="C55" s="239">
        <v>605</v>
      </c>
      <c r="D55" s="239">
        <v>1029</v>
      </c>
      <c r="E55" s="239">
        <f t="shared" si="6"/>
        <v>424</v>
      </c>
      <c r="F55" s="238">
        <f t="shared" si="7"/>
        <v>0.70082644628099178</v>
      </c>
    </row>
    <row r="56" spans="1:6" ht="20.25" customHeight="1" x14ac:dyDescent="0.3">
      <c r="A56" s="235">
        <v>7</v>
      </c>
      <c r="B56" s="236" t="s">
        <v>436</v>
      </c>
      <c r="C56" s="239">
        <v>1718</v>
      </c>
      <c r="D56" s="239">
        <v>2141</v>
      </c>
      <c r="E56" s="239">
        <f t="shared" si="6"/>
        <v>423</v>
      </c>
      <c r="F56" s="238">
        <f t="shared" si="7"/>
        <v>0.24621653084982537</v>
      </c>
    </row>
    <row r="57" spans="1:6" ht="20.25" customHeight="1" x14ac:dyDescent="0.3">
      <c r="A57" s="235">
        <v>8</v>
      </c>
      <c r="B57" s="236" t="s">
        <v>437</v>
      </c>
      <c r="C57" s="239">
        <v>1618</v>
      </c>
      <c r="D57" s="239">
        <v>1723</v>
      </c>
      <c r="E57" s="239">
        <f t="shared" si="6"/>
        <v>105</v>
      </c>
      <c r="F57" s="238">
        <f t="shared" si="7"/>
        <v>6.4894932014833123E-2</v>
      </c>
    </row>
    <row r="58" spans="1:6" ht="20.25" customHeight="1" x14ac:dyDescent="0.3">
      <c r="A58" s="235">
        <v>9</v>
      </c>
      <c r="B58" s="236" t="s">
        <v>438</v>
      </c>
      <c r="C58" s="239">
        <v>70</v>
      </c>
      <c r="D58" s="239">
        <v>95</v>
      </c>
      <c r="E58" s="239">
        <f t="shared" si="6"/>
        <v>25</v>
      </c>
      <c r="F58" s="238">
        <f t="shared" si="7"/>
        <v>0.35714285714285715</v>
      </c>
    </row>
    <row r="59" spans="1:6" s="240" customFormat="1" ht="39.950000000000003" customHeight="1" x14ac:dyDescent="0.3">
      <c r="A59" s="245"/>
      <c r="B59" s="242" t="s">
        <v>439</v>
      </c>
      <c r="C59" s="243">
        <f>+C50+C52</f>
        <v>5844592</v>
      </c>
      <c r="D59" s="243">
        <f>+D50+D52</f>
        <v>7586645</v>
      </c>
      <c r="E59" s="243">
        <f t="shared" si="6"/>
        <v>1742053</v>
      </c>
      <c r="F59" s="244">
        <f t="shared" si="7"/>
        <v>0.2980623797178657</v>
      </c>
    </row>
    <row r="60" spans="1:6" s="240" customFormat="1" ht="39.950000000000003" customHeight="1" x14ac:dyDescent="0.3">
      <c r="A60" s="245"/>
      <c r="B60" s="242" t="s">
        <v>468</v>
      </c>
      <c r="C60" s="243">
        <f>+C51+C53</f>
        <v>1653545</v>
      </c>
      <c r="D60" s="243">
        <f>+D51+D53</f>
        <v>2223590</v>
      </c>
      <c r="E60" s="243">
        <f t="shared" si="6"/>
        <v>570045</v>
      </c>
      <c r="F60" s="244">
        <f t="shared" si="7"/>
        <v>0.34474114705073039</v>
      </c>
    </row>
    <row r="61" spans="1:6" ht="42" customHeight="1" x14ac:dyDescent="0.3">
      <c r="A61" s="227" t="s">
        <v>175</v>
      </c>
      <c r="B61" s="261" t="s">
        <v>447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432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433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434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435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371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370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436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437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438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439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468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181</v>
      </c>
      <c r="B73" s="261" t="s">
        <v>474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432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433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434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435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371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370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436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437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438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439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468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183</v>
      </c>
      <c r="B85" s="261" t="s">
        <v>475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432</v>
      </c>
      <c r="C86" s="237">
        <v>0</v>
      </c>
      <c r="D86" s="237">
        <v>0</v>
      </c>
      <c r="E86" s="237">
        <f t="shared" ref="E86:E96" si="12">D86-C86</f>
        <v>0</v>
      </c>
      <c r="F86" s="238">
        <f t="shared" ref="F86:F96" si="13">IF(C86=0,0,E86/C86)</f>
        <v>0</v>
      </c>
    </row>
    <row r="87" spans="1:6" ht="20.25" customHeight="1" x14ac:dyDescent="0.3">
      <c r="A87" s="235">
        <v>2</v>
      </c>
      <c r="B87" s="236" t="s">
        <v>433</v>
      </c>
      <c r="C87" s="237">
        <v>0</v>
      </c>
      <c r="D87" s="237">
        <v>0</v>
      </c>
      <c r="E87" s="237">
        <f t="shared" si="12"/>
        <v>0</v>
      </c>
      <c r="F87" s="238">
        <f t="shared" si="13"/>
        <v>0</v>
      </c>
    </row>
    <row r="88" spans="1:6" ht="20.25" customHeight="1" x14ac:dyDescent="0.3">
      <c r="A88" s="235">
        <v>3</v>
      </c>
      <c r="B88" s="236" t="s">
        <v>434</v>
      </c>
      <c r="C88" s="237">
        <v>0</v>
      </c>
      <c r="D88" s="237">
        <v>0</v>
      </c>
      <c r="E88" s="237">
        <f t="shared" si="12"/>
        <v>0</v>
      </c>
      <c r="F88" s="238">
        <f t="shared" si="13"/>
        <v>0</v>
      </c>
    </row>
    <row r="89" spans="1:6" ht="20.25" customHeight="1" x14ac:dyDescent="0.3">
      <c r="A89" s="235">
        <v>4</v>
      </c>
      <c r="B89" s="236" t="s">
        <v>435</v>
      </c>
      <c r="C89" s="237">
        <v>0</v>
      </c>
      <c r="D89" s="237">
        <v>0</v>
      </c>
      <c r="E89" s="237">
        <f t="shared" si="12"/>
        <v>0</v>
      </c>
      <c r="F89" s="238">
        <f t="shared" si="13"/>
        <v>0</v>
      </c>
    </row>
    <row r="90" spans="1:6" ht="20.25" customHeight="1" x14ac:dyDescent="0.3">
      <c r="A90" s="235">
        <v>5</v>
      </c>
      <c r="B90" s="236" t="s">
        <v>371</v>
      </c>
      <c r="C90" s="239">
        <v>0</v>
      </c>
      <c r="D90" s="239">
        <v>0</v>
      </c>
      <c r="E90" s="239">
        <f t="shared" si="12"/>
        <v>0</v>
      </c>
      <c r="F90" s="238">
        <f t="shared" si="13"/>
        <v>0</v>
      </c>
    </row>
    <row r="91" spans="1:6" ht="20.25" customHeight="1" x14ac:dyDescent="0.3">
      <c r="A91" s="235">
        <v>6</v>
      </c>
      <c r="B91" s="236" t="s">
        <v>370</v>
      </c>
      <c r="C91" s="239">
        <v>0</v>
      </c>
      <c r="D91" s="239">
        <v>0</v>
      </c>
      <c r="E91" s="239">
        <f t="shared" si="12"/>
        <v>0</v>
      </c>
      <c r="F91" s="238">
        <f t="shared" si="13"/>
        <v>0</v>
      </c>
    </row>
    <row r="92" spans="1:6" ht="20.25" customHeight="1" x14ac:dyDescent="0.3">
      <c r="A92" s="235">
        <v>7</v>
      </c>
      <c r="B92" s="236" t="s">
        <v>436</v>
      </c>
      <c r="C92" s="239">
        <v>0</v>
      </c>
      <c r="D92" s="239">
        <v>0</v>
      </c>
      <c r="E92" s="239">
        <f t="shared" si="12"/>
        <v>0</v>
      </c>
      <c r="F92" s="238">
        <f t="shared" si="13"/>
        <v>0</v>
      </c>
    </row>
    <row r="93" spans="1:6" ht="20.25" customHeight="1" x14ac:dyDescent="0.3">
      <c r="A93" s="235">
        <v>8</v>
      </c>
      <c r="B93" s="236" t="s">
        <v>437</v>
      </c>
      <c r="C93" s="239">
        <v>0</v>
      </c>
      <c r="D93" s="239">
        <v>0</v>
      </c>
      <c r="E93" s="239">
        <f t="shared" si="12"/>
        <v>0</v>
      </c>
      <c r="F93" s="238">
        <f t="shared" si="13"/>
        <v>0</v>
      </c>
    </row>
    <row r="94" spans="1:6" ht="20.25" customHeight="1" x14ac:dyDescent="0.3">
      <c r="A94" s="235">
        <v>9</v>
      </c>
      <c r="B94" s="236" t="s">
        <v>438</v>
      </c>
      <c r="C94" s="239">
        <v>0</v>
      </c>
      <c r="D94" s="239">
        <v>0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439</v>
      </c>
      <c r="C95" s="243">
        <f>+C86+C88</f>
        <v>0</v>
      </c>
      <c r="D95" s="243">
        <f>+D86+D88</f>
        <v>0</v>
      </c>
      <c r="E95" s="243">
        <f t="shared" si="12"/>
        <v>0</v>
      </c>
      <c r="F95" s="244">
        <f t="shared" si="13"/>
        <v>0</v>
      </c>
    </row>
    <row r="96" spans="1:6" s="240" customFormat="1" ht="39.950000000000003" customHeight="1" x14ac:dyDescent="0.3">
      <c r="A96" s="245"/>
      <c r="B96" s="242" t="s">
        <v>468</v>
      </c>
      <c r="C96" s="243">
        <f>+C87+C89</f>
        <v>0</v>
      </c>
      <c r="D96" s="243">
        <f>+D87+D89</f>
        <v>0</v>
      </c>
      <c r="E96" s="243">
        <f t="shared" si="12"/>
        <v>0</v>
      </c>
      <c r="F96" s="244">
        <f t="shared" si="13"/>
        <v>0</v>
      </c>
    </row>
    <row r="97" spans="1:7" ht="42" customHeight="1" x14ac:dyDescent="0.3">
      <c r="A97" s="227" t="s">
        <v>186</v>
      </c>
      <c r="B97" s="261" t="s">
        <v>448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432</v>
      </c>
      <c r="C98" s="237">
        <v>908805</v>
      </c>
      <c r="D98" s="237">
        <v>1259360</v>
      </c>
      <c r="E98" s="237">
        <f t="shared" ref="E98:E108" si="14">D98-C98</f>
        <v>350555</v>
      </c>
      <c r="F98" s="238">
        <f t="shared" ref="F98:F108" si="15">IF(C98=0,0,E98/C98)</f>
        <v>0.38573181265508</v>
      </c>
    </row>
    <row r="99" spans="1:7" ht="20.25" customHeight="1" x14ac:dyDescent="0.3">
      <c r="A99" s="235">
        <v>2</v>
      </c>
      <c r="B99" s="236" t="s">
        <v>433</v>
      </c>
      <c r="C99" s="237">
        <v>189155</v>
      </c>
      <c r="D99" s="237">
        <v>291102</v>
      </c>
      <c r="E99" s="237">
        <f t="shared" si="14"/>
        <v>101947</v>
      </c>
      <c r="F99" s="238">
        <f t="shared" si="15"/>
        <v>0.5389601120773968</v>
      </c>
    </row>
    <row r="100" spans="1:7" ht="20.25" customHeight="1" x14ac:dyDescent="0.3">
      <c r="A100" s="235">
        <v>3</v>
      </c>
      <c r="B100" s="236" t="s">
        <v>434</v>
      </c>
      <c r="C100" s="237">
        <v>3962599</v>
      </c>
      <c r="D100" s="237">
        <v>4145634</v>
      </c>
      <c r="E100" s="237">
        <f t="shared" si="14"/>
        <v>183035</v>
      </c>
      <c r="F100" s="238">
        <f t="shared" si="15"/>
        <v>4.6190644069712836E-2</v>
      </c>
    </row>
    <row r="101" spans="1:7" ht="20.25" customHeight="1" x14ac:dyDescent="0.3">
      <c r="A101" s="235">
        <v>4</v>
      </c>
      <c r="B101" s="236" t="s">
        <v>435</v>
      </c>
      <c r="C101" s="237">
        <v>1094817</v>
      </c>
      <c r="D101" s="237">
        <v>1079365</v>
      </c>
      <c r="E101" s="237">
        <f t="shared" si="14"/>
        <v>-15452</v>
      </c>
      <c r="F101" s="238">
        <f t="shared" si="15"/>
        <v>-1.4113774265470851E-2</v>
      </c>
    </row>
    <row r="102" spans="1:7" ht="20.25" customHeight="1" x14ac:dyDescent="0.3">
      <c r="A102" s="235">
        <v>5</v>
      </c>
      <c r="B102" s="236" t="s">
        <v>371</v>
      </c>
      <c r="C102" s="239">
        <v>63</v>
      </c>
      <c r="D102" s="239">
        <v>64</v>
      </c>
      <c r="E102" s="239">
        <f t="shared" si="14"/>
        <v>1</v>
      </c>
      <c r="F102" s="238">
        <f t="shared" si="15"/>
        <v>1.5873015873015872E-2</v>
      </c>
    </row>
    <row r="103" spans="1:7" ht="20.25" customHeight="1" x14ac:dyDescent="0.3">
      <c r="A103" s="235">
        <v>6</v>
      </c>
      <c r="B103" s="236" t="s">
        <v>370</v>
      </c>
      <c r="C103" s="239">
        <v>209</v>
      </c>
      <c r="D103" s="239">
        <v>250</v>
      </c>
      <c r="E103" s="239">
        <f t="shared" si="14"/>
        <v>41</v>
      </c>
      <c r="F103" s="238">
        <f t="shared" si="15"/>
        <v>0.19617224880382775</v>
      </c>
    </row>
    <row r="104" spans="1:7" ht="20.25" customHeight="1" x14ac:dyDescent="0.3">
      <c r="A104" s="235">
        <v>7</v>
      </c>
      <c r="B104" s="236" t="s">
        <v>436</v>
      </c>
      <c r="C104" s="239">
        <v>1474</v>
      </c>
      <c r="D104" s="239">
        <v>1572</v>
      </c>
      <c r="E104" s="239">
        <f t="shared" si="14"/>
        <v>98</v>
      </c>
      <c r="F104" s="238">
        <f t="shared" si="15"/>
        <v>6.6485753052917235E-2</v>
      </c>
    </row>
    <row r="105" spans="1:7" ht="20.25" customHeight="1" x14ac:dyDescent="0.3">
      <c r="A105" s="235">
        <v>8</v>
      </c>
      <c r="B105" s="236" t="s">
        <v>437</v>
      </c>
      <c r="C105" s="239">
        <v>2047</v>
      </c>
      <c r="D105" s="239">
        <v>1766</v>
      </c>
      <c r="E105" s="239">
        <f t="shared" si="14"/>
        <v>-281</v>
      </c>
      <c r="F105" s="238">
        <f t="shared" si="15"/>
        <v>-0.13727405959941377</v>
      </c>
    </row>
    <row r="106" spans="1:7" ht="20.25" customHeight="1" x14ac:dyDescent="0.3">
      <c r="A106" s="235">
        <v>9</v>
      </c>
      <c r="B106" s="236" t="s">
        <v>438</v>
      </c>
      <c r="C106" s="239">
        <v>36</v>
      </c>
      <c r="D106" s="239">
        <v>39</v>
      </c>
      <c r="E106" s="239">
        <f t="shared" si="14"/>
        <v>3</v>
      </c>
      <c r="F106" s="238">
        <f t="shared" si="15"/>
        <v>8.3333333333333329E-2</v>
      </c>
    </row>
    <row r="107" spans="1:7" s="240" customFormat="1" ht="39.950000000000003" customHeight="1" x14ac:dyDescent="0.3">
      <c r="A107" s="245"/>
      <c r="B107" s="242" t="s">
        <v>439</v>
      </c>
      <c r="C107" s="243">
        <f>+C98+C100</f>
        <v>4871404</v>
      </c>
      <c r="D107" s="243">
        <f>+D98+D100</f>
        <v>5404994</v>
      </c>
      <c r="E107" s="243">
        <f t="shared" si="14"/>
        <v>533590</v>
      </c>
      <c r="F107" s="244">
        <f t="shared" si="15"/>
        <v>0.10953515659961686</v>
      </c>
    </row>
    <row r="108" spans="1:7" s="240" customFormat="1" ht="39.950000000000003" customHeight="1" x14ac:dyDescent="0.3">
      <c r="A108" s="245"/>
      <c r="B108" s="242" t="s">
        <v>468</v>
      </c>
      <c r="C108" s="243">
        <f>+C99+C101</f>
        <v>1283972</v>
      </c>
      <c r="D108" s="243">
        <f>+D99+D101</f>
        <v>1370467</v>
      </c>
      <c r="E108" s="243">
        <f t="shared" si="14"/>
        <v>86495</v>
      </c>
      <c r="F108" s="244">
        <f t="shared" si="15"/>
        <v>6.736517618764272E-2</v>
      </c>
    </row>
    <row r="109" spans="1:7" s="240" customFormat="1" ht="20.25" customHeight="1" x14ac:dyDescent="0.3">
      <c r="A109" s="689" t="s">
        <v>44</v>
      </c>
      <c r="B109" s="690" t="s">
        <v>476</v>
      </c>
      <c r="C109" s="692"/>
      <c r="D109" s="693"/>
      <c r="E109" s="693"/>
      <c r="F109" s="694"/>
      <c r="G109" s="212"/>
    </row>
    <row r="110" spans="1:7" ht="20.25" customHeight="1" x14ac:dyDescent="0.3">
      <c r="A110" s="680"/>
      <c r="B110" s="691"/>
      <c r="C110" s="686"/>
      <c r="D110" s="687"/>
      <c r="E110" s="687"/>
      <c r="F110" s="688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458</v>
      </c>
      <c r="C112" s="243">
        <f t="shared" ref="C112:D120" si="16">+C98+C86+C74+C62+C50+C38+C26+C14</f>
        <v>10021003</v>
      </c>
      <c r="D112" s="243">
        <f t="shared" si="16"/>
        <v>12299595</v>
      </c>
      <c r="E112" s="243">
        <f t="shared" ref="E112:E122" si="17">D112-C112</f>
        <v>2278592</v>
      </c>
      <c r="F112" s="244">
        <f t="shared" ref="F112:F122" si="18">IF(C112=0,0,E112/C112)</f>
        <v>0.22738163036175121</v>
      </c>
    </row>
    <row r="113" spans="1:6" ht="20.25" customHeight="1" x14ac:dyDescent="0.3">
      <c r="A113" s="249"/>
      <c r="B113" s="250" t="s">
        <v>459</v>
      </c>
      <c r="C113" s="243">
        <f t="shared" si="16"/>
        <v>2864732</v>
      </c>
      <c r="D113" s="243">
        <f t="shared" si="16"/>
        <v>3598585</v>
      </c>
      <c r="E113" s="243">
        <f t="shared" si="17"/>
        <v>733853</v>
      </c>
      <c r="F113" s="244">
        <f t="shared" si="18"/>
        <v>0.25616811624961777</v>
      </c>
    </row>
    <row r="114" spans="1:6" ht="20.25" customHeight="1" x14ac:dyDescent="0.3">
      <c r="A114" s="249"/>
      <c r="B114" s="250" t="s">
        <v>460</v>
      </c>
      <c r="C114" s="243">
        <f t="shared" si="16"/>
        <v>27669680</v>
      </c>
      <c r="D114" s="243">
        <f t="shared" si="16"/>
        <v>29955194</v>
      </c>
      <c r="E114" s="243">
        <f t="shared" si="17"/>
        <v>2285514</v>
      </c>
      <c r="F114" s="244">
        <f t="shared" si="18"/>
        <v>8.2599943331473288E-2</v>
      </c>
    </row>
    <row r="115" spans="1:6" ht="20.25" customHeight="1" x14ac:dyDescent="0.3">
      <c r="A115" s="249"/>
      <c r="B115" s="250" t="s">
        <v>461</v>
      </c>
      <c r="C115" s="243">
        <f t="shared" si="16"/>
        <v>8443104</v>
      </c>
      <c r="D115" s="243">
        <f t="shared" si="16"/>
        <v>8411984</v>
      </c>
      <c r="E115" s="243">
        <f t="shared" si="17"/>
        <v>-31120</v>
      </c>
      <c r="F115" s="244">
        <f t="shared" si="18"/>
        <v>-3.6858482378044851E-3</v>
      </c>
    </row>
    <row r="116" spans="1:6" ht="20.25" customHeight="1" x14ac:dyDescent="0.3">
      <c r="A116" s="249"/>
      <c r="B116" s="250" t="s">
        <v>462</v>
      </c>
      <c r="C116" s="252">
        <f t="shared" si="16"/>
        <v>1108</v>
      </c>
      <c r="D116" s="252">
        <f t="shared" si="16"/>
        <v>1113</v>
      </c>
      <c r="E116" s="252">
        <f t="shared" si="17"/>
        <v>5</v>
      </c>
      <c r="F116" s="244">
        <f t="shared" si="18"/>
        <v>4.5126353790613718E-3</v>
      </c>
    </row>
    <row r="117" spans="1:6" ht="20.25" customHeight="1" x14ac:dyDescent="0.3">
      <c r="A117" s="249"/>
      <c r="B117" s="250" t="s">
        <v>463</v>
      </c>
      <c r="C117" s="252">
        <f t="shared" si="16"/>
        <v>2783</v>
      </c>
      <c r="D117" s="252">
        <f t="shared" si="16"/>
        <v>3236</v>
      </c>
      <c r="E117" s="252">
        <f t="shared" si="17"/>
        <v>453</v>
      </c>
      <c r="F117" s="244">
        <f t="shared" si="18"/>
        <v>0.16277398490837225</v>
      </c>
    </row>
    <row r="118" spans="1:6" ht="39.950000000000003" customHeight="1" x14ac:dyDescent="0.3">
      <c r="A118" s="249"/>
      <c r="B118" s="250" t="s">
        <v>464</v>
      </c>
      <c r="C118" s="252">
        <f t="shared" si="16"/>
        <v>13552</v>
      </c>
      <c r="D118" s="252">
        <f t="shared" si="16"/>
        <v>14532</v>
      </c>
      <c r="E118" s="252">
        <f t="shared" si="17"/>
        <v>980</v>
      </c>
      <c r="F118" s="244">
        <f t="shared" si="18"/>
        <v>7.2314049586776855E-2</v>
      </c>
    </row>
    <row r="119" spans="1:6" ht="39.950000000000003" customHeight="1" x14ac:dyDescent="0.3">
      <c r="A119" s="249"/>
      <c r="B119" s="250" t="s">
        <v>465</v>
      </c>
      <c r="C119" s="252">
        <f t="shared" si="16"/>
        <v>12493</v>
      </c>
      <c r="D119" s="252">
        <f t="shared" si="16"/>
        <v>11713</v>
      </c>
      <c r="E119" s="252">
        <f t="shared" si="17"/>
        <v>-780</v>
      </c>
      <c r="F119" s="244">
        <f t="shared" si="18"/>
        <v>-6.2434963579604576E-2</v>
      </c>
    </row>
    <row r="120" spans="1:6" ht="39.950000000000003" customHeight="1" x14ac:dyDescent="0.3">
      <c r="A120" s="249"/>
      <c r="B120" s="250" t="s">
        <v>466</v>
      </c>
      <c r="C120" s="252">
        <f t="shared" si="16"/>
        <v>261</v>
      </c>
      <c r="D120" s="252">
        <f t="shared" si="16"/>
        <v>272</v>
      </c>
      <c r="E120" s="252">
        <f t="shared" si="17"/>
        <v>11</v>
      </c>
      <c r="F120" s="244">
        <f t="shared" si="18"/>
        <v>4.2145593869731802E-2</v>
      </c>
    </row>
    <row r="121" spans="1:6" ht="39.950000000000003" customHeight="1" x14ac:dyDescent="0.3">
      <c r="A121" s="249"/>
      <c r="B121" s="242" t="s">
        <v>439</v>
      </c>
      <c r="C121" s="243">
        <f>+C112+C114</f>
        <v>37690683</v>
      </c>
      <c r="D121" s="243">
        <f>+D112+D114</f>
        <v>42254789</v>
      </c>
      <c r="E121" s="243">
        <f t="shared" si="17"/>
        <v>4564106</v>
      </c>
      <c r="F121" s="244">
        <f t="shared" si="18"/>
        <v>0.12109374616533215</v>
      </c>
    </row>
    <row r="122" spans="1:6" ht="39.950000000000003" customHeight="1" x14ac:dyDescent="0.3">
      <c r="A122" s="249"/>
      <c r="B122" s="242" t="s">
        <v>468</v>
      </c>
      <c r="C122" s="243">
        <f>+C113+C115</f>
        <v>11307836</v>
      </c>
      <c r="D122" s="243">
        <f>+D113+D115</f>
        <v>12010569</v>
      </c>
      <c r="E122" s="243">
        <f t="shared" si="17"/>
        <v>702733</v>
      </c>
      <c r="F122" s="244">
        <f t="shared" si="18"/>
        <v>6.2145666067318271E-2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FILING&amp;RWILLIAM W. BACKUS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477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478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74929624</v>
      </c>
      <c r="D13" s="23">
        <v>95434551</v>
      </c>
      <c r="E13" s="23">
        <f t="shared" ref="E13:E22" si="0">D13-C13</f>
        <v>20504927</v>
      </c>
      <c r="F13" s="24">
        <f t="shared" ref="F13:F22" si="1">IF(C13=0,0,E13/C13)</f>
        <v>0.2736558106844364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32546895</v>
      </c>
      <c r="D15" s="23">
        <v>34428013</v>
      </c>
      <c r="E15" s="23">
        <f t="shared" si="0"/>
        <v>1881118</v>
      </c>
      <c r="F15" s="24">
        <f t="shared" si="1"/>
        <v>5.7797156994545872E-2</v>
      </c>
    </row>
    <row r="16" spans="1:8" ht="35.1" customHeight="1" x14ac:dyDescent="0.2">
      <c r="A16" s="21">
        <v>4</v>
      </c>
      <c r="B16" s="22" t="s">
        <v>19</v>
      </c>
      <c r="C16" s="23">
        <v>7931590</v>
      </c>
      <c r="D16" s="23">
        <v>5885482</v>
      </c>
      <c r="E16" s="23">
        <f t="shared" si="0"/>
        <v>-2046108</v>
      </c>
      <c r="F16" s="24">
        <f t="shared" si="1"/>
        <v>-0.25796946135642412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3885317</v>
      </c>
      <c r="D19" s="23">
        <v>3704067</v>
      </c>
      <c r="E19" s="23">
        <f t="shared" si="0"/>
        <v>-181250</v>
      </c>
      <c r="F19" s="24">
        <f t="shared" si="1"/>
        <v>-4.6649990206719297E-2</v>
      </c>
    </row>
    <row r="20" spans="1:11" ht="24" customHeight="1" x14ac:dyDescent="0.2">
      <c r="A20" s="21">
        <v>8</v>
      </c>
      <c r="B20" s="22" t="s">
        <v>23</v>
      </c>
      <c r="C20" s="23">
        <v>1303628</v>
      </c>
      <c r="D20" s="23">
        <v>1634141</v>
      </c>
      <c r="E20" s="23">
        <f t="shared" si="0"/>
        <v>330513</v>
      </c>
      <c r="F20" s="24">
        <f t="shared" si="1"/>
        <v>0.25353321653109628</v>
      </c>
    </row>
    <row r="21" spans="1:11" ht="24" customHeight="1" x14ac:dyDescent="0.2">
      <c r="A21" s="21">
        <v>9</v>
      </c>
      <c r="B21" s="22" t="s">
        <v>24</v>
      </c>
      <c r="C21" s="23">
        <v>185866</v>
      </c>
      <c r="D21" s="23">
        <v>101211</v>
      </c>
      <c r="E21" s="23">
        <f t="shared" si="0"/>
        <v>-84655</v>
      </c>
      <c r="F21" s="24">
        <f t="shared" si="1"/>
        <v>-0.45546253752703558</v>
      </c>
    </row>
    <row r="22" spans="1:11" ht="24" customHeight="1" x14ac:dyDescent="0.25">
      <c r="A22" s="25"/>
      <c r="B22" s="26" t="s">
        <v>25</v>
      </c>
      <c r="C22" s="27">
        <f>SUM(C13:C21)</f>
        <v>120782920</v>
      </c>
      <c r="D22" s="27">
        <f>SUM(D13:D21)</f>
        <v>141187465</v>
      </c>
      <c r="E22" s="27">
        <f t="shared" si="0"/>
        <v>20404545</v>
      </c>
      <c r="F22" s="28">
        <f t="shared" si="1"/>
        <v>0.16893568229680156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26988802</v>
      </c>
      <c r="D25" s="23">
        <v>28078427</v>
      </c>
      <c r="E25" s="23">
        <f>D25-C25</f>
        <v>1089625</v>
      </c>
      <c r="F25" s="24">
        <f>IF(C25=0,0,E25/C25)</f>
        <v>4.0373225903098629E-2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88694819</v>
      </c>
      <c r="D26" s="23">
        <v>99552920</v>
      </c>
      <c r="E26" s="23">
        <f>D26-C26</f>
        <v>10858101</v>
      </c>
      <c r="F26" s="24">
        <f>IF(C26=0,0,E26/C26)</f>
        <v>0.12242091615294913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115683621</v>
      </c>
      <c r="D29" s="27">
        <f>SUM(D25:D28)</f>
        <v>127631347</v>
      </c>
      <c r="E29" s="27">
        <f>D29-C29</f>
        <v>11947726</v>
      </c>
      <c r="F29" s="28">
        <f>IF(C29=0,0,E29/C29)</f>
        <v>0.10327932248939545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4347241</v>
      </c>
      <c r="D33" s="23">
        <v>3979554</v>
      </c>
      <c r="E33" s="23">
        <f>D33-C33</f>
        <v>-367687</v>
      </c>
      <c r="F33" s="24">
        <f>IF(C33=0,0,E33/C33)</f>
        <v>-8.4579391848761093E-2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232092918</v>
      </c>
      <c r="D36" s="23">
        <v>230357085</v>
      </c>
      <c r="E36" s="23">
        <f>D36-C36</f>
        <v>-1735833</v>
      </c>
      <c r="F36" s="24">
        <f>IF(C36=0,0,E36/C36)</f>
        <v>-7.479043371758547E-3</v>
      </c>
    </row>
    <row r="37" spans="1:8" ht="24" customHeight="1" x14ac:dyDescent="0.2">
      <c r="A37" s="21">
        <v>2</v>
      </c>
      <c r="B37" s="22" t="s">
        <v>39</v>
      </c>
      <c r="C37" s="23">
        <v>132954480</v>
      </c>
      <c r="D37" s="23">
        <v>141087085</v>
      </c>
      <c r="E37" s="23">
        <f>D37-C37</f>
        <v>8132605</v>
      </c>
      <c r="F37" s="23">
        <f>IF(C37=0,0,E37/C37)</f>
        <v>6.116834122475602E-2</v>
      </c>
    </row>
    <row r="38" spans="1:8" ht="24" customHeight="1" x14ac:dyDescent="0.25">
      <c r="A38" s="25"/>
      <c r="B38" s="26" t="s">
        <v>40</v>
      </c>
      <c r="C38" s="27">
        <f>C36-C37</f>
        <v>99138438</v>
      </c>
      <c r="D38" s="27">
        <f>D36-D37</f>
        <v>89270000</v>
      </c>
      <c r="E38" s="27">
        <f>D38-C38</f>
        <v>-9868438</v>
      </c>
      <c r="F38" s="28">
        <f>IF(C38=0,0,E38/C38)</f>
        <v>-9.9541996011678138E-2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630806</v>
      </c>
      <c r="D40" s="23">
        <v>1365773</v>
      </c>
      <c r="E40" s="23">
        <f>D40-C40</f>
        <v>734967</v>
      </c>
      <c r="F40" s="24">
        <f>IF(C40=0,0,E40/C40)</f>
        <v>1.1651236671813521</v>
      </c>
    </row>
    <row r="41" spans="1:8" ht="24" customHeight="1" x14ac:dyDescent="0.25">
      <c r="A41" s="25"/>
      <c r="B41" s="26" t="s">
        <v>42</v>
      </c>
      <c r="C41" s="27">
        <f>+C38+C40</f>
        <v>99769244</v>
      </c>
      <c r="D41" s="27">
        <f>+D38+D40</f>
        <v>90635773</v>
      </c>
      <c r="E41" s="27">
        <f>D41-C41</f>
        <v>-9133471</v>
      </c>
      <c r="F41" s="28">
        <f>IF(C41=0,0,E41/C41)</f>
        <v>-9.154595779035872E-2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340583026</v>
      </c>
      <c r="D43" s="27">
        <f>D22+D29+D31+D32+D33+D41</f>
        <v>363434139</v>
      </c>
      <c r="E43" s="27">
        <f>D43-C43</f>
        <v>22851113</v>
      </c>
      <c r="F43" s="28">
        <f>IF(C43=0,0,E43/C43)</f>
        <v>6.7094104096661583E-2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10942326</v>
      </c>
      <c r="D49" s="23">
        <v>10347081</v>
      </c>
      <c r="E49" s="23">
        <f t="shared" ref="E49:E56" si="2">D49-C49</f>
        <v>-595245</v>
      </c>
      <c r="F49" s="24">
        <f t="shared" ref="F49:F56" si="3">IF(C49=0,0,E49/C49)</f>
        <v>-5.4398397561907771E-2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6905328</v>
      </c>
      <c r="D50" s="23">
        <v>7383760</v>
      </c>
      <c r="E50" s="23">
        <f t="shared" si="2"/>
        <v>478432</v>
      </c>
      <c r="F50" s="24">
        <f t="shared" si="3"/>
        <v>6.9284471353134855E-2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2963415</v>
      </c>
      <c r="D51" s="23">
        <v>5023840</v>
      </c>
      <c r="E51" s="23">
        <f t="shared" si="2"/>
        <v>2060425</v>
      </c>
      <c r="F51" s="24">
        <f t="shared" si="3"/>
        <v>0.69528736272172476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1895000</v>
      </c>
      <c r="D53" s="23">
        <v>1965000</v>
      </c>
      <c r="E53" s="23">
        <f t="shared" si="2"/>
        <v>70000</v>
      </c>
      <c r="F53" s="24">
        <f t="shared" si="3"/>
        <v>3.6939313984168866E-2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137691</v>
      </c>
      <c r="D54" s="23">
        <v>150360</v>
      </c>
      <c r="E54" s="23">
        <f t="shared" si="2"/>
        <v>12669</v>
      </c>
      <c r="F54" s="24">
        <f t="shared" si="3"/>
        <v>9.201037104821666E-2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10711877</v>
      </c>
      <c r="D55" s="23">
        <v>9900034</v>
      </c>
      <c r="E55" s="23">
        <f t="shared" si="2"/>
        <v>-811843</v>
      </c>
      <c r="F55" s="24">
        <f t="shared" si="3"/>
        <v>-7.5789051722681286E-2</v>
      </c>
    </row>
    <row r="56" spans="1:6" ht="24" customHeight="1" x14ac:dyDescent="0.25">
      <c r="A56" s="25"/>
      <c r="B56" s="26" t="s">
        <v>54</v>
      </c>
      <c r="C56" s="27">
        <f>SUM(C49:C55)</f>
        <v>33555637</v>
      </c>
      <c r="D56" s="27">
        <f>SUM(D49:D55)</f>
        <v>34770075</v>
      </c>
      <c r="E56" s="27">
        <f t="shared" si="2"/>
        <v>1214438</v>
      </c>
      <c r="F56" s="28">
        <f t="shared" si="3"/>
        <v>3.6191773084206388E-2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61987072</v>
      </c>
      <c r="D59" s="23">
        <v>59976971</v>
      </c>
      <c r="E59" s="23">
        <f>D59-C59</f>
        <v>-2010101</v>
      </c>
      <c r="F59" s="24">
        <f>IF(C59=0,0,E59/C59)</f>
        <v>-3.2427745578949105E-2</v>
      </c>
    </row>
    <row r="60" spans="1:6" ht="24" customHeight="1" x14ac:dyDescent="0.2">
      <c r="A60" s="21">
        <v>2</v>
      </c>
      <c r="B60" s="22" t="s">
        <v>57</v>
      </c>
      <c r="C60" s="23">
        <v>2604759</v>
      </c>
      <c r="D60" s="23">
        <v>2412742</v>
      </c>
      <c r="E60" s="23">
        <f>D60-C60</f>
        <v>-192017</v>
      </c>
      <c r="F60" s="24">
        <f>IF(C60=0,0,E60/C60)</f>
        <v>-7.3717760453078388E-2</v>
      </c>
    </row>
    <row r="61" spans="1:6" ht="24" customHeight="1" x14ac:dyDescent="0.25">
      <c r="A61" s="25"/>
      <c r="B61" s="26" t="s">
        <v>58</v>
      </c>
      <c r="C61" s="27">
        <f>SUM(C59:C60)</f>
        <v>64591831</v>
      </c>
      <c r="D61" s="27">
        <f>SUM(D59:D60)</f>
        <v>62389713</v>
      </c>
      <c r="E61" s="27">
        <f>D61-C61</f>
        <v>-2202118</v>
      </c>
      <c r="F61" s="28">
        <f>IF(C61=0,0,E61/C61)</f>
        <v>-3.4092825143786372E-2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50267036</v>
      </c>
      <c r="D63" s="23">
        <v>62916776</v>
      </c>
      <c r="E63" s="23">
        <f>D63-C63</f>
        <v>12649740</v>
      </c>
      <c r="F63" s="24">
        <f>IF(C63=0,0,E63/C63)</f>
        <v>0.25165080352062136</v>
      </c>
    </row>
    <row r="64" spans="1:6" ht="24" customHeight="1" x14ac:dyDescent="0.2">
      <c r="A64" s="21">
        <v>4</v>
      </c>
      <c r="B64" s="22" t="s">
        <v>60</v>
      </c>
      <c r="C64" s="23">
        <v>31337809</v>
      </c>
      <c r="D64" s="23">
        <v>40594961</v>
      </c>
      <c r="E64" s="23">
        <f>D64-C64</f>
        <v>9257152</v>
      </c>
      <c r="F64" s="24">
        <f>IF(C64=0,0,E64/C64)</f>
        <v>0.29539882638253362</v>
      </c>
    </row>
    <row r="65" spans="1:6" ht="24" customHeight="1" x14ac:dyDescent="0.25">
      <c r="A65" s="25"/>
      <c r="B65" s="26" t="s">
        <v>61</v>
      </c>
      <c r="C65" s="27">
        <f>SUM(C61:C64)</f>
        <v>146196676</v>
      </c>
      <c r="D65" s="27">
        <f>SUM(D61:D64)</f>
        <v>165901450</v>
      </c>
      <c r="E65" s="27">
        <f>D65-C65</f>
        <v>19704774</v>
      </c>
      <c r="F65" s="28">
        <f>IF(C65=0,0,E65/C65)</f>
        <v>0.13478264033855325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149253750</v>
      </c>
      <c r="D70" s="23">
        <v>153913943</v>
      </c>
      <c r="E70" s="23">
        <f>D70-C70</f>
        <v>4660193</v>
      </c>
      <c r="F70" s="24">
        <f>IF(C70=0,0,E70/C70)</f>
        <v>3.122328919708885E-2</v>
      </c>
    </row>
    <row r="71" spans="1:6" ht="24" customHeight="1" x14ac:dyDescent="0.2">
      <c r="A71" s="21">
        <v>2</v>
      </c>
      <c r="B71" s="22" t="s">
        <v>65</v>
      </c>
      <c r="C71" s="23">
        <v>4101543</v>
      </c>
      <c r="D71" s="23">
        <v>1399547</v>
      </c>
      <c r="E71" s="23">
        <f>D71-C71</f>
        <v>-2701996</v>
      </c>
      <c r="F71" s="24">
        <f>IF(C71=0,0,E71/C71)</f>
        <v>-0.65877549010213965</v>
      </c>
    </row>
    <row r="72" spans="1:6" ht="24" customHeight="1" x14ac:dyDescent="0.2">
      <c r="A72" s="21">
        <v>3</v>
      </c>
      <c r="B72" s="22" t="s">
        <v>66</v>
      </c>
      <c r="C72" s="23">
        <v>7475420</v>
      </c>
      <c r="D72" s="23">
        <v>7449124</v>
      </c>
      <c r="E72" s="23">
        <f>D72-C72</f>
        <v>-26296</v>
      </c>
      <c r="F72" s="24">
        <f>IF(C72=0,0,E72/C72)</f>
        <v>-3.517661883880772E-3</v>
      </c>
    </row>
    <row r="73" spans="1:6" ht="24" customHeight="1" x14ac:dyDescent="0.25">
      <c r="A73" s="21"/>
      <c r="B73" s="26" t="s">
        <v>67</v>
      </c>
      <c r="C73" s="27">
        <f>SUM(C70:C72)</f>
        <v>160830713</v>
      </c>
      <c r="D73" s="27">
        <f>SUM(D70:D72)</f>
        <v>162762614</v>
      </c>
      <c r="E73" s="27">
        <f>D73-C73</f>
        <v>1931901</v>
      </c>
      <c r="F73" s="28">
        <f>IF(C73=0,0,E73/C73)</f>
        <v>1.2012015391612422E-2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340583026</v>
      </c>
      <c r="D75" s="27">
        <f>D56+D65+D67+D73</f>
        <v>363434139</v>
      </c>
      <c r="E75" s="27">
        <f>D75-C75</f>
        <v>22851113</v>
      </c>
      <c r="F75" s="28">
        <f>IF(C75=0,0,E75/C75)</f>
        <v>6.7094104096661583E-2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r:id="rId1"/>
  <headerFooter>
    <oddHeader>&amp;LOFFICE OF HEALTH CARE ACCESS&amp;CTWELVE MONTHS ACTUAL FILING&amp;RBACKUS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477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479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604461491</v>
      </c>
      <c r="D12" s="51">
        <v>624460853</v>
      </c>
      <c r="E12" s="51">
        <f t="shared" ref="E12:E19" si="0">D12-C12</f>
        <v>19999362</v>
      </c>
      <c r="F12" s="70">
        <f t="shared" ref="F12:F19" si="1">IF(C12=0,0,E12/C12)</f>
        <v>3.3086246680353044E-2</v>
      </c>
    </row>
    <row r="13" spans="1:8" ht="23.1" customHeight="1" x14ac:dyDescent="0.2">
      <c r="A13" s="25">
        <v>2</v>
      </c>
      <c r="B13" s="48" t="s">
        <v>72</v>
      </c>
      <c r="C13" s="51">
        <v>315063365</v>
      </c>
      <c r="D13" s="51">
        <v>334249153</v>
      </c>
      <c r="E13" s="51">
        <f t="shared" si="0"/>
        <v>19185788</v>
      </c>
      <c r="F13" s="70">
        <f t="shared" si="1"/>
        <v>6.0895013928388662E-2</v>
      </c>
    </row>
    <row r="14" spans="1:8" ht="23.1" customHeight="1" x14ac:dyDescent="0.2">
      <c r="A14" s="25">
        <v>3</v>
      </c>
      <c r="B14" s="48" t="s">
        <v>73</v>
      </c>
      <c r="C14" s="51">
        <v>6496622</v>
      </c>
      <c r="D14" s="51">
        <v>5004135</v>
      </c>
      <c r="E14" s="51">
        <f t="shared" si="0"/>
        <v>-1492487</v>
      </c>
      <c r="F14" s="70">
        <f t="shared" si="1"/>
        <v>-0.22973277497136205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282901504</v>
      </c>
      <c r="D16" s="27">
        <f>D12-D13-D14-D15</f>
        <v>285207565</v>
      </c>
      <c r="E16" s="27">
        <f t="shared" si="0"/>
        <v>2306061</v>
      </c>
      <c r="F16" s="28">
        <f t="shared" si="1"/>
        <v>8.1514624962898755E-3</v>
      </c>
    </row>
    <row r="17" spans="1:7" ht="23.1" customHeight="1" x14ac:dyDescent="0.2">
      <c r="A17" s="25">
        <v>5</v>
      </c>
      <c r="B17" s="48" t="s">
        <v>76</v>
      </c>
      <c r="C17" s="51">
        <v>4357277</v>
      </c>
      <c r="D17" s="51">
        <v>4307817</v>
      </c>
      <c r="E17" s="51">
        <f t="shared" si="0"/>
        <v>-49460</v>
      </c>
      <c r="F17" s="70">
        <f t="shared" si="1"/>
        <v>-1.1351125944024215E-2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91211</v>
      </c>
      <c r="D18" s="51">
        <v>673194</v>
      </c>
      <c r="E18" s="51">
        <f t="shared" si="0"/>
        <v>581983</v>
      </c>
      <c r="F18" s="70">
        <f t="shared" si="1"/>
        <v>6.3806229511791344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287349992</v>
      </c>
      <c r="D19" s="27">
        <f>SUM(D16:D18)</f>
        <v>290188576</v>
      </c>
      <c r="E19" s="27">
        <f t="shared" si="0"/>
        <v>2838584</v>
      </c>
      <c r="F19" s="28">
        <f t="shared" si="1"/>
        <v>9.8784899217954393E-3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116197349</v>
      </c>
      <c r="D22" s="51">
        <v>117877797</v>
      </c>
      <c r="E22" s="51">
        <f t="shared" ref="E22:E31" si="2">D22-C22</f>
        <v>1680448</v>
      </c>
      <c r="F22" s="70">
        <f t="shared" ref="F22:F31" si="3">IF(C22=0,0,E22/C22)</f>
        <v>1.4462016685079451E-2</v>
      </c>
    </row>
    <row r="23" spans="1:7" ht="23.1" customHeight="1" x14ac:dyDescent="0.2">
      <c r="A23" s="25">
        <v>2</v>
      </c>
      <c r="B23" s="48" t="s">
        <v>81</v>
      </c>
      <c r="C23" s="51">
        <v>29622058</v>
      </c>
      <c r="D23" s="51">
        <v>27854316</v>
      </c>
      <c r="E23" s="51">
        <f t="shared" si="2"/>
        <v>-1767742</v>
      </c>
      <c r="F23" s="70">
        <f t="shared" si="3"/>
        <v>-5.9676542392834424E-2</v>
      </c>
    </row>
    <row r="24" spans="1:7" ht="23.1" customHeight="1" x14ac:dyDescent="0.2">
      <c r="A24" s="25">
        <v>3</v>
      </c>
      <c r="B24" s="48" t="s">
        <v>82</v>
      </c>
      <c r="C24" s="51">
        <v>1512971</v>
      </c>
      <c r="D24" s="51">
        <v>1766978</v>
      </c>
      <c r="E24" s="51">
        <f t="shared" si="2"/>
        <v>254007</v>
      </c>
      <c r="F24" s="70">
        <f t="shared" si="3"/>
        <v>0.1678862317916206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91569467</v>
      </c>
      <c r="D25" s="51">
        <v>84999001</v>
      </c>
      <c r="E25" s="51">
        <f t="shared" si="2"/>
        <v>-6570466</v>
      </c>
      <c r="F25" s="70">
        <f t="shared" si="3"/>
        <v>-7.1753895870115741E-2</v>
      </c>
    </row>
    <row r="26" spans="1:7" ht="23.1" customHeight="1" x14ac:dyDescent="0.2">
      <c r="A26" s="25">
        <v>5</v>
      </c>
      <c r="B26" s="48" t="s">
        <v>84</v>
      </c>
      <c r="C26" s="51">
        <v>17534609</v>
      </c>
      <c r="D26" s="51">
        <v>17045582</v>
      </c>
      <c r="E26" s="51">
        <f t="shared" si="2"/>
        <v>-489027</v>
      </c>
      <c r="F26" s="70">
        <f t="shared" si="3"/>
        <v>-2.7889244636136453E-2</v>
      </c>
    </row>
    <row r="27" spans="1:7" ht="23.1" customHeight="1" x14ac:dyDescent="0.2">
      <c r="A27" s="25">
        <v>6</v>
      </c>
      <c r="B27" s="48" t="s">
        <v>85</v>
      </c>
      <c r="C27" s="51">
        <v>14462163</v>
      </c>
      <c r="D27" s="51">
        <v>12767930</v>
      </c>
      <c r="E27" s="51">
        <f t="shared" si="2"/>
        <v>-1694233</v>
      </c>
      <c r="F27" s="70">
        <f t="shared" si="3"/>
        <v>-0.11714935034268387</v>
      </c>
    </row>
    <row r="28" spans="1:7" ht="23.1" customHeight="1" x14ac:dyDescent="0.2">
      <c r="A28" s="25">
        <v>7</v>
      </c>
      <c r="B28" s="48" t="s">
        <v>86</v>
      </c>
      <c r="C28" s="51">
        <v>3185038</v>
      </c>
      <c r="D28" s="51">
        <v>3247715</v>
      </c>
      <c r="E28" s="51">
        <f t="shared" si="2"/>
        <v>62677</v>
      </c>
      <c r="F28" s="70">
        <f t="shared" si="3"/>
        <v>1.9678572123786278E-2</v>
      </c>
    </row>
    <row r="29" spans="1:7" ht="23.1" customHeight="1" x14ac:dyDescent="0.2">
      <c r="A29" s="25">
        <v>8</v>
      </c>
      <c r="B29" s="48" t="s">
        <v>87</v>
      </c>
      <c r="C29" s="51">
        <v>2653793</v>
      </c>
      <c r="D29" s="51">
        <v>3088438</v>
      </c>
      <c r="E29" s="51">
        <f t="shared" si="2"/>
        <v>434645</v>
      </c>
      <c r="F29" s="70">
        <f t="shared" si="3"/>
        <v>0.16378255576075451</v>
      </c>
    </row>
    <row r="30" spans="1:7" ht="23.1" customHeight="1" x14ac:dyDescent="0.2">
      <c r="A30" s="25">
        <v>9</v>
      </c>
      <c r="B30" s="48" t="s">
        <v>88</v>
      </c>
      <c r="C30" s="51">
        <v>0</v>
      </c>
      <c r="D30" s="51">
        <v>0</v>
      </c>
      <c r="E30" s="51">
        <f t="shared" si="2"/>
        <v>0</v>
      </c>
      <c r="F30" s="70">
        <f t="shared" si="3"/>
        <v>0</v>
      </c>
    </row>
    <row r="31" spans="1:7" ht="23.1" customHeight="1" x14ac:dyDescent="0.25">
      <c r="A31" s="29"/>
      <c r="B31" s="71" t="s">
        <v>89</v>
      </c>
      <c r="C31" s="27">
        <f>SUM(C22:C30)</f>
        <v>276737448</v>
      </c>
      <c r="D31" s="27">
        <f>SUM(D22:D30)</f>
        <v>268647757</v>
      </c>
      <c r="E31" s="27">
        <f t="shared" si="2"/>
        <v>-8089691</v>
      </c>
      <c r="F31" s="28">
        <f t="shared" si="3"/>
        <v>-2.9232368291551205E-2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10612544</v>
      </c>
      <c r="D33" s="27">
        <f>+D19-D31</f>
        <v>21540819</v>
      </c>
      <c r="E33" s="27">
        <f>D33-C33</f>
        <v>10928275</v>
      </c>
      <c r="F33" s="28">
        <f>IF(C33=0,0,E33/C33)</f>
        <v>1.0297507364869347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8486755</v>
      </c>
      <c r="D36" s="51">
        <v>8259609</v>
      </c>
      <c r="E36" s="51">
        <f>D36-C36</f>
        <v>-227146</v>
      </c>
      <c r="F36" s="70">
        <f>IF(C36=0,0,E36/C36)</f>
        <v>-2.6764764624405912E-2</v>
      </c>
    </row>
    <row r="37" spans="1:6" ht="23.1" customHeight="1" x14ac:dyDescent="0.2">
      <c r="A37" s="44">
        <v>2</v>
      </c>
      <c r="B37" s="48" t="s">
        <v>93</v>
      </c>
      <c r="C37" s="51">
        <v>328840</v>
      </c>
      <c r="D37" s="51">
        <v>158300</v>
      </c>
      <c r="E37" s="51">
        <f>D37-C37</f>
        <v>-170540</v>
      </c>
      <c r="F37" s="70">
        <f>IF(C37=0,0,E37/C37)</f>
        <v>-0.51861087458946598</v>
      </c>
    </row>
    <row r="38" spans="1:6" ht="23.1" customHeight="1" x14ac:dyDescent="0.2">
      <c r="A38" s="44">
        <v>3</v>
      </c>
      <c r="B38" s="48" t="s">
        <v>94</v>
      </c>
      <c r="C38" s="51">
        <v>77066</v>
      </c>
      <c r="D38" s="51">
        <v>-565873</v>
      </c>
      <c r="E38" s="51">
        <f>D38-C38</f>
        <v>-642939</v>
      </c>
      <c r="F38" s="70">
        <f>IF(C38=0,0,E38/C38)</f>
        <v>-8.3427062517841843</v>
      </c>
    </row>
    <row r="39" spans="1:6" ht="23.1" customHeight="1" x14ac:dyDescent="0.25">
      <c r="A39" s="20"/>
      <c r="B39" s="71" t="s">
        <v>95</v>
      </c>
      <c r="C39" s="27">
        <f>SUM(C36:C38)</f>
        <v>8892661</v>
      </c>
      <c r="D39" s="27">
        <f>SUM(D36:D38)</f>
        <v>7852036</v>
      </c>
      <c r="E39" s="27">
        <f>D39-C39</f>
        <v>-1040625</v>
      </c>
      <c r="F39" s="28">
        <f>IF(C39=0,0,E39/C39)</f>
        <v>-0.11702065332300422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19505205</v>
      </c>
      <c r="D41" s="27">
        <f>D33+D39</f>
        <v>29392855</v>
      </c>
      <c r="E41" s="27">
        <f>D41-C41</f>
        <v>9887650</v>
      </c>
      <c r="F41" s="28">
        <f>IF(C41=0,0,E41/C41)</f>
        <v>0.50692366473461825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-5813831</v>
      </c>
      <c r="E44" s="51">
        <f>D44-C44</f>
        <v>-5813831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-5813831</v>
      </c>
      <c r="E46" s="27">
        <f>D46-C46</f>
        <v>-5813831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19505205</v>
      </c>
      <c r="D48" s="27">
        <f>D41+D46</f>
        <v>23579024</v>
      </c>
      <c r="E48" s="27">
        <f>D48-C48</f>
        <v>4073819</v>
      </c>
      <c r="F48" s="28">
        <f>IF(C48=0,0,E48/C48)</f>
        <v>0.20885804583955925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r:id="rId1"/>
  <headerFooter>
    <oddHeader>&amp;L&amp;8OFFICE OF HEALTH CARE ACCESS&amp;C&amp;8TWELVE MONTHS ACTUAL FILING&amp;R&amp;8BACKUS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2012-06-27T19:27:10Z</cp:lastPrinted>
  <dcterms:created xsi:type="dcterms:W3CDTF">2006-08-03T13:49:12Z</dcterms:created>
  <dcterms:modified xsi:type="dcterms:W3CDTF">2012-06-29T15:00:32Z</dcterms:modified>
</cp:coreProperties>
</file>