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1.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updateLinks="never" defaultThemeVersion="124226"/>
  <mc:AlternateContent xmlns:mc="http://schemas.openxmlformats.org/markup-compatibility/2006">
    <mc:Choice Requires="x15">
      <x15ac:absPath xmlns:x15ac="http://schemas.microsoft.com/office/spreadsheetml/2010/11/ac" url="https://bailit.sharepoint.com/CGT/Shared Documents/Connecticut/2023-2024/Cost Growth Data Submission Templates/DSS Submission Template/"/>
    </mc:Choice>
  </mc:AlternateContent>
  <xr:revisionPtr revIDLastSave="2540" documentId="8_{5011BBC8-204B-4A8E-97F5-AB6C826BF674}" xr6:coauthVersionLast="47" xr6:coauthVersionMax="47" xr10:uidLastSave="{471CD288-718F-4105-9E24-D2AF6CAB9D06}"/>
  <workbookProtection workbookAlgorithmName="SHA-512" workbookHashValue="nJ0Os0okaiYTqS3riXRUU8hOGaxfQqgaDDoeEmtlt6pUIJJ/9kNoPTMYZe4w9R7zyYZVwTUZyJZIswRDrrhHDQ==" workbookSaltValue="ZGxfLNKa2B57F3IbWNJw/Q==" workbookSpinCount="100000" lockStructure="1"/>
  <bookViews>
    <workbookView xWindow="-120" yWindow="-120" windowWidth="29040" windowHeight="15720" tabRatio="774" xr2:uid="{C6523F09-6EEC-437D-9DBA-337F62A88BCD}"/>
  </bookViews>
  <sheets>
    <sheet name="Contents" sheetId="7" r:id="rId1"/>
    <sheet name="Reference Tables" sheetId="5" r:id="rId2"/>
    <sheet name="Definitions" sheetId="12" r:id="rId3"/>
    <sheet name="HD-TME - 2023" sheetId="16" r:id="rId4"/>
    <sheet name="HD-TME - 2024" sheetId="20" r:id="rId5"/>
    <sheet name="Advanced Network - 2023" sheetId="21" r:id="rId6"/>
    <sheet name="Advanced Network - 2024" sheetId="19" r:id="rId7"/>
    <sheet name="RX Rebates - 2023" sheetId="32" r:id="rId8"/>
    <sheet name="RX Rebates - 2024" sheetId="33" r:id="rId9"/>
    <sheet name="LOB Enrollment" sheetId="24" r:id="rId10"/>
    <sheet name="Standard Deviation - 2023" sheetId="27" r:id="rId11"/>
    <sheet name="Standard Deviation - 2024" sheetId="28" r:id="rId12"/>
    <sheet name="Age_Sex Factors - 2023" sheetId="30" r:id="rId13"/>
    <sheet name="Age_Sex Factors - 2024" sheetId="31" r:id="rId14"/>
    <sheet name="Mandatory Questions" sheetId="6" r:id="rId15"/>
    <sheet name="Validation by Market" sheetId="14" r:id="rId16"/>
    <sheet name="Validation by Provider" sheetId="34" r:id="rId17"/>
    <sheet name="Data Validation" sheetId="11" r:id="rId18"/>
    <sheet name="Data Validation Backup" sheetId="9" state="hidden" r:id="rId19"/>
  </sheets>
  <externalReferences>
    <externalReference r:id="rId20"/>
  </externalReferences>
  <definedNames>
    <definedName name="_AMO_UniqueIdentifier" hidden="1">"'b1cc02ed-c984-42fb-b62a-511c8fbc4dd9'"</definedName>
    <definedName name="_ftnref1" localSheetId="1">'Reference Tables'!$B$13</definedName>
    <definedName name="_ftnref2" localSheetId="1">'Reference Tables'!$B$14</definedName>
    <definedName name="_ftnref3" localSheetId="1">'Reference Tables'!$B$15</definedName>
    <definedName name="_ftnref4" localSheetId="1">'Reference Tables'!$B$16</definedName>
    <definedName name="_ftnref5" localSheetId="1">'Reference Tables'!$B$27</definedName>
    <definedName name="Check">'Data Validation'!$B$4:$B$12</definedName>
    <definedName name="MM_DSS">'Data Validation'!$B$34:$G$47</definedName>
    <definedName name="MMChange20to21">'Data Validation'!$AH$89:$AH$125</definedName>
    <definedName name="TruncSpend_AN">'Data Validation'!$B$87:$AE$131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11" l="1"/>
  <c r="D38" i="11"/>
  <c r="D37" i="11"/>
  <c r="AB131" i="11"/>
  <c r="AA131" i="11"/>
  <c r="Z131" i="11"/>
  <c r="Y131" i="11"/>
  <c r="X131" i="11"/>
  <c r="AB130" i="11"/>
  <c r="AA130" i="11"/>
  <c r="Z130" i="11"/>
  <c r="Y130" i="11"/>
  <c r="X130" i="11"/>
  <c r="AB125" i="11"/>
  <c r="AA125" i="11"/>
  <c r="Z125" i="11"/>
  <c r="Y125" i="11"/>
  <c r="X125" i="11"/>
  <c r="AB124" i="11"/>
  <c r="AA124" i="11"/>
  <c r="Z124" i="11"/>
  <c r="Y124" i="11"/>
  <c r="X124" i="11"/>
  <c r="AB123" i="11"/>
  <c r="AA123" i="11"/>
  <c r="Z123" i="11"/>
  <c r="Y123" i="11"/>
  <c r="X123" i="11"/>
  <c r="AB122" i="11"/>
  <c r="AA122" i="11"/>
  <c r="Z122" i="11"/>
  <c r="Y122" i="11"/>
  <c r="X122" i="11"/>
  <c r="AB121" i="11"/>
  <c r="AA121" i="11"/>
  <c r="Z121" i="11"/>
  <c r="Y121" i="11"/>
  <c r="X121" i="11"/>
  <c r="AB120" i="11"/>
  <c r="AA120" i="11"/>
  <c r="Z120" i="11"/>
  <c r="Y120" i="11"/>
  <c r="X120" i="11"/>
  <c r="AB119" i="11"/>
  <c r="AA119" i="11"/>
  <c r="Z119" i="11"/>
  <c r="Y119" i="11"/>
  <c r="X119" i="11"/>
  <c r="AB118" i="11"/>
  <c r="AA118" i="11"/>
  <c r="Z118" i="11"/>
  <c r="Y118" i="11"/>
  <c r="X118" i="11"/>
  <c r="AB117" i="11"/>
  <c r="AA117" i="11"/>
  <c r="Z117" i="11"/>
  <c r="Y117" i="11"/>
  <c r="X117" i="11"/>
  <c r="AB116" i="11"/>
  <c r="AA116" i="11"/>
  <c r="Z116" i="11"/>
  <c r="Y116" i="11"/>
  <c r="X116" i="11"/>
  <c r="AB115" i="11"/>
  <c r="AA115" i="11"/>
  <c r="Z115" i="11"/>
  <c r="Y115" i="11"/>
  <c r="X115" i="11"/>
  <c r="AB114" i="11"/>
  <c r="AA114" i="11"/>
  <c r="Z114" i="11"/>
  <c r="Y114" i="11"/>
  <c r="X114" i="11"/>
  <c r="AB113" i="11"/>
  <c r="AA113" i="11"/>
  <c r="Z113" i="11"/>
  <c r="Y113" i="11"/>
  <c r="X113" i="11"/>
  <c r="AB112" i="11"/>
  <c r="AA112" i="11"/>
  <c r="Z112" i="11"/>
  <c r="Y112" i="11"/>
  <c r="X112" i="11"/>
  <c r="AB111" i="11"/>
  <c r="AA111" i="11"/>
  <c r="Z111" i="11"/>
  <c r="Y111" i="11"/>
  <c r="X111" i="11"/>
  <c r="AB110" i="11"/>
  <c r="AA110" i="11"/>
  <c r="Z110" i="11"/>
  <c r="Y110" i="11"/>
  <c r="X110" i="11"/>
  <c r="AB109" i="11"/>
  <c r="AA109" i="11"/>
  <c r="Z109" i="11"/>
  <c r="Y109" i="11"/>
  <c r="X109" i="11"/>
  <c r="AB108" i="11"/>
  <c r="AA108" i="11"/>
  <c r="Z108" i="11"/>
  <c r="Y108" i="11"/>
  <c r="X108" i="11"/>
  <c r="AB107" i="11"/>
  <c r="AA107" i="11"/>
  <c r="Z107" i="11"/>
  <c r="Y107" i="11"/>
  <c r="X107" i="11"/>
  <c r="AB106" i="11"/>
  <c r="AA106" i="11"/>
  <c r="Z106" i="11"/>
  <c r="Y106" i="11"/>
  <c r="X106" i="11"/>
  <c r="AB105" i="11"/>
  <c r="AA105" i="11"/>
  <c r="Z105" i="11"/>
  <c r="Y105" i="11"/>
  <c r="X105" i="11"/>
  <c r="AB104" i="11"/>
  <c r="AA104" i="11"/>
  <c r="Z104" i="11"/>
  <c r="Y104" i="11"/>
  <c r="X104" i="11"/>
  <c r="AB103" i="11"/>
  <c r="AA103" i="11"/>
  <c r="Z103" i="11"/>
  <c r="Y103" i="11"/>
  <c r="X103" i="11"/>
  <c r="AB102" i="11"/>
  <c r="AA102" i="11"/>
  <c r="Z102" i="11"/>
  <c r="Y102" i="11"/>
  <c r="X102" i="11"/>
  <c r="AB101" i="11"/>
  <c r="AA101" i="11"/>
  <c r="Z101" i="11"/>
  <c r="Y101" i="11"/>
  <c r="X101" i="11"/>
  <c r="AB100" i="11"/>
  <c r="AA100" i="11"/>
  <c r="Z100" i="11"/>
  <c r="Y100" i="11"/>
  <c r="X100" i="11"/>
  <c r="AB99" i="11"/>
  <c r="AA99" i="11"/>
  <c r="Z99" i="11"/>
  <c r="Y99" i="11"/>
  <c r="X99" i="11"/>
  <c r="AB98" i="11"/>
  <c r="AA98" i="11"/>
  <c r="Z98" i="11"/>
  <c r="Y98" i="11"/>
  <c r="X98" i="11"/>
  <c r="AB97" i="11"/>
  <c r="AA97" i="11"/>
  <c r="Z97" i="11"/>
  <c r="Y97" i="11"/>
  <c r="X97" i="11"/>
  <c r="AB96" i="11"/>
  <c r="AA96" i="11"/>
  <c r="Z96" i="11"/>
  <c r="Y96" i="11"/>
  <c r="X96" i="11"/>
  <c r="AB95" i="11"/>
  <c r="AA95" i="11"/>
  <c r="Z95" i="11"/>
  <c r="Y95" i="11"/>
  <c r="X95" i="11"/>
  <c r="AB94" i="11"/>
  <c r="AA94" i="11"/>
  <c r="Z94" i="11"/>
  <c r="Y94" i="11"/>
  <c r="X94" i="11"/>
  <c r="AB93" i="11"/>
  <c r="AA93" i="11"/>
  <c r="Z93" i="11"/>
  <c r="Y93" i="11"/>
  <c r="X93" i="11"/>
  <c r="AB92" i="11"/>
  <c r="AA92" i="11"/>
  <c r="Z92" i="11"/>
  <c r="Y92" i="11"/>
  <c r="X92" i="11"/>
  <c r="AB91" i="11"/>
  <c r="AA91" i="11"/>
  <c r="Z91" i="11"/>
  <c r="Y91" i="11"/>
  <c r="X91" i="11"/>
  <c r="AB90" i="11"/>
  <c r="AA90" i="11"/>
  <c r="Z90" i="11"/>
  <c r="Y90" i="11"/>
  <c r="X90" i="11"/>
  <c r="L131" i="11"/>
  <c r="K131" i="11"/>
  <c r="J131" i="11"/>
  <c r="I131" i="11"/>
  <c r="H131" i="11"/>
  <c r="L130" i="11"/>
  <c r="K130" i="11"/>
  <c r="J130" i="11"/>
  <c r="I130" i="11"/>
  <c r="H130" i="11"/>
  <c r="L125" i="11"/>
  <c r="K125" i="11"/>
  <c r="J125" i="11"/>
  <c r="I125" i="11"/>
  <c r="H125" i="11"/>
  <c r="L124" i="11"/>
  <c r="K124" i="11"/>
  <c r="J124" i="11"/>
  <c r="I124" i="11"/>
  <c r="H124" i="11"/>
  <c r="L123" i="11"/>
  <c r="K123" i="11"/>
  <c r="J123" i="11"/>
  <c r="I123" i="11"/>
  <c r="H123" i="11"/>
  <c r="L122" i="11"/>
  <c r="K122" i="11"/>
  <c r="J122" i="11"/>
  <c r="I122" i="11"/>
  <c r="H122" i="11"/>
  <c r="L121" i="11"/>
  <c r="K121" i="11"/>
  <c r="J121" i="11"/>
  <c r="I121" i="11"/>
  <c r="H121" i="11"/>
  <c r="L120" i="11"/>
  <c r="K120" i="11"/>
  <c r="J120" i="11"/>
  <c r="I120" i="11"/>
  <c r="H120" i="11"/>
  <c r="L119" i="11"/>
  <c r="K119" i="11"/>
  <c r="J119" i="11"/>
  <c r="I119" i="11"/>
  <c r="H119" i="11"/>
  <c r="L118" i="11"/>
  <c r="K118" i="11"/>
  <c r="J118" i="11"/>
  <c r="I118" i="11"/>
  <c r="H118" i="11"/>
  <c r="L117" i="11"/>
  <c r="K117" i="11"/>
  <c r="J117" i="11"/>
  <c r="I117" i="11"/>
  <c r="H117" i="11"/>
  <c r="L116" i="11"/>
  <c r="K116" i="11"/>
  <c r="J116" i="11"/>
  <c r="I116" i="11"/>
  <c r="H116" i="11"/>
  <c r="L115" i="11"/>
  <c r="K115" i="11"/>
  <c r="J115" i="11"/>
  <c r="I115" i="11"/>
  <c r="H115" i="11"/>
  <c r="L114" i="11"/>
  <c r="K114" i="11"/>
  <c r="J114" i="11"/>
  <c r="I114" i="11"/>
  <c r="H114" i="11"/>
  <c r="L113" i="11"/>
  <c r="K113" i="11"/>
  <c r="J113" i="11"/>
  <c r="I113" i="11"/>
  <c r="H113" i="11"/>
  <c r="L112" i="11"/>
  <c r="K112" i="11"/>
  <c r="J112" i="11"/>
  <c r="I112" i="11"/>
  <c r="H112" i="11"/>
  <c r="L111" i="11"/>
  <c r="K111" i="11"/>
  <c r="J111" i="11"/>
  <c r="I111" i="11"/>
  <c r="H111" i="11"/>
  <c r="L110" i="11"/>
  <c r="K110" i="11"/>
  <c r="J110" i="11"/>
  <c r="I110" i="11"/>
  <c r="H110" i="11"/>
  <c r="L109" i="11"/>
  <c r="K109" i="11"/>
  <c r="J109" i="11"/>
  <c r="I109" i="11"/>
  <c r="H109" i="11"/>
  <c r="L108" i="11"/>
  <c r="K108" i="11"/>
  <c r="J108" i="11"/>
  <c r="I108" i="11"/>
  <c r="H108" i="11"/>
  <c r="L107" i="11"/>
  <c r="K107" i="11"/>
  <c r="J107" i="11"/>
  <c r="I107" i="11"/>
  <c r="H107" i="11"/>
  <c r="L106" i="11"/>
  <c r="K106" i="11"/>
  <c r="J106" i="11"/>
  <c r="I106" i="11"/>
  <c r="H106" i="11"/>
  <c r="L105" i="11"/>
  <c r="K105" i="11"/>
  <c r="J105" i="11"/>
  <c r="I105" i="11"/>
  <c r="H105" i="11"/>
  <c r="L104" i="11"/>
  <c r="K104" i="11"/>
  <c r="J104" i="11"/>
  <c r="I104" i="11"/>
  <c r="H104" i="11"/>
  <c r="L103" i="11"/>
  <c r="K103" i="11"/>
  <c r="J103" i="11"/>
  <c r="I103" i="11"/>
  <c r="H103" i="11"/>
  <c r="L102" i="11"/>
  <c r="K102" i="11"/>
  <c r="J102" i="11"/>
  <c r="I102" i="11"/>
  <c r="H102" i="11"/>
  <c r="L101" i="11"/>
  <c r="K101" i="11"/>
  <c r="J101" i="11"/>
  <c r="I101" i="11"/>
  <c r="H101" i="11"/>
  <c r="L100" i="11"/>
  <c r="K100" i="11"/>
  <c r="J100" i="11"/>
  <c r="I100" i="11"/>
  <c r="H100" i="11"/>
  <c r="L99" i="11"/>
  <c r="K99" i="11"/>
  <c r="J99" i="11"/>
  <c r="I99" i="11"/>
  <c r="H99" i="11"/>
  <c r="L98" i="11"/>
  <c r="K98" i="11"/>
  <c r="J98" i="11"/>
  <c r="I98" i="11"/>
  <c r="H98" i="11"/>
  <c r="L97" i="11"/>
  <c r="K97" i="11"/>
  <c r="J97" i="11"/>
  <c r="I97" i="11"/>
  <c r="H97" i="11"/>
  <c r="L96" i="11"/>
  <c r="K96" i="11"/>
  <c r="J96" i="11"/>
  <c r="I96" i="11"/>
  <c r="H96" i="11"/>
  <c r="L95" i="11"/>
  <c r="K95" i="11"/>
  <c r="J95" i="11"/>
  <c r="I95" i="11"/>
  <c r="H95" i="11"/>
  <c r="L94" i="11"/>
  <c r="K94" i="11"/>
  <c r="J94" i="11"/>
  <c r="I94" i="11"/>
  <c r="H94" i="11"/>
  <c r="L93" i="11"/>
  <c r="K93" i="11"/>
  <c r="J93" i="11"/>
  <c r="I93" i="11"/>
  <c r="H93" i="11"/>
  <c r="L92" i="11"/>
  <c r="K92" i="11"/>
  <c r="J92" i="11"/>
  <c r="I92" i="11"/>
  <c r="H92" i="11"/>
  <c r="L91" i="11"/>
  <c r="K91" i="11"/>
  <c r="J91" i="11"/>
  <c r="I91" i="11"/>
  <c r="H91" i="11"/>
  <c r="L90" i="11"/>
  <c r="K90" i="11"/>
  <c r="J90" i="11"/>
  <c r="I90" i="11"/>
  <c r="H90" i="11"/>
  <c r="G85" i="11"/>
  <c r="F85" i="11"/>
  <c r="F84" i="11"/>
  <c r="F83" i="11"/>
  <c r="F82" i="11"/>
  <c r="F81" i="11"/>
  <c r="F80" i="11"/>
  <c r="F79" i="11"/>
  <c r="F78" i="11"/>
  <c r="F77" i="11"/>
  <c r="F76" i="11"/>
  <c r="F75" i="11"/>
  <c r="F74" i="11"/>
  <c r="F73" i="11"/>
  <c r="F72" i="11"/>
  <c r="F71" i="11"/>
  <c r="F70" i="11"/>
  <c r="F69" i="11"/>
  <c r="F68" i="11"/>
  <c r="F67" i="11"/>
  <c r="F66" i="11"/>
  <c r="F65" i="11"/>
  <c r="F64" i="11"/>
  <c r="F63" i="11"/>
  <c r="F62" i="11"/>
  <c r="F61" i="11"/>
  <c r="F60" i="11"/>
  <c r="F59" i="11"/>
  <c r="F58" i="11"/>
  <c r="F57" i="11"/>
  <c r="F56" i="11"/>
  <c r="F55" i="11"/>
  <c r="F54" i="11"/>
  <c r="F53" i="11"/>
  <c r="G52" i="11"/>
  <c r="F52" i="11"/>
  <c r="D85" i="11"/>
  <c r="D52" i="11"/>
  <c r="C85" i="11"/>
  <c r="C84" i="11"/>
  <c r="C83" i="11"/>
  <c r="C82" i="11"/>
  <c r="C81" i="11"/>
  <c r="C80" i="11"/>
  <c r="C79" i="11"/>
  <c r="C78" i="11"/>
  <c r="C77" i="11"/>
  <c r="C76" i="11"/>
  <c r="C75" i="11"/>
  <c r="C74" i="11"/>
  <c r="C73" i="11"/>
  <c r="C72" i="11"/>
  <c r="C71" i="11"/>
  <c r="C70" i="11"/>
  <c r="C69" i="11"/>
  <c r="C68" i="11"/>
  <c r="C67" i="11"/>
  <c r="C66" i="11"/>
  <c r="C65" i="11"/>
  <c r="C64" i="11"/>
  <c r="C63" i="11"/>
  <c r="C62" i="11"/>
  <c r="C61" i="11"/>
  <c r="C60" i="11"/>
  <c r="C59" i="11"/>
  <c r="C58" i="11"/>
  <c r="C57" i="11"/>
  <c r="C56" i="11"/>
  <c r="C55" i="11"/>
  <c r="C54" i="11"/>
  <c r="C53" i="11"/>
  <c r="C52" i="11"/>
  <c r="E156" i="11"/>
  <c r="F156" i="11" s="1"/>
  <c r="C156" i="11"/>
  <c r="D156" i="11" s="1"/>
  <c r="E176" i="11"/>
  <c r="F176" i="11" s="1"/>
  <c r="C176" i="11"/>
  <c r="D176" i="11" s="1"/>
  <c r="S42" i="34"/>
  <c r="AB42" i="34" s="1"/>
  <c r="D42" i="34"/>
  <c r="AV42" i="34" s="1"/>
  <c r="C42" i="34"/>
  <c r="S41" i="34"/>
  <c r="AB41" i="34" s="1"/>
  <c r="D41" i="34"/>
  <c r="AV41" i="34" s="1"/>
  <c r="C41" i="34"/>
  <c r="S40" i="34"/>
  <c r="AB40" i="34" s="1"/>
  <c r="D40" i="34"/>
  <c r="AV40" i="34" s="1"/>
  <c r="C40" i="34"/>
  <c r="AE124" i="11"/>
  <c r="AD124" i="11"/>
  <c r="W124" i="11"/>
  <c r="V124" i="11"/>
  <c r="U124" i="11"/>
  <c r="AC124" i="11" s="1"/>
  <c r="T124" i="11"/>
  <c r="S124" i="11"/>
  <c r="AE123" i="11"/>
  <c r="AD123" i="11"/>
  <c r="W123" i="11"/>
  <c r="V123" i="11"/>
  <c r="U123" i="11"/>
  <c r="AC123" i="11" s="1"/>
  <c r="T123" i="11"/>
  <c r="S123" i="11"/>
  <c r="AE122" i="11"/>
  <c r="AD122" i="11"/>
  <c r="W122" i="11"/>
  <c r="V122" i="11"/>
  <c r="U122" i="11"/>
  <c r="AC122" i="11" s="1"/>
  <c r="T122" i="11"/>
  <c r="S122" i="11"/>
  <c r="O124" i="11"/>
  <c r="N124" i="11"/>
  <c r="G124" i="11"/>
  <c r="F124" i="11"/>
  <c r="E124" i="11"/>
  <c r="M124" i="11" s="1"/>
  <c r="D124" i="11"/>
  <c r="C124" i="11"/>
  <c r="O123" i="11"/>
  <c r="N123" i="11"/>
  <c r="G123" i="11"/>
  <c r="F123" i="11"/>
  <c r="E123" i="11"/>
  <c r="D123" i="11"/>
  <c r="C123" i="11"/>
  <c r="O122" i="11"/>
  <c r="N122" i="11"/>
  <c r="G122" i="11"/>
  <c r="F122" i="11"/>
  <c r="E122" i="11"/>
  <c r="M122" i="11" s="1"/>
  <c r="D122" i="11"/>
  <c r="C122" i="11"/>
  <c r="C18" i="11"/>
  <c r="C17" i="11"/>
  <c r="N29" i="14"/>
  <c r="N43" i="14" s="1"/>
  <c r="M29" i="14"/>
  <c r="M51" i="14" s="1"/>
  <c r="I29" i="14"/>
  <c r="I49" i="14" s="1"/>
  <c r="H29" i="14"/>
  <c r="H39" i="14" s="1"/>
  <c r="D16" i="14"/>
  <c r="D15" i="14"/>
  <c r="C9" i="14"/>
  <c r="D9" i="14"/>
  <c r="C8" i="14"/>
  <c r="D8" i="14"/>
  <c r="E9" i="11" l="1"/>
  <c r="H4" i="19" s="1"/>
  <c r="I47" i="14"/>
  <c r="I37" i="14"/>
  <c r="I39" i="14"/>
  <c r="J39" i="14" s="1"/>
  <c r="C9" i="11"/>
  <c r="H4" i="21" s="1"/>
  <c r="H47" i="14"/>
  <c r="M37" i="14"/>
  <c r="E9" i="14"/>
  <c r="M47" i="14"/>
  <c r="M49" i="14"/>
  <c r="M39" i="14"/>
  <c r="AH122" i="11"/>
  <c r="M123" i="11"/>
  <c r="AH124" i="11"/>
  <c r="AH123" i="11"/>
  <c r="I15" i="14"/>
  <c r="N37" i="14"/>
  <c r="I16" i="14"/>
  <c r="N39" i="14"/>
  <c r="N49" i="14"/>
  <c r="N47" i="14"/>
  <c r="E8" i="14"/>
  <c r="H37" i="14"/>
  <c r="J37" i="14" s="1"/>
  <c r="H50" i="14"/>
  <c r="N30" i="14"/>
  <c r="M52" i="14"/>
  <c r="H33" i="14"/>
  <c r="I44" i="14"/>
  <c r="H31" i="14"/>
  <c r="I42" i="14"/>
  <c r="I33" i="14"/>
  <c r="M44" i="14"/>
  <c r="M41" i="14"/>
  <c r="N51" i="14"/>
  <c r="O51" i="14" s="1"/>
  <c r="N41" i="14"/>
  <c r="H44" i="14"/>
  <c r="I46" i="14"/>
  <c r="H40" i="14"/>
  <c r="H52" i="14"/>
  <c r="I52" i="14"/>
  <c r="N44" i="14"/>
  <c r="H46" i="14"/>
  <c r="M35" i="14"/>
  <c r="M46" i="14"/>
  <c r="I50" i="14"/>
  <c r="M30" i="14"/>
  <c r="H42" i="14"/>
  <c r="I31" i="14"/>
  <c r="N32" i="14"/>
  <c r="M33" i="14"/>
  <c r="H35" i="14"/>
  <c r="I35" i="14"/>
  <c r="N35" i="14"/>
  <c r="N46" i="14"/>
  <c r="AC42" i="34"/>
  <c r="I41" i="34"/>
  <c r="J41" i="34"/>
  <c r="I42" i="34"/>
  <c r="AD42" i="34"/>
  <c r="K42" i="34"/>
  <c r="L42" i="34"/>
  <c r="M42" i="34"/>
  <c r="O42" i="34"/>
  <c r="AI42" i="34"/>
  <c r="AF42" i="34"/>
  <c r="R42" i="34"/>
  <c r="X42" i="34"/>
  <c r="AR42" i="34"/>
  <c r="J42" i="34"/>
  <c r="AE42" i="34"/>
  <c r="AG42" i="34"/>
  <c r="N42" i="34"/>
  <c r="P42" i="34"/>
  <c r="AJ42" i="34"/>
  <c r="Q42" i="34"/>
  <c r="AK42" i="34"/>
  <c r="AL42" i="34"/>
  <c r="W42" i="34"/>
  <c r="AQ42" i="34"/>
  <c r="E42" i="34"/>
  <c r="Y42" i="34"/>
  <c r="AS42" i="34"/>
  <c r="AH42" i="34"/>
  <c r="AM42" i="34"/>
  <c r="T42" i="34"/>
  <c r="AN42" i="34"/>
  <c r="U42" i="34"/>
  <c r="AO42" i="34"/>
  <c r="V42" i="34"/>
  <c r="AP42" i="34"/>
  <c r="F42" i="34"/>
  <c r="Z42" i="34"/>
  <c r="AT42" i="34"/>
  <c r="G42" i="34"/>
  <c r="AA42" i="34"/>
  <c r="AU42" i="34"/>
  <c r="H42" i="34"/>
  <c r="K41" i="34"/>
  <c r="AL41" i="34"/>
  <c r="AM41" i="34"/>
  <c r="T41" i="34"/>
  <c r="AN41" i="34"/>
  <c r="U41" i="34"/>
  <c r="AO41" i="34"/>
  <c r="V41" i="34"/>
  <c r="AP41" i="34"/>
  <c r="AT41" i="34"/>
  <c r="AC41" i="34"/>
  <c r="AD41" i="34"/>
  <c r="AE41" i="34"/>
  <c r="L41" i="34"/>
  <c r="AF41" i="34"/>
  <c r="M41" i="34"/>
  <c r="AG41" i="34"/>
  <c r="N41" i="34"/>
  <c r="AH41" i="34"/>
  <c r="O41" i="34"/>
  <c r="AI41" i="34"/>
  <c r="P41" i="34"/>
  <c r="AJ41" i="34"/>
  <c r="Q41" i="34"/>
  <c r="AK41" i="34"/>
  <c r="R41" i="34"/>
  <c r="W41" i="34"/>
  <c r="AQ41" i="34"/>
  <c r="X41" i="34"/>
  <c r="E41" i="34"/>
  <c r="Y41" i="34"/>
  <c r="Z41" i="34"/>
  <c r="G41" i="34"/>
  <c r="AA41" i="34"/>
  <c r="AU41" i="34"/>
  <c r="AR41" i="34"/>
  <c r="AS41" i="34"/>
  <c r="F41" i="34"/>
  <c r="H41" i="34"/>
  <c r="J40" i="34"/>
  <c r="AP40" i="34"/>
  <c r="AR40" i="34"/>
  <c r="E40" i="34"/>
  <c r="Y40" i="34"/>
  <c r="AS40" i="34"/>
  <c r="X40" i="34"/>
  <c r="F40" i="34"/>
  <c r="Z40" i="34"/>
  <c r="AT40" i="34"/>
  <c r="AC40" i="34"/>
  <c r="K40" i="34"/>
  <c r="AF40" i="34"/>
  <c r="M40" i="34"/>
  <c r="AH40" i="34"/>
  <c r="O40" i="34"/>
  <c r="AJ40" i="34"/>
  <c r="AK40" i="34"/>
  <c r="R40" i="34"/>
  <c r="AM40" i="34"/>
  <c r="T40" i="34"/>
  <c r="AO40" i="34"/>
  <c r="V40" i="34"/>
  <c r="W40" i="34"/>
  <c r="G40" i="34"/>
  <c r="AA40" i="34"/>
  <c r="AU40" i="34"/>
  <c r="I40" i="34"/>
  <c r="AD40" i="34"/>
  <c r="AE40" i="34"/>
  <c r="L40" i="34"/>
  <c r="AG40" i="34"/>
  <c r="N40" i="34"/>
  <c r="AI40" i="34"/>
  <c r="P40" i="34"/>
  <c r="Q40" i="34"/>
  <c r="AL40" i="34"/>
  <c r="AN40" i="34"/>
  <c r="U40" i="34"/>
  <c r="AQ40" i="34"/>
  <c r="H40" i="34"/>
  <c r="N50" i="14"/>
  <c r="I36" i="14"/>
  <c r="O29" i="14"/>
  <c r="H53" i="14"/>
  <c r="M36" i="14"/>
  <c r="H32" i="14"/>
  <c r="I32" i="14"/>
  <c r="M34" i="14"/>
  <c r="H41" i="14"/>
  <c r="N45" i="14"/>
  <c r="I51" i="14"/>
  <c r="M53" i="14"/>
  <c r="M48" i="14"/>
  <c r="M38" i="14"/>
  <c r="H45" i="14"/>
  <c r="H34" i="14"/>
  <c r="I45" i="14"/>
  <c r="I53" i="14"/>
  <c r="N36" i="14"/>
  <c r="I43" i="14"/>
  <c r="H51" i="14"/>
  <c r="H30" i="14"/>
  <c r="N34" i="14"/>
  <c r="I41" i="14"/>
  <c r="M43" i="14"/>
  <c r="O43" i="14" s="1"/>
  <c r="H49" i="14"/>
  <c r="J49" i="14" s="1"/>
  <c r="N53" i="14"/>
  <c r="N33" i="14"/>
  <c r="I40" i="14"/>
  <c r="M42" i="14"/>
  <c r="H48" i="14"/>
  <c r="N52" i="14"/>
  <c r="M31" i="14"/>
  <c r="H38" i="14"/>
  <c r="N42" i="14"/>
  <c r="I48" i="14"/>
  <c r="M50" i="14"/>
  <c r="J29" i="14"/>
  <c r="N31" i="14"/>
  <c r="I38" i="14"/>
  <c r="M40" i="14"/>
  <c r="H36" i="14"/>
  <c r="N40" i="14"/>
  <c r="N48" i="14"/>
  <c r="N38" i="14"/>
  <c r="I34" i="14"/>
  <c r="H43" i="14"/>
  <c r="M45" i="14"/>
  <c r="I30" i="14"/>
  <c r="M32" i="14"/>
  <c r="D14" i="14"/>
  <c r="C7" i="14"/>
  <c r="D7" i="14"/>
  <c r="O49" i="14" l="1"/>
  <c r="O39" i="14"/>
  <c r="J33" i="14"/>
  <c r="O37" i="14"/>
  <c r="J47" i="14"/>
  <c r="O32" i="14"/>
  <c r="O47" i="14"/>
  <c r="E7" i="14"/>
  <c r="J31" i="14"/>
  <c r="J50" i="14"/>
  <c r="J46" i="14"/>
  <c r="O46" i="14"/>
  <c r="O41" i="14"/>
  <c r="O35" i="14"/>
  <c r="J35" i="14"/>
  <c r="J52" i="14"/>
  <c r="O34" i="14"/>
  <c r="O44" i="14"/>
  <c r="J42" i="14"/>
  <c r="J44" i="14"/>
  <c r="O30" i="14"/>
  <c r="I14" i="14"/>
  <c r="J43" i="14"/>
  <c r="J45" i="14"/>
  <c r="O31" i="14"/>
  <c r="O36" i="14"/>
  <c r="J48" i="14"/>
  <c r="O42" i="14"/>
  <c r="O33" i="14"/>
  <c r="O38" i="14"/>
  <c r="O53" i="14"/>
  <c r="J41" i="14"/>
  <c r="J38" i="14"/>
  <c r="O50" i="14"/>
  <c r="O52" i="14"/>
  <c r="J40" i="14"/>
  <c r="J34" i="14"/>
  <c r="O48" i="14"/>
  <c r="J32" i="14"/>
  <c r="J36" i="14"/>
  <c r="J53" i="14"/>
  <c r="J30" i="14"/>
  <c r="J51" i="14"/>
  <c r="O45" i="14"/>
  <c r="O40" i="14"/>
  <c r="C43" i="34" l="1"/>
  <c r="C39" i="34"/>
  <c r="C38" i="34"/>
  <c r="C37" i="34"/>
  <c r="C36" i="34"/>
  <c r="C35" i="34"/>
  <c r="C34" i="34"/>
  <c r="C33" i="34"/>
  <c r="C32" i="34"/>
  <c r="C31" i="34"/>
  <c r="C30" i="34"/>
  <c r="C29" i="34"/>
  <c r="C28" i="34"/>
  <c r="C27" i="34"/>
  <c r="C26" i="34"/>
  <c r="C25" i="34"/>
  <c r="C24" i="34"/>
  <c r="C23" i="34"/>
  <c r="C22" i="34"/>
  <c r="C21" i="34"/>
  <c r="C20" i="34"/>
  <c r="C19" i="34"/>
  <c r="C18" i="34"/>
  <c r="C17" i="34"/>
  <c r="C16" i="34"/>
  <c r="C15" i="34"/>
  <c r="C14" i="34"/>
  <c r="C13" i="34"/>
  <c r="C12" i="34"/>
  <c r="C11" i="34"/>
  <c r="C10" i="34"/>
  <c r="C9" i="34"/>
  <c r="AC11" i="21"/>
  <c r="AC48" i="19" l="1"/>
  <c r="AC49" i="19"/>
  <c r="AC50" i="19"/>
  <c r="AC51" i="19"/>
  <c r="AC52" i="19"/>
  <c r="AC53" i="19"/>
  <c r="AC54" i="19"/>
  <c r="AC55" i="19"/>
  <c r="AC56" i="19"/>
  <c r="AC57" i="19"/>
  <c r="AC58" i="19"/>
  <c r="AC59" i="19"/>
  <c r="AC60" i="19"/>
  <c r="AC61" i="19"/>
  <c r="AC62" i="19"/>
  <c r="AC63" i="19"/>
  <c r="AC64" i="19"/>
  <c r="AC65" i="19"/>
  <c r="AC66" i="19"/>
  <c r="AC67" i="19"/>
  <c r="AC68" i="19"/>
  <c r="AC69" i="19"/>
  <c r="AC70" i="19"/>
  <c r="AC71" i="19"/>
  <c r="AC72" i="19"/>
  <c r="AC73" i="19"/>
  <c r="AC74" i="19"/>
  <c r="AC75" i="19"/>
  <c r="AC76" i="19"/>
  <c r="AC77" i="19"/>
  <c r="AC78" i="19"/>
  <c r="AC79" i="19"/>
  <c r="AC80" i="19"/>
  <c r="AC81" i="19"/>
  <c r="AC82" i="19"/>
  <c r="AC83" i="19"/>
  <c r="AC84" i="19"/>
  <c r="AC85" i="19"/>
  <c r="AC86" i="19"/>
  <c r="AC87" i="19"/>
  <c r="AC88" i="19"/>
  <c r="AC89" i="19"/>
  <c r="AC90" i="19"/>
  <c r="AC91" i="19"/>
  <c r="AC92" i="19"/>
  <c r="AC93" i="19"/>
  <c r="AC94" i="19"/>
  <c r="AC95" i="19"/>
  <c r="AC96" i="19"/>
  <c r="AC97" i="19"/>
  <c r="AC98" i="19"/>
  <c r="AC99" i="19"/>
  <c r="AC100" i="19"/>
  <c r="AC101" i="19"/>
  <c r="AC102" i="19"/>
  <c r="AC103" i="19"/>
  <c r="AC104" i="19"/>
  <c r="AC105" i="19"/>
  <c r="AC106" i="19"/>
  <c r="AC107" i="19"/>
  <c r="AC108" i="19"/>
  <c r="AC109" i="19"/>
  <c r="AC110" i="19"/>
  <c r="AC111" i="19"/>
  <c r="AC112" i="19"/>
  <c r="AC113" i="19"/>
  <c r="AC114" i="19"/>
  <c r="AC115" i="19"/>
  <c r="AC116" i="19"/>
  <c r="AC117" i="19"/>
  <c r="AC118" i="19"/>
  <c r="AC119" i="19"/>
  <c r="AC120" i="19"/>
  <c r="AC121" i="19"/>
  <c r="AC122" i="19"/>
  <c r="AC123" i="19"/>
  <c r="AC124" i="19"/>
  <c r="AC125" i="19"/>
  <c r="AC126" i="19"/>
  <c r="AC127" i="19"/>
  <c r="AC128" i="19"/>
  <c r="AC129" i="19"/>
  <c r="AC130" i="19"/>
  <c r="AC131" i="19"/>
  <c r="AC132" i="19"/>
  <c r="AC133" i="19"/>
  <c r="AC134" i="19"/>
  <c r="AC135" i="19"/>
  <c r="AC136" i="19"/>
  <c r="AC137" i="19"/>
  <c r="AC138" i="19"/>
  <c r="AC139" i="19"/>
  <c r="AC140" i="19"/>
  <c r="AC141" i="19"/>
  <c r="AC142" i="19"/>
  <c r="AC143" i="19"/>
  <c r="AC144" i="19"/>
  <c r="AC145" i="19"/>
  <c r="AC146" i="19"/>
  <c r="AC147" i="19"/>
  <c r="AC148" i="19"/>
  <c r="AC149" i="19"/>
  <c r="AC150" i="19"/>
  <c r="AC151" i="19"/>
  <c r="AC152" i="19"/>
  <c r="AC153" i="19"/>
  <c r="AC154" i="19"/>
  <c r="AC155" i="19"/>
  <c r="AC156" i="19"/>
  <c r="AC157" i="19"/>
  <c r="AC158" i="19"/>
  <c r="AC159" i="19"/>
  <c r="AC160" i="19"/>
  <c r="AC161" i="19"/>
  <c r="AC162" i="19"/>
  <c r="AC163" i="19"/>
  <c r="AC164" i="19"/>
  <c r="AC165" i="19"/>
  <c r="AC166" i="19"/>
  <c r="AC167" i="19"/>
  <c r="AC168" i="19"/>
  <c r="AC169" i="19"/>
  <c r="AC170" i="19"/>
  <c r="AC171" i="19"/>
  <c r="AC172" i="19"/>
  <c r="AC173" i="19"/>
  <c r="AC174" i="19"/>
  <c r="AC175" i="19"/>
  <c r="AC176" i="19"/>
  <c r="AC177" i="19"/>
  <c r="AC178" i="19"/>
  <c r="AC179" i="19"/>
  <c r="AC180" i="19"/>
  <c r="AC181" i="19"/>
  <c r="AC182" i="19"/>
  <c r="AC183" i="19"/>
  <c r="AC184" i="19"/>
  <c r="AC185" i="19"/>
  <c r="AC186" i="19"/>
  <c r="AC187" i="19"/>
  <c r="AC188" i="19"/>
  <c r="AC189" i="19"/>
  <c r="AC190" i="19"/>
  <c r="AC191" i="19"/>
  <c r="AC192" i="19"/>
  <c r="AC193" i="19"/>
  <c r="AC194" i="19"/>
  <c r="AC195" i="19"/>
  <c r="AC196" i="19"/>
  <c r="AC197" i="19"/>
  <c r="AC198" i="19"/>
  <c r="AC199" i="19"/>
  <c r="AC200" i="19"/>
  <c r="X48" i="19"/>
  <c r="X49" i="19"/>
  <c r="X50" i="19"/>
  <c r="X51" i="19"/>
  <c r="X52" i="19"/>
  <c r="X53" i="19"/>
  <c r="X54" i="19"/>
  <c r="X55" i="19"/>
  <c r="X56" i="19"/>
  <c r="X57" i="19"/>
  <c r="X58" i="19"/>
  <c r="X59" i="19"/>
  <c r="X60" i="19"/>
  <c r="X61" i="19"/>
  <c r="X62" i="19"/>
  <c r="X63" i="19"/>
  <c r="X64" i="19"/>
  <c r="X65" i="19"/>
  <c r="X66" i="19"/>
  <c r="X67" i="19"/>
  <c r="X68" i="19"/>
  <c r="X69" i="19"/>
  <c r="X70" i="19"/>
  <c r="X71" i="19"/>
  <c r="X72" i="19"/>
  <c r="X73" i="19"/>
  <c r="X74" i="19"/>
  <c r="X75" i="19"/>
  <c r="X76" i="19"/>
  <c r="X77" i="19"/>
  <c r="X78" i="19"/>
  <c r="X79" i="19"/>
  <c r="X80" i="19"/>
  <c r="X81" i="19"/>
  <c r="X82" i="19"/>
  <c r="X83" i="19"/>
  <c r="X84" i="19"/>
  <c r="X85" i="19"/>
  <c r="X86" i="19"/>
  <c r="X87" i="19"/>
  <c r="X88" i="19"/>
  <c r="X89" i="19"/>
  <c r="X90" i="19"/>
  <c r="X91" i="19"/>
  <c r="X92" i="19"/>
  <c r="X93" i="19"/>
  <c r="X94" i="19"/>
  <c r="X95" i="19"/>
  <c r="X96" i="19"/>
  <c r="X97" i="19"/>
  <c r="X98" i="19"/>
  <c r="X99" i="19"/>
  <c r="X100" i="19"/>
  <c r="X101" i="19"/>
  <c r="X102" i="19"/>
  <c r="X103" i="19"/>
  <c r="X104" i="19"/>
  <c r="X105" i="19"/>
  <c r="X106" i="19"/>
  <c r="X107" i="19"/>
  <c r="X108" i="19"/>
  <c r="X109" i="19"/>
  <c r="X110" i="19"/>
  <c r="X111" i="19"/>
  <c r="X112" i="19"/>
  <c r="X113" i="19"/>
  <c r="X114" i="19"/>
  <c r="X115" i="19"/>
  <c r="X116" i="19"/>
  <c r="X117" i="19"/>
  <c r="X118" i="19"/>
  <c r="X119" i="19"/>
  <c r="X120" i="19"/>
  <c r="X121" i="19"/>
  <c r="X122" i="19"/>
  <c r="X123" i="19"/>
  <c r="X124" i="19"/>
  <c r="X125" i="19"/>
  <c r="X126" i="19"/>
  <c r="X127" i="19"/>
  <c r="X128" i="19"/>
  <c r="X129" i="19"/>
  <c r="X130" i="19"/>
  <c r="X131" i="19"/>
  <c r="X132" i="19"/>
  <c r="X133" i="19"/>
  <c r="X134" i="19"/>
  <c r="X135" i="19"/>
  <c r="X136" i="19"/>
  <c r="X137" i="19"/>
  <c r="X138" i="19"/>
  <c r="X139" i="19"/>
  <c r="X140" i="19"/>
  <c r="X141" i="19"/>
  <c r="X142" i="19"/>
  <c r="X143" i="19"/>
  <c r="X144" i="19"/>
  <c r="X145" i="19"/>
  <c r="X146" i="19"/>
  <c r="X147" i="19"/>
  <c r="X148" i="19"/>
  <c r="X149" i="19"/>
  <c r="X150" i="19"/>
  <c r="X151" i="19"/>
  <c r="X152" i="19"/>
  <c r="X153" i="19"/>
  <c r="X154" i="19"/>
  <c r="X155" i="19"/>
  <c r="X156" i="19"/>
  <c r="X157" i="19"/>
  <c r="X158" i="19"/>
  <c r="X159" i="19"/>
  <c r="X160" i="19"/>
  <c r="X161" i="19"/>
  <c r="X162" i="19"/>
  <c r="X163" i="19"/>
  <c r="X164" i="19"/>
  <c r="X165" i="19"/>
  <c r="X166" i="19"/>
  <c r="X167" i="19"/>
  <c r="X168" i="19"/>
  <c r="X169" i="19"/>
  <c r="X170" i="19"/>
  <c r="X171" i="19"/>
  <c r="X172" i="19"/>
  <c r="X173" i="19"/>
  <c r="X174" i="19"/>
  <c r="X175" i="19"/>
  <c r="X176" i="19"/>
  <c r="X177" i="19"/>
  <c r="X178" i="19"/>
  <c r="X179" i="19"/>
  <c r="X180" i="19"/>
  <c r="X181" i="19"/>
  <c r="X182" i="19"/>
  <c r="X183" i="19"/>
  <c r="X184" i="19"/>
  <c r="X185" i="19"/>
  <c r="X186" i="19"/>
  <c r="X187" i="19"/>
  <c r="X188" i="19"/>
  <c r="X189" i="19"/>
  <c r="X190" i="19"/>
  <c r="X191" i="19"/>
  <c r="X192" i="19"/>
  <c r="X193" i="19"/>
  <c r="X194" i="19"/>
  <c r="X195" i="19"/>
  <c r="X196" i="19"/>
  <c r="X197" i="19"/>
  <c r="X198" i="19"/>
  <c r="X199" i="19"/>
  <c r="X200" i="19"/>
  <c r="V48" i="19"/>
  <c r="AD48" i="19" s="1"/>
  <c r="V49" i="19"/>
  <c r="AD49" i="19" s="1"/>
  <c r="V50" i="19"/>
  <c r="AD50" i="19" s="1"/>
  <c r="V51" i="19"/>
  <c r="AD51" i="19" s="1"/>
  <c r="V52" i="19"/>
  <c r="AD52" i="19" s="1"/>
  <c r="V53" i="19"/>
  <c r="AD53" i="19" s="1"/>
  <c r="V54" i="19"/>
  <c r="AD54" i="19" s="1"/>
  <c r="V55" i="19"/>
  <c r="AD55" i="19" s="1"/>
  <c r="V56" i="19"/>
  <c r="AD56" i="19" s="1"/>
  <c r="V57" i="19"/>
  <c r="W57" i="19" s="1"/>
  <c r="V58" i="19"/>
  <c r="W58" i="19" s="1"/>
  <c r="V59" i="19"/>
  <c r="W59" i="19" s="1"/>
  <c r="V60" i="19"/>
  <c r="W60" i="19" s="1"/>
  <c r="V61" i="19"/>
  <c r="W61" i="19" s="1"/>
  <c r="V62" i="19"/>
  <c r="W62" i="19" s="1"/>
  <c r="V63" i="19"/>
  <c r="V64" i="19"/>
  <c r="V65" i="19"/>
  <c r="V66" i="19"/>
  <c r="W66" i="19" s="1"/>
  <c r="V67" i="19"/>
  <c r="W67" i="19" s="1"/>
  <c r="V68" i="19"/>
  <c r="AD68" i="19" s="1"/>
  <c r="V69" i="19"/>
  <c r="AD69" i="19" s="1"/>
  <c r="V70" i="19"/>
  <c r="AD70" i="19" s="1"/>
  <c r="V71" i="19"/>
  <c r="AD71" i="19" s="1"/>
  <c r="V72" i="19"/>
  <c r="AD72" i="19" s="1"/>
  <c r="V73" i="19"/>
  <c r="AD73" i="19" s="1"/>
  <c r="V74" i="19"/>
  <c r="AD74" i="19" s="1"/>
  <c r="V75" i="19"/>
  <c r="AD75" i="19" s="1"/>
  <c r="V76" i="19"/>
  <c r="AD76" i="19" s="1"/>
  <c r="V77" i="19"/>
  <c r="W77" i="19" s="1"/>
  <c r="V78" i="19"/>
  <c r="W78" i="19" s="1"/>
  <c r="V79" i="19"/>
  <c r="W79" i="19" s="1"/>
  <c r="V80" i="19"/>
  <c r="W80" i="19" s="1"/>
  <c r="V81" i="19"/>
  <c r="W81" i="19" s="1"/>
  <c r="V82" i="19"/>
  <c r="W82" i="19" s="1"/>
  <c r="V83" i="19"/>
  <c r="AD83" i="19" s="1"/>
  <c r="V84" i="19"/>
  <c r="AD84" i="19" s="1"/>
  <c r="V85" i="19"/>
  <c r="V86" i="19"/>
  <c r="AD86" i="19" s="1"/>
  <c r="V87" i="19"/>
  <c r="V88" i="19"/>
  <c r="W88" i="19" s="1"/>
  <c r="V89" i="19"/>
  <c r="AD89" i="19" s="1"/>
  <c r="V90" i="19"/>
  <c r="AD90" i="19" s="1"/>
  <c r="V91" i="19"/>
  <c r="AD91" i="19" s="1"/>
  <c r="V92" i="19"/>
  <c r="AD92" i="19" s="1"/>
  <c r="V93" i="19"/>
  <c r="AD93" i="19" s="1"/>
  <c r="V94" i="19"/>
  <c r="AD94" i="19" s="1"/>
  <c r="V95" i="19"/>
  <c r="AD95" i="19" s="1"/>
  <c r="V96" i="19"/>
  <c r="AD96" i="19" s="1"/>
  <c r="V97" i="19"/>
  <c r="W97" i="19" s="1"/>
  <c r="V98" i="19"/>
  <c r="V99" i="19"/>
  <c r="W99" i="19" s="1"/>
  <c r="V100" i="19"/>
  <c r="W100" i="19" s="1"/>
  <c r="V101" i="19"/>
  <c r="W101" i="19" s="1"/>
  <c r="V102" i="19"/>
  <c r="W102" i="19" s="1"/>
  <c r="V103" i="19"/>
  <c r="V104" i="19"/>
  <c r="V105" i="19"/>
  <c r="V106" i="19"/>
  <c r="W106" i="19" s="1"/>
  <c r="V107" i="19"/>
  <c r="V108" i="19"/>
  <c r="AD108" i="19" s="1"/>
  <c r="V109" i="19"/>
  <c r="AD109" i="19" s="1"/>
  <c r="V110" i="19"/>
  <c r="AD110" i="19" s="1"/>
  <c r="V111" i="19"/>
  <c r="AD111" i="19" s="1"/>
  <c r="V112" i="19"/>
  <c r="AD112" i="19" s="1"/>
  <c r="V113" i="19"/>
  <c r="AD113" i="19" s="1"/>
  <c r="V114" i="19"/>
  <c r="AD114" i="19" s="1"/>
  <c r="V115" i="19"/>
  <c r="AD115" i="19" s="1"/>
  <c r="V116" i="19"/>
  <c r="AD116" i="19" s="1"/>
  <c r="V117" i="19"/>
  <c r="W117" i="19" s="1"/>
  <c r="V118" i="19"/>
  <c r="W118" i="19" s="1"/>
  <c r="V119" i="19"/>
  <c r="W119" i="19" s="1"/>
  <c r="V120" i="19"/>
  <c r="W120" i="19" s="1"/>
  <c r="V121" i="19"/>
  <c r="W121" i="19" s="1"/>
  <c r="V122" i="19"/>
  <c r="W122" i="19" s="1"/>
  <c r="V123" i="19"/>
  <c r="V124" i="19"/>
  <c r="W124" i="19" s="1"/>
  <c r="V125" i="19"/>
  <c r="V126" i="19"/>
  <c r="V127" i="19"/>
  <c r="V128" i="19"/>
  <c r="V129" i="19"/>
  <c r="AD129" i="19" s="1"/>
  <c r="V130" i="19"/>
  <c r="AD130" i="19" s="1"/>
  <c r="V131" i="19"/>
  <c r="AD131" i="19" s="1"/>
  <c r="V132" i="19"/>
  <c r="AD132" i="19" s="1"/>
  <c r="V133" i="19"/>
  <c r="AD133" i="19" s="1"/>
  <c r="V134" i="19"/>
  <c r="AD134" i="19" s="1"/>
  <c r="V135" i="19"/>
  <c r="AD135" i="19" s="1"/>
  <c r="V136" i="19"/>
  <c r="AD136" i="19" s="1"/>
  <c r="V137" i="19"/>
  <c r="V138" i="19"/>
  <c r="W138" i="19" s="1"/>
  <c r="V139" i="19"/>
  <c r="W139" i="19" s="1"/>
  <c r="V140" i="19"/>
  <c r="W140" i="19" s="1"/>
  <c r="V141" i="19"/>
  <c r="W141" i="19" s="1"/>
  <c r="V142" i="19"/>
  <c r="W142" i="19" s="1"/>
  <c r="V143" i="19"/>
  <c r="AD143" i="19" s="1"/>
  <c r="V144" i="19"/>
  <c r="W144" i="19" s="1"/>
  <c r="V145" i="19"/>
  <c r="AD145" i="19" s="1"/>
  <c r="V146" i="19"/>
  <c r="W146" i="19" s="1"/>
  <c r="V147" i="19"/>
  <c r="V148" i="19"/>
  <c r="V149" i="19"/>
  <c r="AD149" i="19" s="1"/>
  <c r="V150" i="19"/>
  <c r="AD150" i="19" s="1"/>
  <c r="V151" i="19"/>
  <c r="AD151" i="19" s="1"/>
  <c r="V152" i="19"/>
  <c r="AD152" i="19" s="1"/>
  <c r="V153" i="19"/>
  <c r="AD153" i="19" s="1"/>
  <c r="V154" i="19"/>
  <c r="AD154" i="19" s="1"/>
  <c r="V155" i="19"/>
  <c r="AD155" i="19" s="1"/>
  <c r="V156" i="19"/>
  <c r="AD156" i="19" s="1"/>
  <c r="V157" i="19"/>
  <c r="AD157" i="19" s="1"/>
  <c r="V158" i="19"/>
  <c r="AD158" i="19" s="1"/>
  <c r="V159" i="19"/>
  <c r="W159" i="19" s="1"/>
  <c r="V160" i="19"/>
  <c r="W160" i="19" s="1"/>
  <c r="V161" i="19"/>
  <c r="W161" i="19" s="1"/>
  <c r="V162" i="19"/>
  <c r="W162" i="19" s="1"/>
  <c r="V163" i="19"/>
  <c r="V164" i="19"/>
  <c r="W164" i="19" s="1"/>
  <c r="V165" i="19"/>
  <c r="V166" i="19"/>
  <c r="W166" i="19" s="1"/>
  <c r="V167" i="19"/>
  <c r="V168" i="19"/>
  <c r="V169" i="19"/>
  <c r="AD169" i="19" s="1"/>
  <c r="V170" i="19"/>
  <c r="AD170" i="19" s="1"/>
  <c r="V171" i="19"/>
  <c r="AD171" i="19" s="1"/>
  <c r="V172" i="19"/>
  <c r="AD172" i="19" s="1"/>
  <c r="V173" i="19"/>
  <c r="AD173" i="19" s="1"/>
  <c r="V174" i="19"/>
  <c r="AD174" i="19" s="1"/>
  <c r="V175" i="19"/>
  <c r="AD175" i="19" s="1"/>
  <c r="V176" i="19"/>
  <c r="AD176" i="19" s="1"/>
  <c r="V177" i="19"/>
  <c r="W177" i="19" s="1"/>
  <c r="V178" i="19"/>
  <c r="W178" i="19" s="1"/>
  <c r="V179" i="19"/>
  <c r="W179" i="19" s="1"/>
  <c r="V180" i="19"/>
  <c r="W180" i="19" s="1"/>
  <c r="V181" i="19"/>
  <c r="W181" i="19" s="1"/>
  <c r="V182" i="19"/>
  <c r="W182" i="19" s="1"/>
  <c r="V183" i="19"/>
  <c r="AD183" i="19" s="1"/>
  <c r="V184" i="19"/>
  <c r="W184" i="19" s="1"/>
  <c r="V185" i="19"/>
  <c r="V186" i="19"/>
  <c r="W186" i="19" s="1"/>
  <c r="V187" i="19"/>
  <c r="V188" i="19"/>
  <c r="V189" i="19"/>
  <c r="AD189" i="19" s="1"/>
  <c r="V190" i="19"/>
  <c r="AD190" i="19" s="1"/>
  <c r="V191" i="19"/>
  <c r="AD191" i="19" s="1"/>
  <c r="V192" i="19"/>
  <c r="AD192" i="19" s="1"/>
  <c r="V193" i="19"/>
  <c r="AD193" i="19" s="1"/>
  <c r="V194" i="19"/>
  <c r="AD194" i="19" s="1"/>
  <c r="V195" i="19"/>
  <c r="AD195" i="19" s="1"/>
  <c r="V196" i="19"/>
  <c r="AD196" i="19" s="1"/>
  <c r="V197" i="19"/>
  <c r="V198" i="19"/>
  <c r="W198" i="19" s="1"/>
  <c r="Z198" i="19" s="1"/>
  <c r="AB198" i="19" s="1"/>
  <c r="V199" i="19"/>
  <c r="W199" i="19" s="1"/>
  <c r="V200" i="19"/>
  <c r="W200" i="19" s="1"/>
  <c r="AD61" i="21"/>
  <c r="AC48" i="21"/>
  <c r="AC49" i="21"/>
  <c r="AC50" i="21"/>
  <c r="AC51" i="21"/>
  <c r="AC52" i="21"/>
  <c r="AC53" i="21"/>
  <c r="AC54" i="21"/>
  <c r="AC55" i="21"/>
  <c r="AC56" i="21"/>
  <c r="AC57" i="21"/>
  <c r="AC58" i="21"/>
  <c r="AC59" i="21"/>
  <c r="AC60" i="21"/>
  <c r="AC61" i="21"/>
  <c r="AC62" i="21"/>
  <c r="AC63" i="21"/>
  <c r="AC64" i="21"/>
  <c r="AC65" i="21"/>
  <c r="AC66" i="21"/>
  <c r="AC67" i="21"/>
  <c r="AC68" i="21"/>
  <c r="AC69" i="21"/>
  <c r="AC70" i="21"/>
  <c r="AC71" i="21"/>
  <c r="AC72" i="21"/>
  <c r="AC73" i="21"/>
  <c r="AC74" i="21"/>
  <c r="AC75" i="21"/>
  <c r="AC76" i="21"/>
  <c r="AC77" i="21"/>
  <c r="AC78" i="21"/>
  <c r="AC79" i="21"/>
  <c r="AC80" i="21"/>
  <c r="AC81" i="21"/>
  <c r="AC82" i="21"/>
  <c r="AC83" i="21"/>
  <c r="AC84" i="21"/>
  <c r="AC85" i="21"/>
  <c r="AC86" i="21"/>
  <c r="AC87" i="21"/>
  <c r="AC88" i="21"/>
  <c r="AC89" i="21"/>
  <c r="AC90" i="21"/>
  <c r="AC91" i="21"/>
  <c r="AC92" i="21"/>
  <c r="AC93" i="21"/>
  <c r="AC94" i="21"/>
  <c r="AC95" i="21"/>
  <c r="AC96" i="21"/>
  <c r="AC97" i="21"/>
  <c r="AC98" i="21"/>
  <c r="AC99" i="21"/>
  <c r="AC100" i="21"/>
  <c r="AC101" i="21"/>
  <c r="AC102" i="21"/>
  <c r="AC103" i="21"/>
  <c r="AC104" i="21"/>
  <c r="AC105" i="21"/>
  <c r="AC106" i="21"/>
  <c r="AC107" i="21"/>
  <c r="AC108" i="21"/>
  <c r="AC109" i="21"/>
  <c r="AC110" i="21"/>
  <c r="AC111" i="21"/>
  <c r="AC112" i="21"/>
  <c r="AC113" i="21"/>
  <c r="AC114" i="21"/>
  <c r="AC115" i="21"/>
  <c r="AC116" i="21"/>
  <c r="AC117" i="21"/>
  <c r="AC118" i="21"/>
  <c r="AC119" i="21"/>
  <c r="AC120" i="21"/>
  <c r="AC121" i="21"/>
  <c r="AC122" i="21"/>
  <c r="AC123" i="21"/>
  <c r="AC124" i="21"/>
  <c r="AC125" i="21"/>
  <c r="AC126" i="21"/>
  <c r="AC127" i="21"/>
  <c r="AC128" i="21"/>
  <c r="AC129" i="21"/>
  <c r="AC130" i="21"/>
  <c r="AC131" i="21"/>
  <c r="AC132" i="21"/>
  <c r="AC133" i="21"/>
  <c r="AC134" i="21"/>
  <c r="AC135" i="21"/>
  <c r="AC136" i="21"/>
  <c r="AC137" i="21"/>
  <c r="AC138" i="21"/>
  <c r="AC139" i="21"/>
  <c r="AC140" i="21"/>
  <c r="AC141" i="21"/>
  <c r="AC142" i="21"/>
  <c r="AC143" i="21"/>
  <c r="AC144" i="21"/>
  <c r="AC145" i="21"/>
  <c r="AC146" i="21"/>
  <c r="AC147" i="21"/>
  <c r="AC148" i="21"/>
  <c r="AC149" i="21"/>
  <c r="AC150" i="21"/>
  <c r="AC151" i="21"/>
  <c r="AC152" i="21"/>
  <c r="AC153" i="21"/>
  <c r="AC154" i="21"/>
  <c r="AC155" i="21"/>
  <c r="AC156" i="21"/>
  <c r="AC157" i="21"/>
  <c r="AC158" i="21"/>
  <c r="AC159" i="21"/>
  <c r="AC160" i="21"/>
  <c r="AC161" i="21"/>
  <c r="AC162" i="21"/>
  <c r="AC163" i="21"/>
  <c r="AC164" i="21"/>
  <c r="AC165" i="21"/>
  <c r="AC166" i="21"/>
  <c r="AC167" i="21"/>
  <c r="AC168" i="21"/>
  <c r="AC169" i="21"/>
  <c r="AC170" i="21"/>
  <c r="AC171" i="21"/>
  <c r="AC172" i="21"/>
  <c r="AC173" i="21"/>
  <c r="AC174" i="21"/>
  <c r="AC175" i="21"/>
  <c r="AC176" i="21"/>
  <c r="AC177" i="21"/>
  <c r="AC178" i="21"/>
  <c r="AC179" i="21"/>
  <c r="AC180" i="21"/>
  <c r="AC181" i="21"/>
  <c r="AC182" i="21"/>
  <c r="AC183" i="21"/>
  <c r="AC184" i="21"/>
  <c r="AC185" i="21"/>
  <c r="AC186" i="21"/>
  <c r="AC187" i="21"/>
  <c r="AC188" i="21"/>
  <c r="AC189" i="21"/>
  <c r="AC190" i="21"/>
  <c r="AC191" i="21"/>
  <c r="AC192" i="21"/>
  <c r="AC193" i="21"/>
  <c r="AC194" i="21"/>
  <c r="AC195" i="21"/>
  <c r="AC196" i="21"/>
  <c r="AC197" i="21"/>
  <c r="AC198" i="21"/>
  <c r="AC199" i="21"/>
  <c r="AC200" i="21"/>
  <c r="Y162" i="21"/>
  <c r="AA162" i="21" s="1"/>
  <c r="X48" i="21"/>
  <c r="X49" i="21"/>
  <c r="X50" i="21"/>
  <c r="X51" i="21"/>
  <c r="X52" i="21"/>
  <c r="X53" i="21"/>
  <c r="X54" i="21"/>
  <c r="X55" i="21"/>
  <c r="X56" i="21"/>
  <c r="X57" i="21"/>
  <c r="X58" i="21"/>
  <c r="X59" i="21"/>
  <c r="X60" i="21"/>
  <c r="X61" i="21"/>
  <c r="X62" i="21"/>
  <c r="X63" i="21"/>
  <c r="X64" i="21"/>
  <c r="X65" i="21"/>
  <c r="X66" i="21"/>
  <c r="X67" i="21"/>
  <c r="X68" i="21"/>
  <c r="X69" i="21"/>
  <c r="X70" i="21"/>
  <c r="X71" i="21"/>
  <c r="X72" i="21"/>
  <c r="X73" i="21"/>
  <c r="X74" i="21"/>
  <c r="X75" i="21"/>
  <c r="X76" i="21"/>
  <c r="X77" i="21"/>
  <c r="X78" i="21"/>
  <c r="X79" i="21"/>
  <c r="X80" i="21"/>
  <c r="X81" i="21"/>
  <c r="X82" i="21"/>
  <c r="X83" i="21"/>
  <c r="X84" i="21"/>
  <c r="X85" i="21"/>
  <c r="X86" i="21"/>
  <c r="X87" i="21"/>
  <c r="X88" i="21"/>
  <c r="X89" i="21"/>
  <c r="X90" i="21"/>
  <c r="X91" i="21"/>
  <c r="X92" i="21"/>
  <c r="X93" i="21"/>
  <c r="X94" i="21"/>
  <c r="X95" i="21"/>
  <c r="X96" i="21"/>
  <c r="X97" i="21"/>
  <c r="X98" i="21"/>
  <c r="X99" i="21"/>
  <c r="X100" i="21"/>
  <c r="X101" i="21"/>
  <c r="X102" i="21"/>
  <c r="X103" i="21"/>
  <c r="X104" i="21"/>
  <c r="X105" i="21"/>
  <c r="X106" i="21"/>
  <c r="X107" i="21"/>
  <c r="X108" i="21"/>
  <c r="X109" i="21"/>
  <c r="X110" i="21"/>
  <c r="X111" i="21"/>
  <c r="X112" i="21"/>
  <c r="X113" i="21"/>
  <c r="X114" i="21"/>
  <c r="X115" i="21"/>
  <c r="X116" i="21"/>
  <c r="X117" i="21"/>
  <c r="X118" i="21"/>
  <c r="X119" i="21"/>
  <c r="X120" i="21"/>
  <c r="X121" i="21"/>
  <c r="X122" i="21"/>
  <c r="X123" i="21"/>
  <c r="X124" i="21"/>
  <c r="X125" i="21"/>
  <c r="X126" i="21"/>
  <c r="X127" i="21"/>
  <c r="X128" i="21"/>
  <c r="X129" i="21"/>
  <c r="X130" i="21"/>
  <c r="X131" i="21"/>
  <c r="X132" i="21"/>
  <c r="X133" i="21"/>
  <c r="X134" i="21"/>
  <c r="X135" i="21"/>
  <c r="X136" i="21"/>
  <c r="X137" i="21"/>
  <c r="X138" i="21"/>
  <c r="X139" i="21"/>
  <c r="X140" i="21"/>
  <c r="X141" i="21"/>
  <c r="X142" i="21"/>
  <c r="X143" i="21"/>
  <c r="X144" i="21"/>
  <c r="X145" i="21"/>
  <c r="X146" i="21"/>
  <c r="X147" i="21"/>
  <c r="X148" i="21"/>
  <c r="X149" i="21"/>
  <c r="X150" i="21"/>
  <c r="X151" i="21"/>
  <c r="X152" i="21"/>
  <c r="X153" i="21"/>
  <c r="X154" i="21"/>
  <c r="X155" i="21"/>
  <c r="X156" i="21"/>
  <c r="X157" i="21"/>
  <c r="X158" i="21"/>
  <c r="X159" i="21"/>
  <c r="X160" i="21"/>
  <c r="X161" i="21"/>
  <c r="X162" i="21"/>
  <c r="X163" i="21"/>
  <c r="X164" i="21"/>
  <c r="X165" i="21"/>
  <c r="X166" i="21"/>
  <c r="X167" i="21"/>
  <c r="X168" i="21"/>
  <c r="X169" i="21"/>
  <c r="X170" i="21"/>
  <c r="X171" i="21"/>
  <c r="X172" i="21"/>
  <c r="X173" i="21"/>
  <c r="X174" i="21"/>
  <c r="X175" i="21"/>
  <c r="X176" i="21"/>
  <c r="X177" i="21"/>
  <c r="X178" i="21"/>
  <c r="X179" i="21"/>
  <c r="X180" i="21"/>
  <c r="X181" i="21"/>
  <c r="X182" i="21"/>
  <c r="X183" i="21"/>
  <c r="X184" i="21"/>
  <c r="X185" i="21"/>
  <c r="X186" i="21"/>
  <c r="X187" i="21"/>
  <c r="X188" i="21"/>
  <c r="X189" i="21"/>
  <c r="X190" i="21"/>
  <c r="X191" i="21"/>
  <c r="X192" i="21"/>
  <c r="X193" i="21"/>
  <c r="X194" i="21"/>
  <c r="X195" i="21"/>
  <c r="X196" i="21"/>
  <c r="X197" i="21"/>
  <c r="X198" i="21"/>
  <c r="X199" i="21"/>
  <c r="X200" i="21"/>
  <c r="W119" i="21"/>
  <c r="W179" i="21"/>
  <c r="W199" i="21"/>
  <c r="V48" i="21"/>
  <c r="V49" i="21"/>
  <c r="V50" i="21"/>
  <c r="V51" i="21"/>
  <c r="V52" i="21"/>
  <c r="W52" i="21" s="1"/>
  <c r="V53" i="21"/>
  <c r="V54" i="21"/>
  <c r="V55" i="21"/>
  <c r="V56" i="21"/>
  <c r="AD56" i="21" s="1"/>
  <c r="V57" i="21"/>
  <c r="V58" i="21"/>
  <c r="V59" i="21"/>
  <c r="AD59" i="21" s="1"/>
  <c r="V60" i="21"/>
  <c r="W60" i="21" s="1"/>
  <c r="V61" i="21"/>
  <c r="W61" i="21" s="1"/>
  <c r="V62" i="21"/>
  <c r="AD62" i="21" s="1"/>
  <c r="V63" i="21"/>
  <c r="AD63" i="21" s="1"/>
  <c r="V64" i="21"/>
  <c r="W64" i="21" s="1"/>
  <c r="V65" i="21"/>
  <c r="W65" i="21" s="1"/>
  <c r="V66" i="21"/>
  <c r="V67" i="21"/>
  <c r="AD67" i="21" s="1"/>
  <c r="V68" i="21"/>
  <c r="AD68" i="21" s="1"/>
  <c r="V69" i="21"/>
  <c r="V70" i="21"/>
  <c r="V71" i="21"/>
  <c r="W71" i="21" s="1"/>
  <c r="V72" i="21"/>
  <c r="W72" i="21" s="1"/>
  <c r="V73" i="21"/>
  <c r="V74" i="21"/>
  <c r="V75" i="21"/>
  <c r="V76" i="21"/>
  <c r="AD76" i="21" s="1"/>
  <c r="V77" i="21"/>
  <c r="V78" i="21"/>
  <c r="V79" i="21"/>
  <c r="AD79" i="21" s="1"/>
  <c r="V80" i="21"/>
  <c r="W80" i="21" s="1"/>
  <c r="V81" i="21"/>
  <c r="AD81" i="21" s="1"/>
  <c r="V82" i="21"/>
  <c r="AD82" i="21" s="1"/>
  <c r="V83" i="21"/>
  <c r="AD83" i="21" s="1"/>
  <c r="V84" i="21"/>
  <c r="AD84" i="21" s="1"/>
  <c r="V85" i="21"/>
  <c r="AD85" i="21" s="1"/>
  <c r="V86" i="21"/>
  <c r="AD86" i="21" s="1"/>
  <c r="V87" i="21"/>
  <c r="AD87" i="21" s="1"/>
  <c r="V88" i="21"/>
  <c r="V89" i="21"/>
  <c r="W89" i="21" s="1"/>
  <c r="V90" i="21"/>
  <c r="W90" i="21" s="1"/>
  <c r="V91" i="21"/>
  <c r="AD91" i="21" s="1"/>
  <c r="V92" i="21"/>
  <c r="W92" i="21" s="1"/>
  <c r="V93" i="21"/>
  <c r="V94" i="21"/>
  <c r="V95" i="21"/>
  <c r="V96" i="21"/>
  <c r="AD96" i="21" s="1"/>
  <c r="V97" i="21"/>
  <c r="V98" i="21"/>
  <c r="V99" i="21"/>
  <c r="AD99" i="21" s="1"/>
  <c r="V100" i="21"/>
  <c r="V101" i="21"/>
  <c r="AD101" i="21" s="1"/>
  <c r="V102" i="21"/>
  <c r="AD102" i="21" s="1"/>
  <c r="V103" i="21"/>
  <c r="AD103" i="21" s="1"/>
  <c r="V104" i="21"/>
  <c r="AD104" i="21" s="1"/>
  <c r="V105" i="21"/>
  <c r="AD105" i="21" s="1"/>
  <c r="V106" i="21"/>
  <c r="AD106" i="21" s="1"/>
  <c r="V107" i="21"/>
  <c r="W107" i="21" s="1"/>
  <c r="V108" i="21"/>
  <c r="AD108" i="21" s="1"/>
  <c r="V109" i="21"/>
  <c r="AD109" i="21" s="1"/>
  <c r="V110" i="21"/>
  <c r="AD110" i="21" s="1"/>
  <c r="V111" i="21"/>
  <c r="AD111" i="21" s="1"/>
  <c r="V112" i="21"/>
  <c r="W112" i="21" s="1"/>
  <c r="V113" i="21"/>
  <c r="AD113" i="21" s="1"/>
  <c r="V114" i="21"/>
  <c r="V115" i="21"/>
  <c r="V116" i="21"/>
  <c r="AD116" i="21" s="1"/>
  <c r="V117" i="21"/>
  <c r="V118" i="21"/>
  <c r="V119" i="21"/>
  <c r="AD119" i="21" s="1"/>
  <c r="V120" i="21"/>
  <c r="W120" i="21" s="1"/>
  <c r="V121" i="21"/>
  <c r="V122" i="21"/>
  <c r="V123" i="21"/>
  <c r="V124" i="21"/>
  <c r="V125" i="21"/>
  <c r="W125" i="21" s="1"/>
  <c r="V126" i="21"/>
  <c r="AD126" i="21" s="1"/>
  <c r="V127" i="21"/>
  <c r="AD127" i="21" s="1"/>
  <c r="V128" i="21"/>
  <c r="AD128" i="21" s="1"/>
  <c r="V129" i="21"/>
  <c r="AD129" i="21" s="1"/>
  <c r="V130" i="21"/>
  <c r="AD130" i="21" s="1"/>
  <c r="V131" i="21"/>
  <c r="AD131" i="21" s="1"/>
  <c r="V132" i="21"/>
  <c r="W132" i="21" s="1"/>
  <c r="V133" i="21"/>
  <c r="AD133" i="21" s="1"/>
  <c r="V134" i="21"/>
  <c r="V135" i="21"/>
  <c r="V136" i="21"/>
  <c r="AD136" i="21" s="1"/>
  <c r="V137" i="21"/>
  <c r="V138" i="21"/>
  <c r="V139" i="21"/>
  <c r="AD139" i="21" s="1"/>
  <c r="V140" i="21"/>
  <c r="AD140" i="21" s="1"/>
  <c r="V141" i="21"/>
  <c r="W141" i="21" s="1"/>
  <c r="V142" i="21"/>
  <c r="AD142" i="21" s="1"/>
  <c r="V143" i="21"/>
  <c r="AD143" i="21" s="1"/>
  <c r="V144" i="21"/>
  <c r="AD144" i="21" s="1"/>
  <c r="V145" i="21"/>
  <c r="W145" i="21" s="1"/>
  <c r="V146" i="21"/>
  <c r="AD146" i="21" s="1"/>
  <c r="V147" i="21"/>
  <c r="AD147" i="21" s="1"/>
  <c r="V148" i="21"/>
  <c r="AD148" i="21" s="1"/>
  <c r="V149" i="21"/>
  <c r="AD149" i="21" s="1"/>
  <c r="V150" i="21"/>
  <c r="V151" i="21"/>
  <c r="AD151" i="21" s="1"/>
  <c r="V152" i="21"/>
  <c r="W152" i="21" s="1"/>
  <c r="Z152" i="21" s="1"/>
  <c r="AB152" i="21" s="1"/>
  <c r="V153" i="21"/>
  <c r="AD153" i="21" s="1"/>
  <c r="V154" i="21"/>
  <c r="V155" i="21"/>
  <c r="V156" i="21"/>
  <c r="AD156" i="21" s="1"/>
  <c r="V157" i="21"/>
  <c r="V158" i="21"/>
  <c r="V159" i="21"/>
  <c r="AD159" i="21" s="1"/>
  <c r="V160" i="21"/>
  <c r="V161" i="21"/>
  <c r="W161" i="21" s="1"/>
  <c r="V162" i="21"/>
  <c r="AD162" i="21" s="1"/>
  <c r="V163" i="21"/>
  <c r="AD163" i="21" s="1"/>
  <c r="V164" i="21"/>
  <c r="AD164" i="21" s="1"/>
  <c r="V165" i="21"/>
  <c r="AD165" i="21" s="1"/>
  <c r="V166" i="21"/>
  <c r="AD166" i="21" s="1"/>
  <c r="V167" i="21"/>
  <c r="AD167" i="21" s="1"/>
  <c r="V168" i="21"/>
  <c r="V169" i="21"/>
  <c r="AD169" i="21" s="1"/>
  <c r="V170" i="21"/>
  <c r="AD170" i="21" s="1"/>
  <c r="V171" i="21"/>
  <c r="AD171" i="21" s="1"/>
  <c r="V172" i="21"/>
  <c r="W172" i="21" s="1"/>
  <c r="V173" i="21"/>
  <c r="AD173" i="21" s="1"/>
  <c r="V174" i="21"/>
  <c r="V175" i="21"/>
  <c r="V176" i="21"/>
  <c r="AD176" i="21" s="1"/>
  <c r="V177" i="21"/>
  <c r="V178" i="21"/>
  <c r="V179" i="21"/>
  <c r="AD179" i="21" s="1"/>
  <c r="V180" i="21"/>
  <c r="V181" i="21"/>
  <c r="V182" i="21"/>
  <c r="W182" i="21" s="1"/>
  <c r="V183" i="21"/>
  <c r="W183" i="21" s="1"/>
  <c r="V184" i="21"/>
  <c r="V185" i="21"/>
  <c r="V186" i="21"/>
  <c r="AD186" i="21" s="1"/>
  <c r="V187" i="21"/>
  <c r="V188" i="21"/>
  <c r="V189" i="21"/>
  <c r="AD189" i="21" s="1"/>
  <c r="V190" i="21"/>
  <c r="AD190" i="21" s="1"/>
  <c r="V191" i="21"/>
  <c r="AD191" i="21" s="1"/>
  <c r="V192" i="21"/>
  <c r="W192" i="21" s="1"/>
  <c r="V193" i="21"/>
  <c r="AD193" i="21" s="1"/>
  <c r="V194" i="21"/>
  <c r="V195" i="21"/>
  <c r="V196" i="21"/>
  <c r="AD196" i="21" s="1"/>
  <c r="V197" i="21"/>
  <c r="V198" i="21"/>
  <c r="V199" i="21"/>
  <c r="AD199" i="21" s="1"/>
  <c r="V200" i="21"/>
  <c r="D18" i="11"/>
  <c r="D17" i="11"/>
  <c r="Z107" i="21" l="1"/>
  <c r="AB107" i="21" s="1"/>
  <c r="Y185" i="21"/>
  <c r="AA185" i="21" s="1"/>
  <c r="Z145" i="21"/>
  <c r="AB145" i="21" s="1"/>
  <c r="Z125" i="21"/>
  <c r="AB125" i="21" s="1"/>
  <c r="Z65" i="21"/>
  <c r="AB65" i="21" s="1"/>
  <c r="Y112" i="21"/>
  <c r="AA112" i="21" s="1"/>
  <c r="Y187" i="21"/>
  <c r="AA187" i="21" s="1"/>
  <c r="Y66" i="21"/>
  <c r="AA66" i="21" s="1"/>
  <c r="Y184" i="21"/>
  <c r="AA184" i="21" s="1"/>
  <c r="Y124" i="21"/>
  <c r="AA124" i="21" s="1"/>
  <c r="Z64" i="21"/>
  <c r="AB64" i="21" s="1"/>
  <c r="Y123" i="21"/>
  <c r="AA123" i="21" s="1"/>
  <c r="Z182" i="21"/>
  <c r="AB182" i="21" s="1"/>
  <c r="Z67" i="19"/>
  <c r="AB67" i="19" s="1"/>
  <c r="Y122" i="21"/>
  <c r="AA122" i="21" s="1"/>
  <c r="Y94" i="19"/>
  <c r="AA94" i="19" s="1"/>
  <c r="W68" i="19"/>
  <c r="Z68" i="19" s="1"/>
  <c r="AB68" i="19" s="1"/>
  <c r="Y188" i="19"/>
  <c r="AA188" i="19" s="1"/>
  <c r="Y168" i="19"/>
  <c r="AA168" i="19" s="1"/>
  <c r="Y148" i="19"/>
  <c r="AA148" i="19" s="1"/>
  <c r="Y128" i="19"/>
  <c r="AA128" i="19" s="1"/>
  <c r="Z88" i="19"/>
  <c r="AB88" i="19" s="1"/>
  <c r="Y144" i="19"/>
  <c r="AA144" i="19" s="1"/>
  <c r="Y187" i="19"/>
  <c r="AA187" i="19" s="1"/>
  <c r="Y167" i="19"/>
  <c r="AA167" i="19" s="1"/>
  <c r="Y147" i="19"/>
  <c r="AA147" i="19" s="1"/>
  <c r="Y127" i="19"/>
  <c r="AA127" i="19" s="1"/>
  <c r="Y107" i="19"/>
  <c r="AA107" i="19" s="1"/>
  <c r="Y87" i="19"/>
  <c r="AA87" i="19" s="1"/>
  <c r="Y67" i="19"/>
  <c r="AA67" i="19" s="1"/>
  <c r="W70" i="19"/>
  <c r="Z70" i="19" s="1"/>
  <c r="AB70" i="19" s="1"/>
  <c r="W50" i="19"/>
  <c r="Z50" i="19" s="1"/>
  <c r="AB50" i="19" s="1"/>
  <c r="Y159" i="19"/>
  <c r="AA159" i="19" s="1"/>
  <c r="Y119" i="19"/>
  <c r="AA119" i="19" s="1"/>
  <c r="W69" i="19"/>
  <c r="Z69" i="19" s="1"/>
  <c r="AB69" i="19" s="1"/>
  <c r="W191" i="19"/>
  <c r="Z191" i="19" s="1"/>
  <c r="AB191" i="19" s="1"/>
  <c r="Z186" i="19"/>
  <c r="AB186" i="19" s="1"/>
  <c r="Z166" i="19"/>
  <c r="AB166" i="19" s="1"/>
  <c r="Z106" i="19"/>
  <c r="AB106" i="19" s="1"/>
  <c r="W149" i="19"/>
  <c r="Z149" i="19" s="1"/>
  <c r="AB149" i="19" s="1"/>
  <c r="W148" i="19"/>
  <c r="Z148" i="19" s="1"/>
  <c r="AB148" i="19" s="1"/>
  <c r="W147" i="19"/>
  <c r="Z147" i="19" s="1"/>
  <c r="AB147" i="19" s="1"/>
  <c r="Y158" i="19"/>
  <c r="AA158" i="19" s="1"/>
  <c r="W127" i="19"/>
  <c r="Z127" i="19" s="1"/>
  <c r="AB127" i="19" s="1"/>
  <c r="AD182" i="19"/>
  <c r="W111" i="19"/>
  <c r="Z111" i="19" s="1"/>
  <c r="AB111" i="19" s="1"/>
  <c r="AD148" i="19"/>
  <c r="W109" i="19"/>
  <c r="Z109" i="19" s="1"/>
  <c r="AB109" i="19" s="1"/>
  <c r="AD118" i="19"/>
  <c r="Z66" i="19"/>
  <c r="AB66" i="19" s="1"/>
  <c r="W108" i="19"/>
  <c r="Z108" i="19" s="1"/>
  <c r="AB108" i="19" s="1"/>
  <c r="Y153" i="19"/>
  <c r="AA153" i="19" s="1"/>
  <c r="Z138" i="19"/>
  <c r="AB138" i="19" s="1"/>
  <c r="Z78" i="19"/>
  <c r="AB78" i="19" s="1"/>
  <c r="Z58" i="19"/>
  <c r="AB58" i="19" s="1"/>
  <c r="W150" i="19"/>
  <c r="Z150" i="19" s="1"/>
  <c r="AB150" i="19" s="1"/>
  <c r="W71" i="19"/>
  <c r="Z71" i="19" s="1"/>
  <c r="AB71" i="19" s="1"/>
  <c r="Y172" i="19"/>
  <c r="AA172" i="19" s="1"/>
  <c r="Y92" i="19"/>
  <c r="AA92" i="19" s="1"/>
  <c r="AD167" i="19"/>
  <c r="W113" i="19"/>
  <c r="Z113" i="19" s="1"/>
  <c r="AB113" i="19" s="1"/>
  <c r="AD166" i="19"/>
  <c r="W112" i="19"/>
  <c r="Z112" i="19" s="1"/>
  <c r="AB112" i="19" s="1"/>
  <c r="AD147" i="19"/>
  <c r="W110" i="19"/>
  <c r="Z110" i="19" s="1"/>
  <c r="AB110" i="19" s="1"/>
  <c r="Y157" i="19"/>
  <c r="AA157" i="19" s="1"/>
  <c r="AD119" i="19"/>
  <c r="Y93" i="19"/>
  <c r="AA93" i="19" s="1"/>
  <c r="Y76" i="19"/>
  <c r="AA76" i="19" s="1"/>
  <c r="Z124" i="19"/>
  <c r="AB124" i="19" s="1"/>
  <c r="W188" i="19"/>
  <c r="Z188" i="19" s="1"/>
  <c r="AB188" i="19" s="1"/>
  <c r="AD107" i="19"/>
  <c r="Y95" i="19"/>
  <c r="AA95" i="19" s="1"/>
  <c r="Z146" i="19"/>
  <c r="AB146" i="19" s="1"/>
  <c r="Y106" i="19"/>
  <c r="AA106" i="19" s="1"/>
  <c r="Y155" i="19"/>
  <c r="AA155" i="19" s="1"/>
  <c r="W189" i="19"/>
  <c r="Z189" i="19" s="1"/>
  <c r="AB189" i="19" s="1"/>
  <c r="Z144" i="19"/>
  <c r="AB144" i="19" s="1"/>
  <c r="W187" i="19"/>
  <c r="Z187" i="19" s="1"/>
  <c r="AB187" i="19" s="1"/>
  <c r="W87" i="19"/>
  <c r="Z87" i="19" s="1"/>
  <c r="AB87" i="19" s="1"/>
  <c r="Y152" i="19"/>
  <c r="AA152" i="19" s="1"/>
  <c r="AD106" i="19"/>
  <c r="Y146" i="19"/>
  <c r="AA146" i="19" s="1"/>
  <c r="Y66" i="19"/>
  <c r="AA66" i="19" s="1"/>
  <c r="Z164" i="19"/>
  <c r="AB164" i="19" s="1"/>
  <c r="W75" i="19"/>
  <c r="Z75" i="19" s="1"/>
  <c r="AB75" i="19" s="1"/>
  <c r="AD87" i="19"/>
  <c r="Y156" i="19"/>
  <c r="AA156" i="19" s="1"/>
  <c r="Y126" i="19"/>
  <c r="AA126" i="19" s="1"/>
  <c r="W190" i="19"/>
  <c r="Z190" i="19" s="1"/>
  <c r="AB190" i="19" s="1"/>
  <c r="W107" i="19"/>
  <c r="Z107" i="19" s="1"/>
  <c r="AB107" i="19" s="1"/>
  <c r="Z184" i="19"/>
  <c r="AB184" i="19" s="1"/>
  <c r="W175" i="19"/>
  <c r="Z175" i="19" s="1"/>
  <c r="AB175" i="19" s="1"/>
  <c r="W74" i="19"/>
  <c r="Z74" i="19" s="1"/>
  <c r="AB74" i="19" s="1"/>
  <c r="W135" i="19"/>
  <c r="Z135" i="19" s="1"/>
  <c r="AB135" i="19" s="1"/>
  <c r="Y186" i="19"/>
  <c r="AA186" i="19" s="1"/>
  <c r="Y86" i="19"/>
  <c r="AA86" i="19" s="1"/>
  <c r="AD117" i="19"/>
  <c r="W73" i="19"/>
  <c r="Z73" i="19" s="1"/>
  <c r="AB73" i="19" s="1"/>
  <c r="Y166" i="19"/>
  <c r="AA166" i="19" s="1"/>
  <c r="W151" i="19"/>
  <c r="Z151" i="19" s="1"/>
  <c r="AB151" i="19" s="1"/>
  <c r="W72" i="19"/>
  <c r="Z72" i="19" s="1"/>
  <c r="AB72" i="19" s="1"/>
  <c r="Y197" i="19"/>
  <c r="AA197" i="19" s="1"/>
  <c r="W96" i="19"/>
  <c r="Z96" i="19" s="1"/>
  <c r="AB96" i="19" s="1"/>
  <c r="W93" i="19"/>
  <c r="Z93" i="19" s="1"/>
  <c r="AB93" i="19" s="1"/>
  <c r="W192" i="19"/>
  <c r="Z192" i="19" s="1"/>
  <c r="AB192" i="19" s="1"/>
  <c r="W152" i="19"/>
  <c r="Z152" i="19" s="1"/>
  <c r="AB152" i="19" s="1"/>
  <c r="W114" i="19"/>
  <c r="Z114" i="19" s="1"/>
  <c r="AB114" i="19" s="1"/>
  <c r="W76" i="19"/>
  <c r="Z76" i="19" s="1"/>
  <c r="AB76" i="19" s="1"/>
  <c r="Y180" i="19"/>
  <c r="AA180" i="19" s="1"/>
  <c r="Y160" i="19"/>
  <c r="AA160" i="19" s="1"/>
  <c r="Y120" i="19"/>
  <c r="AA120" i="19" s="1"/>
  <c r="Y80" i="19"/>
  <c r="AA80" i="19" s="1"/>
  <c r="Y173" i="19"/>
  <c r="AA173" i="19" s="1"/>
  <c r="Y97" i="19"/>
  <c r="AA97" i="19" s="1"/>
  <c r="AD184" i="19"/>
  <c r="AD120" i="19"/>
  <c r="Y137" i="19"/>
  <c r="AA137" i="19" s="1"/>
  <c r="AD179" i="19"/>
  <c r="Y78" i="19"/>
  <c r="AA78" i="19" s="1"/>
  <c r="AD178" i="19"/>
  <c r="W176" i="19"/>
  <c r="Z176" i="19" s="1"/>
  <c r="AB176" i="19" s="1"/>
  <c r="Y154" i="19"/>
  <c r="AA154" i="19" s="1"/>
  <c r="Y77" i="19"/>
  <c r="AA77" i="19" s="1"/>
  <c r="AD168" i="19"/>
  <c r="AD88" i="19"/>
  <c r="Z118" i="19"/>
  <c r="AB118" i="19" s="1"/>
  <c r="Z57" i="19"/>
  <c r="AB57" i="19" s="1"/>
  <c r="Y81" i="19"/>
  <c r="AA81" i="19" s="1"/>
  <c r="Y72" i="19"/>
  <c r="AA72" i="19" s="1"/>
  <c r="W172" i="19"/>
  <c r="Z172" i="19" s="1"/>
  <c r="AB172" i="19" s="1"/>
  <c r="Y57" i="19"/>
  <c r="AA57" i="19" s="1"/>
  <c r="W171" i="19"/>
  <c r="Z171" i="19" s="1"/>
  <c r="AB171" i="19" s="1"/>
  <c r="W132" i="19"/>
  <c r="Z132" i="19" s="1"/>
  <c r="AB132" i="19" s="1"/>
  <c r="W92" i="19"/>
  <c r="Z92" i="19" s="1"/>
  <c r="AB92" i="19" s="1"/>
  <c r="W56" i="19"/>
  <c r="Z56" i="19" s="1"/>
  <c r="AB56" i="19" s="1"/>
  <c r="Y108" i="19"/>
  <c r="AA108" i="19" s="1"/>
  <c r="Y88" i="19"/>
  <c r="AA88" i="19" s="1"/>
  <c r="Y68" i="19"/>
  <c r="AA68" i="19" s="1"/>
  <c r="Y48" i="19"/>
  <c r="AA48" i="19" s="1"/>
  <c r="Y124" i="19"/>
  <c r="AA124" i="19" s="1"/>
  <c r="Y56" i="19"/>
  <c r="AA56" i="19" s="1"/>
  <c r="AD146" i="19"/>
  <c r="AD82" i="19"/>
  <c r="Y98" i="19"/>
  <c r="AA98" i="19" s="1"/>
  <c r="W170" i="19"/>
  <c r="Z170" i="19" s="1"/>
  <c r="AB170" i="19" s="1"/>
  <c r="W131" i="19"/>
  <c r="Z131" i="19" s="1"/>
  <c r="AB131" i="19" s="1"/>
  <c r="W91" i="19"/>
  <c r="Z91" i="19" s="1"/>
  <c r="AB91" i="19" s="1"/>
  <c r="W55" i="19"/>
  <c r="Z55" i="19" s="1"/>
  <c r="AB55" i="19" s="1"/>
  <c r="Y196" i="19"/>
  <c r="AA196" i="19" s="1"/>
  <c r="Y121" i="19"/>
  <c r="AA121" i="19" s="1"/>
  <c r="Y55" i="19"/>
  <c r="AA55" i="19" s="1"/>
  <c r="AD81" i="19"/>
  <c r="Z177" i="19"/>
  <c r="AB177" i="19" s="1"/>
  <c r="W169" i="19"/>
  <c r="Z169" i="19" s="1"/>
  <c r="AB169" i="19" s="1"/>
  <c r="W130" i="19"/>
  <c r="Z130" i="19" s="1"/>
  <c r="AB130" i="19" s="1"/>
  <c r="W90" i="19"/>
  <c r="Z90" i="19" s="1"/>
  <c r="AB90" i="19" s="1"/>
  <c r="W53" i="19"/>
  <c r="Z53" i="19" s="1"/>
  <c r="AB53" i="19" s="1"/>
  <c r="Y195" i="19"/>
  <c r="AA195" i="19" s="1"/>
  <c r="Y118" i="19"/>
  <c r="AA118" i="19" s="1"/>
  <c r="Y54" i="19"/>
  <c r="AA54" i="19" s="1"/>
  <c r="AD144" i="19"/>
  <c r="AD80" i="19"/>
  <c r="Y138" i="19"/>
  <c r="AA138" i="19" s="1"/>
  <c r="W168" i="19"/>
  <c r="Z168" i="19" s="1"/>
  <c r="AB168" i="19" s="1"/>
  <c r="W129" i="19"/>
  <c r="Z129" i="19" s="1"/>
  <c r="AB129" i="19" s="1"/>
  <c r="W89" i="19"/>
  <c r="Z89" i="19" s="1"/>
  <c r="AB89" i="19" s="1"/>
  <c r="W52" i="19"/>
  <c r="Z52" i="19" s="1"/>
  <c r="AB52" i="19" s="1"/>
  <c r="Y194" i="19"/>
  <c r="AA194" i="19" s="1"/>
  <c r="Y117" i="19"/>
  <c r="AA117" i="19" s="1"/>
  <c r="Y53" i="19"/>
  <c r="AA53" i="19" s="1"/>
  <c r="AD79" i="19"/>
  <c r="AD181" i="19"/>
  <c r="Z117" i="19"/>
  <c r="AB117" i="19" s="1"/>
  <c r="W136" i="19"/>
  <c r="Z136" i="19" s="1"/>
  <c r="AB136" i="19" s="1"/>
  <c r="W133" i="19"/>
  <c r="Z133" i="19" s="1"/>
  <c r="AB133" i="19" s="1"/>
  <c r="W197" i="19"/>
  <c r="Z197" i="19" s="1"/>
  <c r="AB197" i="19" s="1"/>
  <c r="W167" i="19"/>
  <c r="Z167" i="19" s="1"/>
  <c r="AB167" i="19" s="1"/>
  <c r="W128" i="19"/>
  <c r="Z128" i="19" s="1"/>
  <c r="AB128" i="19" s="1"/>
  <c r="W51" i="19"/>
  <c r="Z51" i="19" s="1"/>
  <c r="AB51" i="19" s="1"/>
  <c r="Y193" i="19"/>
  <c r="AA193" i="19" s="1"/>
  <c r="Y116" i="19"/>
  <c r="AA116" i="19" s="1"/>
  <c r="Y52" i="19"/>
  <c r="AA52" i="19" s="1"/>
  <c r="AD142" i="19"/>
  <c r="AD78" i="19"/>
  <c r="AD188" i="19"/>
  <c r="AD128" i="19"/>
  <c r="Y198" i="19"/>
  <c r="AA198" i="19" s="1"/>
  <c r="AD180" i="19"/>
  <c r="Z77" i="19"/>
  <c r="AB77" i="19" s="1"/>
  <c r="W98" i="19"/>
  <c r="Z98" i="19" s="1"/>
  <c r="AB98" i="19" s="1"/>
  <c r="Y73" i="19"/>
  <c r="AA73" i="19" s="1"/>
  <c r="W173" i="19"/>
  <c r="Z173" i="19" s="1"/>
  <c r="AB173" i="19" s="1"/>
  <c r="Y132" i="19"/>
  <c r="AA132" i="19" s="1"/>
  <c r="Y115" i="19"/>
  <c r="AA115" i="19" s="1"/>
  <c r="W194" i="19"/>
  <c r="Z194" i="19" s="1"/>
  <c r="AB194" i="19" s="1"/>
  <c r="W156" i="19"/>
  <c r="Z156" i="19" s="1"/>
  <c r="AB156" i="19" s="1"/>
  <c r="W126" i="19"/>
  <c r="Z126" i="19" s="1"/>
  <c r="AB126" i="19" s="1"/>
  <c r="W86" i="19"/>
  <c r="Z86" i="19" s="1"/>
  <c r="AB86" i="19" s="1"/>
  <c r="W49" i="19"/>
  <c r="Z49" i="19" s="1"/>
  <c r="AB49" i="19" s="1"/>
  <c r="Y182" i="19"/>
  <c r="AA182" i="19" s="1"/>
  <c r="Y122" i="19"/>
  <c r="AA122" i="19" s="1"/>
  <c r="Y102" i="19"/>
  <c r="AA102" i="19" s="1"/>
  <c r="Y82" i="19"/>
  <c r="AA82" i="19" s="1"/>
  <c r="Y184" i="19"/>
  <c r="AA184" i="19" s="1"/>
  <c r="Y113" i="19"/>
  <c r="AA113" i="19" s="1"/>
  <c r="AD187" i="19"/>
  <c r="AD127" i="19"/>
  <c r="AD67" i="19"/>
  <c r="Z178" i="19"/>
  <c r="AB178" i="19" s="1"/>
  <c r="Y58" i="19"/>
  <c r="AA58" i="19" s="1"/>
  <c r="Z97" i="19"/>
  <c r="AB97" i="19" s="1"/>
  <c r="W137" i="19"/>
  <c r="Z137" i="19" s="1"/>
  <c r="AB137" i="19" s="1"/>
  <c r="W174" i="19"/>
  <c r="Z174" i="19" s="1"/>
  <c r="AB174" i="19" s="1"/>
  <c r="W196" i="19"/>
  <c r="Z196" i="19" s="1"/>
  <c r="AB196" i="19" s="1"/>
  <c r="Y192" i="19"/>
  <c r="AA192" i="19" s="1"/>
  <c r="W193" i="19"/>
  <c r="Z193" i="19" s="1"/>
  <c r="AB193" i="19" s="1"/>
  <c r="W153" i="19"/>
  <c r="Z153" i="19" s="1"/>
  <c r="AB153" i="19" s="1"/>
  <c r="W116" i="19"/>
  <c r="Z116" i="19" s="1"/>
  <c r="AB116" i="19" s="1"/>
  <c r="W48" i="19"/>
  <c r="Z48" i="19" s="1"/>
  <c r="AB48" i="19" s="1"/>
  <c r="Y181" i="19"/>
  <c r="AA181" i="19" s="1"/>
  <c r="Y175" i="19"/>
  <c r="AA175" i="19" s="1"/>
  <c r="Y112" i="19"/>
  <c r="AA112" i="19" s="1"/>
  <c r="AD186" i="19"/>
  <c r="AD126" i="19"/>
  <c r="AD66" i="19"/>
  <c r="W122" i="21"/>
  <c r="Z122" i="21" s="1"/>
  <c r="AB122" i="21" s="1"/>
  <c r="Y59" i="21"/>
  <c r="AA59" i="21" s="1"/>
  <c r="Z71" i="21"/>
  <c r="AB71" i="21" s="1"/>
  <c r="W127" i="21"/>
  <c r="Z127" i="21" s="1"/>
  <c r="AB127" i="21" s="1"/>
  <c r="W123" i="21"/>
  <c r="Z123" i="21" s="1"/>
  <c r="AB123" i="21" s="1"/>
  <c r="Y199" i="21"/>
  <c r="AA199" i="21" s="1"/>
  <c r="Y99" i="21"/>
  <c r="AA99" i="21" s="1"/>
  <c r="Y150" i="21"/>
  <c r="AA150" i="21" s="1"/>
  <c r="Z90" i="21"/>
  <c r="AB90" i="21" s="1"/>
  <c r="Y70" i="21"/>
  <c r="AA70" i="21" s="1"/>
  <c r="Y50" i="21"/>
  <c r="AA50" i="21" s="1"/>
  <c r="W106" i="21"/>
  <c r="Z106" i="21" s="1"/>
  <c r="AB106" i="21" s="1"/>
  <c r="W87" i="21"/>
  <c r="Z87" i="21" s="1"/>
  <c r="AB87" i="21" s="1"/>
  <c r="Y79" i="21"/>
  <c r="AA79" i="21" s="1"/>
  <c r="Z89" i="21"/>
  <c r="AB89" i="21" s="1"/>
  <c r="Y69" i="21"/>
  <c r="AA69" i="21" s="1"/>
  <c r="Y49" i="21"/>
  <c r="AA49" i="21" s="1"/>
  <c r="W126" i="21"/>
  <c r="Z126" i="21" s="1"/>
  <c r="AB126" i="21" s="1"/>
  <c r="W86" i="21"/>
  <c r="Z86" i="21" s="1"/>
  <c r="AB86" i="21" s="1"/>
  <c r="W59" i="21"/>
  <c r="Z59" i="21" s="1"/>
  <c r="AB59" i="21" s="1"/>
  <c r="Y179" i="21"/>
  <c r="AA179" i="21" s="1"/>
  <c r="Y119" i="21"/>
  <c r="AA119" i="21" s="1"/>
  <c r="Y188" i="21"/>
  <c r="AA188" i="21" s="1"/>
  <c r="Y168" i="21"/>
  <c r="AA168" i="21" s="1"/>
  <c r="Y88" i="21"/>
  <c r="AA88" i="21" s="1"/>
  <c r="Y48" i="21"/>
  <c r="AA48" i="21" s="1"/>
  <c r="Z132" i="21"/>
  <c r="AB132" i="21" s="1"/>
  <c r="Z192" i="21"/>
  <c r="AB192" i="21" s="1"/>
  <c r="Z172" i="21"/>
  <c r="AB172" i="21" s="1"/>
  <c r="Z112" i="21"/>
  <c r="AB112" i="21" s="1"/>
  <c r="Z92" i="21"/>
  <c r="AB92" i="21" s="1"/>
  <c r="Z72" i="21"/>
  <c r="AB72" i="21" s="1"/>
  <c r="Z52" i="21"/>
  <c r="AB52" i="21" s="1"/>
  <c r="Y126" i="21"/>
  <c r="AA126" i="21" s="1"/>
  <c r="AD60" i="21"/>
  <c r="W111" i="21"/>
  <c r="Z111" i="21" s="1"/>
  <c r="AB111" i="21" s="1"/>
  <c r="Y109" i="21"/>
  <c r="AA109" i="21" s="1"/>
  <c r="Z199" i="21"/>
  <c r="AB199" i="21" s="1"/>
  <c r="Y108" i="21"/>
  <c r="AA108" i="21" s="1"/>
  <c r="AD188" i="21"/>
  <c r="Z179" i="21"/>
  <c r="AB179" i="21" s="1"/>
  <c r="W103" i="21"/>
  <c r="Y106" i="21"/>
  <c r="AA106" i="21" s="1"/>
  <c r="AD187" i="21"/>
  <c r="W83" i="21"/>
  <c r="Z83" i="21" s="1"/>
  <c r="AB83" i="21" s="1"/>
  <c r="AD184" i="21"/>
  <c r="AD183" i="21"/>
  <c r="Y121" i="21"/>
  <c r="AA121" i="21" s="1"/>
  <c r="Z61" i="21"/>
  <c r="AB61" i="21" s="1"/>
  <c r="W167" i="21"/>
  <c r="Z167" i="21" s="1"/>
  <c r="AB167" i="21" s="1"/>
  <c r="W79" i="21"/>
  <c r="Z79" i="21" s="1"/>
  <c r="AB79" i="21" s="1"/>
  <c r="AD182" i="21"/>
  <c r="Y131" i="21"/>
  <c r="AA131" i="21" s="1"/>
  <c r="Z120" i="21"/>
  <c r="AB120" i="21" s="1"/>
  <c r="Z60" i="21"/>
  <c r="AB60" i="21" s="1"/>
  <c r="W166" i="21"/>
  <c r="Z166" i="21" s="1"/>
  <c r="AB166" i="21" s="1"/>
  <c r="Y151" i="21"/>
  <c r="AA151" i="21" s="1"/>
  <c r="Y200" i="21"/>
  <c r="AA200" i="21" s="1"/>
  <c r="W163" i="21"/>
  <c r="W69" i="21"/>
  <c r="Z69" i="21" s="1"/>
  <c r="AB69" i="21" s="1"/>
  <c r="Y172" i="21"/>
  <c r="AA172" i="21" s="1"/>
  <c r="AD124" i="21"/>
  <c r="W170" i="21"/>
  <c r="Z170" i="21" s="1"/>
  <c r="AB170" i="21" s="1"/>
  <c r="Z80" i="21"/>
  <c r="AB80" i="21" s="1"/>
  <c r="W68" i="21"/>
  <c r="Z68" i="21" s="1"/>
  <c r="AB68" i="21" s="1"/>
  <c r="Y146" i="21"/>
  <c r="AA146" i="21" s="1"/>
  <c r="Y171" i="21"/>
  <c r="AA171" i="21" s="1"/>
  <c r="AD123" i="21"/>
  <c r="Y180" i="21"/>
  <c r="AA180" i="21" s="1"/>
  <c r="W159" i="21"/>
  <c r="Z159" i="21" s="1"/>
  <c r="AB159" i="21" s="1"/>
  <c r="Y170" i="21"/>
  <c r="AA170" i="21" s="1"/>
  <c r="AD122" i="21"/>
  <c r="Y110" i="21"/>
  <c r="AA110" i="21" s="1"/>
  <c r="Z141" i="21"/>
  <c r="AB141" i="21" s="1"/>
  <c r="W162" i="21"/>
  <c r="Z162" i="21" s="1"/>
  <c r="AB162" i="21" s="1"/>
  <c r="W151" i="21"/>
  <c r="Z151" i="21" s="1"/>
  <c r="AB151" i="21" s="1"/>
  <c r="W66" i="21"/>
  <c r="Z66" i="21" s="1"/>
  <c r="AB66" i="21" s="1"/>
  <c r="Y169" i="21"/>
  <c r="AA169" i="21" s="1"/>
  <c r="AD121" i="21"/>
  <c r="W171" i="21"/>
  <c r="Z171" i="21" s="1"/>
  <c r="AB171" i="21" s="1"/>
  <c r="W82" i="21"/>
  <c r="Z82" i="21" s="1"/>
  <c r="AB82" i="21" s="1"/>
  <c r="Y181" i="21"/>
  <c r="AA181" i="21" s="1"/>
  <c r="Y100" i="21"/>
  <c r="AA100" i="21" s="1"/>
  <c r="Y175" i="21"/>
  <c r="AA175" i="21" s="1"/>
  <c r="W129" i="21"/>
  <c r="Z129" i="21" s="1"/>
  <c r="AB129" i="21" s="1"/>
  <c r="W63" i="21"/>
  <c r="Z63" i="21" s="1"/>
  <c r="AB63" i="21" s="1"/>
  <c r="Y167" i="21"/>
  <c r="AA167" i="21" s="1"/>
  <c r="AD107" i="21"/>
  <c r="Y111" i="21"/>
  <c r="AA111" i="21" s="1"/>
  <c r="AD185" i="21"/>
  <c r="W169" i="21"/>
  <c r="Z169" i="21" s="1"/>
  <c r="AB169" i="21" s="1"/>
  <c r="W168" i="21"/>
  <c r="Z168" i="21" s="1"/>
  <c r="AB168" i="21" s="1"/>
  <c r="Z161" i="21"/>
  <c r="AB161" i="21" s="1"/>
  <c r="Y160" i="21"/>
  <c r="AA160" i="21" s="1"/>
  <c r="Y197" i="21"/>
  <c r="AA197" i="21" s="1"/>
  <c r="W67" i="21"/>
  <c r="Z67" i="21" s="1"/>
  <c r="AB67" i="21" s="1"/>
  <c r="W128" i="21"/>
  <c r="Z128" i="21" s="1"/>
  <c r="AB128" i="21" s="1"/>
  <c r="W62" i="21"/>
  <c r="Z62" i="21" s="1"/>
  <c r="AB62" i="21" s="1"/>
  <c r="Y166" i="21"/>
  <c r="AA166" i="21" s="1"/>
  <c r="W130" i="21"/>
  <c r="Z130" i="21" s="1"/>
  <c r="AB130" i="21" s="1"/>
  <c r="W88" i="21"/>
  <c r="Z88" i="21" s="1"/>
  <c r="AB88" i="21" s="1"/>
  <c r="Y127" i="21"/>
  <c r="AA127" i="21" s="1"/>
  <c r="Y91" i="21"/>
  <c r="AA91" i="21" s="1"/>
  <c r="Y71" i="21"/>
  <c r="AA71" i="21" s="1"/>
  <c r="Y51" i="21"/>
  <c r="AA51" i="21" s="1"/>
  <c r="Z119" i="21"/>
  <c r="AB119" i="21" s="1"/>
  <c r="W70" i="21"/>
  <c r="Z70" i="21" s="1"/>
  <c r="AB70" i="21" s="1"/>
  <c r="Y107" i="21"/>
  <c r="AA107" i="21" s="1"/>
  <c r="AD100" i="21"/>
  <c r="Y153" i="21"/>
  <c r="AA153" i="21" s="1"/>
  <c r="AD92" i="21"/>
  <c r="W110" i="21"/>
  <c r="Z110" i="21" s="1"/>
  <c r="AB110" i="21" s="1"/>
  <c r="W109" i="21"/>
  <c r="Z109" i="21" s="1"/>
  <c r="AB109" i="21" s="1"/>
  <c r="Y149" i="21"/>
  <c r="AA149" i="21" s="1"/>
  <c r="AD89" i="21"/>
  <c r="Y186" i="21"/>
  <c r="AA186" i="21" s="1"/>
  <c r="W191" i="21"/>
  <c r="Z191" i="21" s="1"/>
  <c r="AB191" i="21" s="1"/>
  <c r="W149" i="21"/>
  <c r="Z149" i="21" s="1"/>
  <c r="AB149" i="21" s="1"/>
  <c r="Y148" i="21"/>
  <c r="AA148" i="21" s="1"/>
  <c r="Y87" i="21"/>
  <c r="AA87" i="21" s="1"/>
  <c r="AD168" i="21"/>
  <c r="AD88" i="21"/>
  <c r="Y196" i="21"/>
  <c r="AA196" i="21" s="1"/>
  <c r="Y147" i="21"/>
  <c r="AA147" i="21" s="1"/>
  <c r="Y86" i="21"/>
  <c r="AA86" i="21" s="1"/>
  <c r="AD161" i="21"/>
  <c r="Y89" i="21"/>
  <c r="AA89" i="21" s="1"/>
  <c r="Y85" i="21"/>
  <c r="AA85" i="21" s="1"/>
  <c r="AD160" i="21"/>
  <c r="AD80" i="21"/>
  <c r="W188" i="21"/>
  <c r="Z188" i="21" s="1"/>
  <c r="AB188" i="21" s="1"/>
  <c r="W146" i="21"/>
  <c r="Z146" i="21" s="1"/>
  <c r="AB146" i="21" s="1"/>
  <c r="W102" i="21"/>
  <c r="Z102" i="21" s="1"/>
  <c r="AB102" i="21" s="1"/>
  <c r="W51" i="21"/>
  <c r="Z51" i="21" s="1"/>
  <c r="AB51" i="21" s="1"/>
  <c r="Y84" i="21"/>
  <c r="AA84" i="21" s="1"/>
  <c r="Y64" i="21"/>
  <c r="AA64" i="21" s="1"/>
  <c r="Y192" i="21"/>
  <c r="AA192" i="21" s="1"/>
  <c r="Y133" i="21"/>
  <c r="AA133" i="21" s="1"/>
  <c r="Y68" i="21"/>
  <c r="AA68" i="21" s="1"/>
  <c r="AD66" i="21"/>
  <c r="Y90" i="21"/>
  <c r="AA90" i="21" s="1"/>
  <c r="AD90" i="21"/>
  <c r="W187" i="21"/>
  <c r="Z187" i="21" s="1"/>
  <c r="AB187" i="21" s="1"/>
  <c r="W143" i="21"/>
  <c r="Z143" i="21" s="1"/>
  <c r="AB143" i="21" s="1"/>
  <c r="W99" i="21"/>
  <c r="Z99" i="21" s="1"/>
  <c r="AB99" i="21" s="1"/>
  <c r="W50" i="21"/>
  <c r="Z50" i="21" s="1"/>
  <c r="AB50" i="21" s="1"/>
  <c r="Y191" i="21"/>
  <c r="AA191" i="21" s="1"/>
  <c r="Y132" i="21"/>
  <c r="AA132" i="21" s="1"/>
  <c r="Y67" i="21"/>
  <c r="AA67" i="21" s="1"/>
  <c r="AD150" i="21"/>
  <c r="AD65" i="21"/>
  <c r="W150" i="21"/>
  <c r="Z150" i="21" s="1"/>
  <c r="AB150" i="21" s="1"/>
  <c r="W189" i="21"/>
  <c r="Z189" i="21" s="1"/>
  <c r="AB189" i="21" s="1"/>
  <c r="Y193" i="21"/>
  <c r="AA193" i="21" s="1"/>
  <c r="W186" i="21"/>
  <c r="Z186" i="21" s="1"/>
  <c r="AB186" i="21" s="1"/>
  <c r="W142" i="21"/>
  <c r="Z142" i="21" s="1"/>
  <c r="AB142" i="21" s="1"/>
  <c r="W91" i="21"/>
  <c r="Z91" i="21" s="1"/>
  <c r="AB91" i="21" s="1"/>
  <c r="W49" i="21"/>
  <c r="Z49" i="21" s="1"/>
  <c r="AB49" i="21" s="1"/>
  <c r="Y182" i="21"/>
  <c r="AA182" i="21" s="1"/>
  <c r="Y102" i="21"/>
  <c r="AA102" i="21" s="1"/>
  <c r="Y82" i="21"/>
  <c r="AA82" i="21" s="1"/>
  <c r="Y62" i="21"/>
  <c r="AA62" i="21" s="1"/>
  <c r="Y190" i="21"/>
  <c r="AA190" i="21" s="1"/>
  <c r="Y130" i="21"/>
  <c r="AA130" i="21" s="1"/>
  <c r="AD64" i="21"/>
  <c r="W148" i="21"/>
  <c r="Z148" i="21" s="1"/>
  <c r="AB148" i="21" s="1"/>
  <c r="W139" i="21"/>
  <c r="Z139" i="21" s="1"/>
  <c r="AB139" i="21" s="1"/>
  <c r="W48" i="21"/>
  <c r="Z48" i="21" s="1"/>
  <c r="AB48" i="21" s="1"/>
  <c r="Y161" i="21"/>
  <c r="AA161" i="21" s="1"/>
  <c r="Y141" i="21"/>
  <c r="AA141" i="21" s="1"/>
  <c r="Y81" i="21"/>
  <c r="AA81" i="21" s="1"/>
  <c r="Y129" i="21"/>
  <c r="AA129" i="21" s="1"/>
  <c r="Y65" i="21"/>
  <c r="AA65" i="21" s="1"/>
  <c r="W108" i="21"/>
  <c r="Z108" i="21" s="1"/>
  <c r="AB108" i="21" s="1"/>
  <c r="W190" i="21"/>
  <c r="Z190" i="21" s="1"/>
  <c r="AB190" i="21" s="1"/>
  <c r="W147" i="21"/>
  <c r="Z147" i="21" s="1"/>
  <c r="AB147" i="21" s="1"/>
  <c r="W131" i="21"/>
  <c r="Z131" i="21" s="1"/>
  <c r="AB131" i="21" s="1"/>
  <c r="Y140" i="21"/>
  <c r="AA140" i="21" s="1"/>
  <c r="Y120" i="21"/>
  <c r="AA120" i="21" s="1"/>
  <c r="Y176" i="21"/>
  <c r="AA176" i="21" s="1"/>
  <c r="Y128" i="21"/>
  <c r="AA128" i="21" s="1"/>
  <c r="AD141" i="21"/>
  <c r="Y183" i="21"/>
  <c r="AA183" i="21" s="1"/>
  <c r="Z183" i="21"/>
  <c r="AB183" i="21" s="1"/>
  <c r="Y103" i="21"/>
  <c r="AA103" i="21" s="1"/>
  <c r="Z103" i="21"/>
  <c r="AB103" i="21" s="1"/>
  <c r="Y63" i="21"/>
  <c r="AA63" i="21" s="1"/>
  <c r="AD178" i="21"/>
  <c r="W178" i="21"/>
  <c r="Z178" i="21" s="1"/>
  <c r="AB178" i="21" s="1"/>
  <c r="Y178" i="21"/>
  <c r="AA178" i="21" s="1"/>
  <c r="AD138" i="21"/>
  <c r="Y138" i="21"/>
  <c r="AA138" i="21" s="1"/>
  <c r="W138" i="21"/>
  <c r="Z138" i="21" s="1"/>
  <c r="AB138" i="21" s="1"/>
  <c r="AD118" i="21"/>
  <c r="W118" i="21"/>
  <c r="Z118" i="21" s="1"/>
  <c r="AB118" i="21" s="1"/>
  <c r="Y118" i="21"/>
  <c r="AA118" i="21" s="1"/>
  <c r="AD78" i="21"/>
  <c r="W78" i="21"/>
  <c r="Z78" i="21" s="1"/>
  <c r="AB78" i="21" s="1"/>
  <c r="Y78" i="21"/>
  <c r="AA78" i="21" s="1"/>
  <c r="AD58" i="21"/>
  <c r="W58" i="21"/>
  <c r="Z58" i="21" s="1"/>
  <c r="AB58" i="21" s="1"/>
  <c r="Y58" i="21"/>
  <c r="AA58" i="21" s="1"/>
  <c r="AD177" i="21"/>
  <c r="Y177" i="21"/>
  <c r="AA177" i="21" s="1"/>
  <c r="W177" i="21"/>
  <c r="Z177" i="21" s="1"/>
  <c r="AB177" i="21" s="1"/>
  <c r="AD137" i="21"/>
  <c r="W137" i="21"/>
  <c r="Z137" i="21" s="1"/>
  <c r="AB137" i="21" s="1"/>
  <c r="Y137" i="21"/>
  <c r="AA137" i="21" s="1"/>
  <c r="AD117" i="21"/>
  <c r="Y117" i="21"/>
  <c r="AA117" i="21" s="1"/>
  <c r="W117" i="21"/>
  <c r="Z117" i="21" s="1"/>
  <c r="AB117" i="21" s="1"/>
  <c r="AD97" i="21"/>
  <c r="W97" i="21"/>
  <c r="Z97" i="21" s="1"/>
  <c r="AB97" i="21" s="1"/>
  <c r="Y97" i="21"/>
  <c r="AA97" i="21" s="1"/>
  <c r="AD57" i="21"/>
  <c r="W57" i="21"/>
  <c r="Z57" i="21" s="1"/>
  <c r="AB57" i="21" s="1"/>
  <c r="Y57" i="21"/>
  <c r="AA57" i="21" s="1"/>
  <c r="AD195" i="21"/>
  <c r="W195" i="21"/>
  <c r="Z195" i="21" s="1"/>
  <c r="AB195" i="21" s="1"/>
  <c r="Y195" i="21"/>
  <c r="AA195" i="21" s="1"/>
  <c r="AD175" i="21"/>
  <c r="W175" i="21"/>
  <c r="Z175" i="21" s="1"/>
  <c r="AB175" i="21" s="1"/>
  <c r="AD155" i="21"/>
  <c r="W155" i="21"/>
  <c r="Z155" i="21" s="1"/>
  <c r="AB155" i="21" s="1"/>
  <c r="AD135" i="21"/>
  <c r="Y135" i="21"/>
  <c r="AA135" i="21" s="1"/>
  <c r="W135" i="21"/>
  <c r="Z135" i="21" s="1"/>
  <c r="AB135" i="21" s="1"/>
  <c r="AD115" i="21"/>
  <c r="Y115" i="21"/>
  <c r="AA115" i="21" s="1"/>
  <c r="W115" i="21"/>
  <c r="Z115" i="21" s="1"/>
  <c r="AB115" i="21" s="1"/>
  <c r="AD95" i="21"/>
  <c r="Y95" i="21"/>
  <c r="AA95" i="21" s="1"/>
  <c r="W95" i="21"/>
  <c r="Z95" i="21" s="1"/>
  <c r="AB95" i="21" s="1"/>
  <c r="AD75" i="21"/>
  <c r="W75" i="21"/>
  <c r="Z75" i="21" s="1"/>
  <c r="AB75" i="21" s="1"/>
  <c r="Y75" i="21"/>
  <c r="AA75" i="21" s="1"/>
  <c r="AD55" i="21"/>
  <c r="W55" i="21"/>
  <c r="Z55" i="21" s="1"/>
  <c r="AB55" i="21" s="1"/>
  <c r="Y55" i="21"/>
  <c r="AA55" i="21" s="1"/>
  <c r="Y83" i="21"/>
  <c r="AA83" i="21" s="1"/>
  <c r="AD198" i="21"/>
  <c r="Y198" i="21"/>
  <c r="AA198" i="21" s="1"/>
  <c r="W198" i="21"/>
  <c r="Z198" i="21" s="1"/>
  <c r="AB198" i="21" s="1"/>
  <c r="AD158" i="21"/>
  <c r="Y158" i="21"/>
  <c r="AA158" i="21" s="1"/>
  <c r="W158" i="21"/>
  <c r="Z158" i="21" s="1"/>
  <c r="AB158" i="21" s="1"/>
  <c r="AD98" i="21"/>
  <c r="Y98" i="21"/>
  <c r="AA98" i="21" s="1"/>
  <c r="W98" i="21"/>
  <c r="Z98" i="21" s="1"/>
  <c r="AB98" i="21" s="1"/>
  <c r="AD197" i="21"/>
  <c r="W197" i="21"/>
  <c r="Z197" i="21" s="1"/>
  <c r="AB197" i="21" s="1"/>
  <c r="AD157" i="21"/>
  <c r="Y157" i="21"/>
  <c r="AA157" i="21" s="1"/>
  <c r="W157" i="21"/>
  <c r="Z157" i="21" s="1"/>
  <c r="AB157" i="21" s="1"/>
  <c r="AD77" i="21"/>
  <c r="Y77" i="21"/>
  <c r="AA77" i="21" s="1"/>
  <c r="W77" i="21"/>
  <c r="Z77" i="21" s="1"/>
  <c r="AB77" i="21" s="1"/>
  <c r="Z163" i="21"/>
  <c r="AB163" i="21" s="1"/>
  <c r="Y155" i="21"/>
  <c r="AA155" i="21" s="1"/>
  <c r="Y173" i="21"/>
  <c r="AA173" i="21" s="1"/>
  <c r="Y152" i="21"/>
  <c r="AA152" i="21" s="1"/>
  <c r="AD152" i="21"/>
  <c r="AD125" i="21"/>
  <c r="AD194" i="21"/>
  <c r="Y194" i="21"/>
  <c r="AA194" i="21" s="1"/>
  <c r="AD174" i="21"/>
  <c r="Y174" i="21"/>
  <c r="AA174" i="21" s="1"/>
  <c r="AD154" i="21"/>
  <c r="Y154" i="21"/>
  <c r="AA154" i="21" s="1"/>
  <c r="AD134" i="21"/>
  <c r="Y134" i="21"/>
  <c r="AA134" i="21" s="1"/>
  <c r="AD114" i="21"/>
  <c r="Y114" i="21"/>
  <c r="AA114" i="21" s="1"/>
  <c r="AD94" i="21"/>
  <c r="Y94" i="21"/>
  <c r="AA94" i="21" s="1"/>
  <c r="AD74" i="21"/>
  <c r="Y74" i="21"/>
  <c r="AA74" i="21" s="1"/>
  <c r="AD54" i="21"/>
  <c r="Y54" i="21"/>
  <c r="AA54" i="21" s="1"/>
  <c r="AD93" i="21"/>
  <c r="Y93" i="21"/>
  <c r="AA93" i="21" s="1"/>
  <c r="W85" i="21"/>
  <c r="Z85" i="21" s="1"/>
  <c r="AB85" i="21" s="1"/>
  <c r="W184" i="21"/>
  <c r="Z184" i="21" s="1"/>
  <c r="AB184" i="21" s="1"/>
  <c r="W164" i="21"/>
  <c r="Z164" i="21" s="1"/>
  <c r="AB164" i="21" s="1"/>
  <c r="W144" i="21"/>
  <c r="Z144" i="21" s="1"/>
  <c r="AB144" i="21" s="1"/>
  <c r="W124" i="21"/>
  <c r="Z124" i="21" s="1"/>
  <c r="AB124" i="21" s="1"/>
  <c r="W104" i="21"/>
  <c r="Z104" i="21" s="1"/>
  <c r="AB104" i="21" s="1"/>
  <c r="W84" i="21"/>
  <c r="Z84" i="21" s="1"/>
  <c r="AB84" i="21" s="1"/>
  <c r="Y189" i="21"/>
  <c r="AA189" i="21" s="1"/>
  <c r="Y105" i="21"/>
  <c r="AA105" i="21" s="1"/>
  <c r="Y61" i="21"/>
  <c r="AA61" i="21" s="1"/>
  <c r="AD181" i="21"/>
  <c r="AD120" i="21"/>
  <c r="AD52" i="21"/>
  <c r="Y185" i="19"/>
  <c r="AA185" i="19" s="1"/>
  <c r="W185" i="19"/>
  <c r="Z185" i="19" s="1"/>
  <c r="AB185" i="19" s="1"/>
  <c r="Y165" i="19"/>
  <c r="AA165" i="19" s="1"/>
  <c r="W165" i="19"/>
  <c r="Z165" i="19" s="1"/>
  <c r="AB165" i="19" s="1"/>
  <c r="Y145" i="19"/>
  <c r="AA145" i="19" s="1"/>
  <c r="W145" i="19"/>
  <c r="Z145" i="19" s="1"/>
  <c r="AB145" i="19" s="1"/>
  <c r="Y125" i="19"/>
  <c r="AA125" i="19" s="1"/>
  <c r="W125" i="19"/>
  <c r="Z125" i="19" s="1"/>
  <c r="AB125" i="19" s="1"/>
  <c r="Y105" i="19"/>
  <c r="AA105" i="19" s="1"/>
  <c r="W105" i="19"/>
  <c r="Z105" i="19" s="1"/>
  <c r="AB105" i="19" s="1"/>
  <c r="Y85" i="19"/>
  <c r="AA85" i="19" s="1"/>
  <c r="W85" i="19"/>
  <c r="Z85" i="19" s="1"/>
  <c r="AB85" i="19" s="1"/>
  <c r="Y65" i="19"/>
  <c r="AA65" i="19" s="1"/>
  <c r="W65" i="19"/>
  <c r="Z65" i="19" s="1"/>
  <c r="AB65" i="19" s="1"/>
  <c r="Y79" i="19"/>
  <c r="AA79" i="19" s="1"/>
  <c r="AD177" i="19"/>
  <c r="AD141" i="19"/>
  <c r="AD105" i="19"/>
  <c r="AD77" i="19"/>
  <c r="Y125" i="21"/>
  <c r="AA125" i="21" s="1"/>
  <c r="Y104" i="21"/>
  <c r="AA104" i="21" s="1"/>
  <c r="Y60" i="21"/>
  <c r="AA60" i="21" s="1"/>
  <c r="AD180" i="21"/>
  <c r="AD112" i="21"/>
  <c r="AD51" i="21"/>
  <c r="Y104" i="19"/>
  <c r="AA104" i="19" s="1"/>
  <c r="W104" i="19"/>
  <c r="Z104" i="19" s="1"/>
  <c r="AB104" i="19" s="1"/>
  <c r="Y84" i="19"/>
  <c r="AA84" i="19" s="1"/>
  <c r="W84" i="19"/>
  <c r="Z84" i="19" s="1"/>
  <c r="AB84" i="19" s="1"/>
  <c r="Y64" i="19"/>
  <c r="AA64" i="19" s="1"/>
  <c r="W64" i="19"/>
  <c r="Z64" i="19" s="1"/>
  <c r="AB64" i="19" s="1"/>
  <c r="W195" i="19"/>
  <c r="Z195" i="19" s="1"/>
  <c r="AB195" i="19" s="1"/>
  <c r="W134" i="19"/>
  <c r="Z134" i="19" s="1"/>
  <c r="AB134" i="19" s="1"/>
  <c r="AD140" i="19"/>
  <c r="AD104" i="19"/>
  <c r="Y145" i="21"/>
  <c r="AA145" i="21" s="1"/>
  <c r="AD172" i="21"/>
  <c r="AD145" i="21"/>
  <c r="AD50" i="21"/>
  <c r="Y183" i="19"/>
  <c r="AA183" i="19" s="1"/>
  <c r="W183" i="19"/>
  <c r="Z183" i="19" s="1"/>
  <c r="AB183" i="19" s="1"/>
  <c r="Y163" i="19"/>
  <c r="AA163" i="19" s="1"/>
  <c r="W163" i="19"/>
  <c r="Z163" i="19" s="1"/>
  <c r="AB163" i="19" s="1"/>
  <c r="Y143" i="19"/>
  <c r="AA143" i="19" s="1"/>
  <c r="W143" i="19"/>
  <c r="Z143" i="19" s="1"/>
  <c r="AB143" i="19" s="1"/>
  <c r="Y123" i="19"/>
  <c r="AA123" i="19" s="1"/>
  <c r="W123" i="19"/>
  <c r="Z123" i="19" s="1"/>
  <c r="AB123" i="19" s="1"/>
  <c r="Y103" i="19"/>
  <c r="AA103" i="19" s="1"/>
  <c r="W103" i="19"/>
  <c r="Z103" i="19" s="1"/>
  <c r="AB103" i="19" s="1"/>
  <c r="Y83" i="19"/>
  <c r="AA83" i="19" s="1"/>
  <c r="W83" i="19"/>
  <c r="Z83" i="19" s="1"/>
  <c r="AB83" i="19" s="1"/>
  <c r="Y63" i="19"/>
  <c r="AA63" i="19" s="1"/>
  <c r="W63" i="19"/>
  <c r="Z63" i="19" s="1"/>
  <c r="AB63" i="19" s="1"/>
  <c r="Y179" i="19"/>
  <c r="AA179" i="19" s="1"/>
  <c r="AD139" i="19"/>
  <c r="AD103" i="19"/>
  <c r="W185" i="21"/>
  <c r="Z185" i="21" s="1"/>
  <c r="AB185" i="21" s="1"/>
  <c r="W105" i="21"/>
  <c r="Z105" i="21" s="1"/>
  <c r="AB105" i="21" s="1"/>
  <c r="W181" i="21"/>
  <c r="Z181" i="21" s="1"/>
  <c r="AB181" i="21" s="1"/>
  <c r="W121" i="21"/>
  <c r="Z121" i="21" s="1"/>
  <c r="AB121" i="21" s="1"/>
  <c r="W101" i="21"/>
  <c r="Z101" i="21" s="1"/>
  <c r="AB101" i="21" s="1"/>
  <c r="W81" i="21"/>
  <c r="Z81" i="21" s="1"/>
  <c r="AB81" i="21" s="1"/>
  <c r="Y165" i="21"/>
  <c r="AA165" i="21" s="1"/>
  <c r="Y144" i="21"/>
  <c r="AA144" i="21" s="1"/>
  <c r="Y80" i="21"/>
  <c r="AA80" i="21" s="1"/>
  <c r="AD49" i="21"/>
  <c r="Z182" i="19"/>
  <c r="AB182" i="19" s="1"/>
  <c r="Z162" i="19"/>
  <c r="AB162" i="19" s="1"/>
  <c r="Z142" i="19"/>
  <c r="AB142" i="19" s="1"/>
  <c r="Z122" i="19"/>
  <c r="AB122" i="19" s="1"/>
  <c r="Z102" i="19"/>
  <c r="AB102" i="19" s="1"/>
  <c r="Z82" i="19"/>
  <c r="AB82" i="19" s="1"/>
  <c r="Z62" i="19"/>
  <c r="AB62" i="19" s="1"/>
  <c r="Y178" i="19"/>
  <c r="AA178" i="19" s="1"/>
  <c r="Y142" i="19"/>
  <c r="AA142" i="19" s="1"/>
  <c r="Y114" i="19"/>
  <c r="AA114" i="19" s="1"/>
  <c r="AD138" i="19"/>
  <c r="AD102" i="19"/>
  <c r="AD73" i="21"/>
  <c r="Y73" i="21"/>
  <c r="AA73" i="21" s="1"/>
  <c r="W165" i="21"/>
  <c r="Z165" i="21" s="1"/>
  <c r="AB165" i="21" s="1"/>
  <c r="W200" i="21"/>
  <c r="Z200" i="21" s="1"/>
  <c r="AB200" i="21" s="1"/>
  <c r="W180" i="21"/>
  <c r="Z180" i="21" s="1"/>
  <c r="AB180" i="21" s="1"/>
  <c r="W160" i="21"/>
  <c r="Z160" i="21" s="1"/>
  <c r="AB160" i="21" s="1"/>
  <c r="W140" i="21"/>
  <c r="Z140" i="21" s="1"/>
  <c r="AB140" i="21" s="1"/>
  <c r="W100" i="21"/>
  <c r="Z100" i="21" s="1"/>
  <c r="AB100" i="21" s="1"/>
  <c r="Y164" i="21"/>
  <c r="AA164" i="21" s="1"/>
  <c r="Y143" i="21"/>
  <c r="AA143" i="21" s="1"/>
  <c r="Y101" i="21"/>
  <c r="AA101" i="21" s="1"/>
  <c r="AD48" i="21"/>
  <c r="Z181" i="19"/>
  <c r="AB181" i="19" s="1"/>
  <c r="Z161" i="19"/>
  <c r="AB161" i="19" s="1"/>
  <c r="Z141" i="19"/>
  <c r="AB141" i="19" s="1"/>
  <c r="Z121" i="19"/>
  <c r="AB121" i="19" s="1"/>
  <c r="Z101" i="19"/>
  <c r="AB101" i="19" s="1"/>
  <c r="Z81" i="19"/>
  <c r="AB81" i="19" s="1"/>
  <c r="Z61" i="19"/>
  <c r="AB61" i="19" s="1"/>
  <c r="W158" i="19"/>
  <c r="Z158" i="19" s="1"/>
  <c r="AB158" i="19" s="1"/>
  <c r="W95" i="19"/>
  <c r="Z95" i="19" s="1"/>
  <c r="AB95" i="19" s="1"/>
  <c r="Y177" i="19"/>
  <c r="AA177" i="19" s="1"/>
  <c r="Y141" i="19"/>
  <c r="AA141" i="19" s="1"/>
  <c r="Y75" i="19"/>
  <c r="AA75" i="19" s="1"/>
  <c r="AD165" i="19"/>
  <c r="AD137" i="19"/>
  <c r="AD101" i="19"/>
  <c r="AD65" i="19"/>
  <c r="AD53" i="21"/>
  <c r="Y53" i="21"/>
  <c r="AA53" i="21" s="1"/>
  <c r="Y163" i="21"/>
  <c r="AA163" i="21" s="1"/>
  <c r="Y142" i="21"/>
  <c r="AA142" i="21" s="1"/>
  <c r="Y56" i="21"/>
  <c r="AA56" i="21" s="1"/>
  <c r="Z200" i="19"/>
  <c r="AB200" i="19" s="1"/>
  <c r="Z180" i="19"/>
  <c r="AB180" i="19" s="1"/>
  <c r="Z160" i="19"/>
  <c r="AB160" i="19" s="1"/>
  <c r="Z140" i="19"/>
  <c r="AB140" i="19" s="1"/>
  <c r="Z120" i="19"/>
  <c r="AB120" i="19" s="1"/>
  <c r="Z100" i="19"/>
  <c r="AB100" i="19" s="1"/>
  <c r="Z80" i="19"/>
  <c r="AB80" i="19" s="1"/>
  <c r="Z60" i="19"/>
  <c r="AB60" i="19" s="1"/>
  <c r="W157" i="19"/>
  <c r="Z157" i="19" s="1"/>
  <c r="AB157" i="19" s="1"/>
  <c r="W94" i="19"/>
  <c r="Z94" i="19" s="1"/>
  <c r="AB94" i="19" s="1"/>
  <c r="Y176" i="19"/>
  <c r="AA176" i="19" s="1"/>
  <c r="Y140" i="19"/>
  <c r="AA140" i="19" s="1"/>
  <c r="Y74" i="19"/>
  <c r="AA74" i="19" s="1"/>
  <c r="AD200" i="19"/>
  <c r="AD164" i="19"/>
  <c r="AD100" i="19"/>
  <c r="AD64" i="19"/>
  <c r="Z179" i="19"/>
  <c r="AB179" i="19" s="1"/>
  <c r="Z159" i="19"/>
  <c r="AB159" i="19" s="1"/>
  <c r="Z139" i="19"/>
  <c r="AB139" i="19" s="1"/>
  <c r="Z119" i="19"/>
  <c r="AB119" i="19" s="1"/>
  <c r="Z99" i="19"/>
  <c r="AB99" i="19" s="1"/>
  <c r="Z79" i="19"/>
  <c r="AB79" i="19" s="1"/>
  <c r="Z59" i="19"/>
  <c r="AB59" i="19" s="1"/>
  <c r="Y139" i="19"/>
  <c r="AA139" i="19" s="1"/>
  <c r="AD199" i="19"/>
  <c r="AD163" i="19"/>
  <c r="AD99" i="19"/>
  <c r="AD63" i="19"/>
  <c r="Y76" i="21"/>
  <c r="AA76" i="21" s="1"/>
  <c r="Y52" i="21"/>
  <c r="AA52" i="21" s="1"/>
  <c r="AD72" i="21"/>
  <c r="W155" i="19"/>
  <c r="Z155" i="19" s="1"/>
  <c r="AB155" i="19" s="1"/>
  <c r="Y174" i="19"/>
  <c r="AA174" i="19" s="1"/>
  <c r="Y101" i="19"/>
  <c r="AA101" i="19" s="1"/>
  <c r="AD198" i="19"/>
  <c r="AD162" i="19"/>
  <c r="AD98" i="19"/>
  <c r="AD62" i="19"/>
  <c r="W196" i="21"/>
  <c r="Z196" i="21" s="1"/>
  <c r="AB196" i="21" s="1"/>
  <c r="W176" i="21"/>
  <c r="Z176" i="21" s="1"/>
  <c r="AB176" i="21" s="1"/>
  <c r="W156" i="21"/>
  <c r="Z156" i="21" s="1"/>
  <c r="AB156" i="21" s="1"/>
  <c r="W136" i="21"/>
  <c r="Z136" i="21" s="1"/>
  <c r="AB136" i="21" s="1"/>
  <c r="W116" i="21"/>
  <c r="Z116" i="21" s="1"/>
  <c r="AB116" i="21" s="1"/>
  <c r="W96" i="21"/>
  <c r="Z96" i="21" s="1"/>
  <c r="AB96" i="21" s="1"/>
  <c r="W76" i="21"/>
  <c r="Z76" i="21" s="1"/>
  <c r="AB76" i="21" s="1"/>
  <c r="W56" i="21"/>
  <c r="Z56" i="21" s="1"/>
  <c r="AB56" i="21" s="1"/>
  <c r="Y139" i="21"/>
  <c r="AA139" i="21" s="1"/>
  <c r="AD200" i="21"/>
  <c r="AD132" i="21"/>
  <c r="AD71" i="21"/>
  <c r="W154" i="19"/>
  <c r="Z154" i="19" s="1"/>
  <c r="AB154" i="19" s="1"/>
  <c r="Y100" i="19"/>
  <c r="AA100" i="19" s="1"/>
  <c r="Y62" i="19"/>
  <c r="AA62" i="19" s="1"/>
  <c r="AD197" i="19"/>
  <c r="AD161" i="19"/>
  <c r="AD125" i="19"/>
  <c r="AD97" i="19"/>
  <c r="AD61" i="19"/>
  <c r="Y159" i="21"/>
  <c r="AA159" i="21" s="1"/>
  <c r="Y96" i="21"/>
  <c r="AA96" i="21" s="1"/>
  <c r="Y72" i="21"/>
  <c r="AA72" i="21" s="1"/>
  <c r="AD192" i="21"/>
  <c r="AD70" i="21"/>
  <c r="W54" i="19"/>
  <c r="Z54" i="19" s="1"/>
  <c r="AB54" i="19" s="1"/>
  <c r="Y200" i="19"/>
  <c r="AA200" i="19" s="1"/>
  <c r="Y136" i="19"/>
  <c r="AA136" i="19" s="1"/>
  <c r="Y99" i="19"/>
  <c r="AA99" i="19" s="1"/>
  <c r="Y61" i="19"/>
  <c r="AA61" i="19" s="1"/>
  <c r="AD160" i="19"/>
  <c r="AD124" i="19"/>
  <c r="AD60" i="19"/>
  <c r="W194" i="21"/>
  <c r="Z194" i="21" s="1"/>
  <c r="AB194" i="21" s="1"/>
  <c r="W174" i="21"/>
  <c r="Z174" i="21" s="1"/>
  <c r="AB174" i="21" s="1"/>
  <c r="W154" i="21"/>
  <c r="Z154" i="21" s="1"/>
  <c r="AB154" i="21" s="1"/>
  <c r="W134" i="21"/>
  <c r="Z134" i="21" s="1"/>
  <c r="AB134" i="21" s="1"/>
  <c r="W114" i="21"/>
  <c r="Z114" i="21" s="1"/>
  <c r="AB114" i="21" s="1"/>
  <c r="W94" i="21"/>
  <c r="Z94" i="21" s="1"/>
  <c r="AB94" i="21" s="1"/>
  <c r="W74" i="21"/>
  <c r="Z74" i="21" s="1"/>
  <c r="AB74" i="21" s="1"/>
  <c r="W54" i="21"/>
  <c r="Z54" i="21" s="1"/>
  <c r="AB54" i="21" s="1"/>
  <c r="Y116" i="21"/>
  <c r="AA116" i="21" s="1"/>
  <c r="AD69" i="21"/>
  <c r="Y199" i="19"/>
  <c r="AA199" i="19" s="1"/>
  <c r="Y164" i="19"/>
  <c r="AA164" i="19" s="1"/>
  <c r="Y135" i="19"/>
  <c r="AA135" i="19" s="1"/>
  <c r="Y60" i="19"/>
  <c r="AA60" i="19" s="1"/>
  <c r="AD159" i="19"/>
  <c r="AD123" i="19"/>
  <c r="AD59" i="19"/>
  <c r="W193" i="21"/>
  <c r="Z193" i="21" s="1"/>
  <c r="AB193" i="21" s="1"/>
  <c r="W173" i="21"/>
  <c r="Z173" i="21" s="1"/>
  <c r="AB173" i="21" s="1"/>
  <c r="W153" i="21"/>
  <c r="Z153" i="21" s="1"/>
  <c r="AB153" i="21" s="1"/>
  <c r="W133" i="21"/>
  <c r="Z133" i="21" s="1"/>
  <c r="AB133" i="21" s="1"/>
  <c r="W113" i="21"/>
  <c r="Z113" i="21" s="1"/>
  <c r="AB113" i="21" s="1"/>
  <c r="W93" i="21"/>
  <c r="Z93" i="21" s="1"/>
  <c r="AB93" i="21" s="1"/>
  <c r="W73" i="21"/>
  <c r="Z73" i="21" s="1"/>
  <c r="AB73" i="21" s="1"/>
  <c r="W53" i="21"/>
  <c r="Z53" i="21" s="1"/>
  <c r="AB53" i="21" s="1"/>
  <c r="Y136" i="21"/>
  <c r="AA136" i="21" s="1"/>
  <c r="Y92" i="21"/>
  <c r="AA92" i="21" s="1"/>
  <c r="Y162" i="19"/>
  <c r="AA162" i="19" s="1"/>
  <c r="Y134" i="19"/>
  <c r="AA134" i="19" s="1"/>
  <c r="Y59" i="19"/>
  <c r="AA59" i="19" s="1"/>
  <c r="AD122" i="19"/>
  <c r="AD58" i="19"/>
  <c r="Z199" i="19"/>
  <c r="AB199" i="19" s="1"/>
  <c r="Y156" i="21"/>
  <c r="AA156" i="21" s="1"/>
  <c r="Y113" i="21"/>
  <c r="AA113" i="21" s="1"/>
  <c r="W115" i="19"/>
  <c r="Z115" i="19" s="1"/>
  <c r="AB115" i="19" s="1"/>
  <c r="Y161" i="19"/>
  <c r="AA161" i="19" s="1"/>
  <c r="Y133" i="19"/>
  <c r="AA133" i="19" s="1"/>
  <c r="Y96" i="19"/>
  <c r="AA96" i="19" s="1"/>
  <c r="AD185" i="19"/>
  <c r="AD121" i="19"/>
  <c r="AD85" i="19"/>
  <c r="AD57" i="19"/>
  <c r="Y191" i="19"/>
  <c r="AA191" i="19" s="1"/>
  <c r="Y171" i="19"/>
  <c r="AA171" i="19" s="1"/>
  <c r="Y151" i="19"/>
  <c r="AA151" i="19" s="1"/>
  <c r="Y131" i="19"/>
  <c r="AA131" i="19" s="1"/>
  <c r="Y111" i="19"/>
  <c r="AA111" i="19" s="1"/>
  <c r="Y91" i="19"/>
  <c r="AA91" i="19" s="1"/>
  <c r="Y71" i="19"/>
  <c r="AA71" i="19" s="1"/>
  <c r="Y51" i="19"/>
  <c r="AA51" i="19" s="1"/>
  <c r="Y190" i="19"/>
  <c r="AA190" i="19" s="1"/>
  <c r="Y170" i="19"/>
  <c r="AA170" i="19" s="1"/>
  <c r="Y150" i="19"/>
  <c r="AA150" i="19" s="1"/>
  <c r="Y130" i="19"/>
  <c r="AA130" i="19" s="1"/>
  <c r="Y110" i="19"/>
  <c r="AA110" i="19" s="1"/>
  <c r="Y90" i="19"/>
  <c r="AA90" i="19" s="1"/>
  <c r="Y70" i="19"/>
  <c r="AA70" i="19" s="1"/>
  <c r="Y50" i="19"/>
  <c r="AA50" i="19" s="1"/>
  <c r="Y189" i="19"/>
  <c r="AA189" i="19" s="1"/>
  <c r="Y169" i="19"/>
  <c r="AA169" i="19" s="1"/>
  <c r="Y149" i="19"/>
  <c r="AA149" i="19" s="1"/>
  <c r="Y129" i="19"/>
  <c r="AA129" i="19" s="1"/>
  <c r="Y109" i="19"/>
  <c r="AA109" i="19" s="1"/>
  <c r="Y89" i="19"/>
  <c r="AA89" i="19" s="1"/>
  <c r="Y69" i="19"/>
  <c r="AA69" i="19" s="1"/>
  <c r="Y49" i="19"/>
  <c r="AA49" i="19" s="1"/>
  <c r="J11" i="30" l="1"/>
  <c r="J12" i="30"/>
  <c r="J13" i="30"/>
  <c r="J14" i="30"/>
  <c r="J15" i="30"/>
  <c r="J16" i="30"/>
  <c r="J17" i="30"/>
  <c r="J18" i="30"/>
  <c r="J19" i="30"/>
  <c r="J20" i="30"/>
  <c r="J21" i="30"/>
  <c r="J22" i="30"/>
  <c r="J23" i="30"/>
  <c r="J24" i="30"/>
  <c r="J25" i="30"/>
  <c r="J26" i="30"/>
  <c r="J27" i="30"/>
  <c r="J28" i="30"/>
  <c r="J29" i="30"/>
  <c r="J30" i="30"/>
  <c r="J31" i="30"/>
  <c r="J32" i="30"/>
  <c r="J33" i="30"/>
  <c r="J34" i="30"/>
  <c r="J35" i="30"/>
  <c r="J36" i="30"/>
  <c r="J37" i="30"/>
  <c r="J38" i="30"/>
  <c r="J39" i="30"/>
  <c r="J40" i="30"/>
  <c r="J41" i="30"/>
  <c r="J42" i="30"/>
  <c r="J43" i="30"/>
  <c r="J44" i="30"/>
  <c r="J45" i="30"/>
  <c r="J46" i="30"/>
  <c r="J47" i="30"/>
  <c r="J48" i="30"/>
  <c r="J49" i="30"/>
  <c r="J50" i="30"/>
  <c r="J51" i="30"/>
  <c r="J52" i="30"/>
  <c r="J53" i="30"/>
  <c r="J54" i="30"/>
  <c r="J55" i="30"/>
  <c r="J56" i="30"/>
  <c r="J57" i="30"/>
  <c r="J58" i="30"/>
  <c r="J59" i="30"/>
  <c r="J60" i="30"/>
  <c r="J61" i="30"/>
  <c r="J62" i="30"/>
  <c r="J63" i="30"/>
  <c r="J64" i="30"/>
  <c r="J65" i="30"/>
  <c r="J66" i="30"/>
  <c r="J67" i="30"/>
  <c r="J68" i="30"/>
  <c r="J69" i="30"/>
  <c r="J70" i="30"/>
  <c r="J71" i="30"/>
  <c r="J72" i="30"/>
  <c r="J73" i="30"/>
  <c r="J74" i="30"/>
  <c r="J75" i="30"/>
  <c r="J76" i="30"/>
  <c r="J77" i="30"/>
  <c r="J78" i="30"/>
  <c r="J79" i="30"/>
  <c r="J80" i="30"/>
  <c r="J81" i="30"/>
  <c r="J82" i="30"/>
  <c r="J83" i="30"/>
  <c r="J84" i="30"/>
  <c r="J85" i="30"/>
  <c r="J86" i="30"/>
  <c r="J87" i="30"/>
  <c r="J88" i="30"/>
  <c r="J89" i="30"/>
  <c r="J90" i="30"/>
  <c r="J91" i="30"/>
  <c r="J92" i="30"/>
  <c r="J93" i="30"/>
  <c r="J94" i="30"/>
  <c r="J95" i="30"/>
  <c r="J96" i="30"/>
  <c r="J97" i="30"/>
  <c r="J98" i="30"/>
  <c r="J99" i="30"/>
  <c r="J100" i="30"/>
  <c r="J101" i="30"/>
  <c r="J102" i="30"/>
  <c r="J103" i="30"/>
  <c r="J104" i="30"/>
  <c r="J105" i="30"/>
  <c r="J106" i="30"/>
  <c r="J107" i="30"/>
  <c r="J108" i="30"/>
  <c r="J109" i="30"/>
  <c r="J110" i="30"/>
  <c r="J111" i="30"/>
  <c r="J112" i="30"/>
  <c r="J113" i="30"/>
  <c r="J114" i="30"/>
  <c r="J115" i="30"/>
  <c r="J116" i="30"/>
  <c r="J117" i="30"/>
  <c r="J118" i="30"/>
  <c r="J119" i="30"/>
  <c r="J120" i="30"/>
  <c r="J121" i="30"/>
  <c r="J122" i="30"/>
  <c r="J123" i="30"/>
  <c r="J124" i="30"/>
  <c r="J125" i="30"/>
  <c r="J126" i="30"/>
  <c r="J127" i="30"/>
  <c r="J128" i="30"/>
  <c r="J129" i="30"/>
  <c r="J130" i="30"/>
  <c r="J131" i="30"/>
  <c r="J132" i="30"/>
  <c r="J133" i="30"/>
  <c r="J134" i="30"/>
  <c r="J135" i="30"/>
  <c r="J136" i="30"/>
  <c r="J137" i="30"/>
  <c r="J138" i="30"/>
  <c r="J139" i="30"/>
  <c r="J140" i="30"/>
  <c r="J141" i="30"/>
  <c r="J142" i="30"/>
  <c r="J143" i="30"/>
  <c r="J144" i="30"/>
  <c r="J145" i="30"/>
  <c r="J146" i="30"/>
  <c r="J147" i="30"/>
  <c r="J148" i="30"/>
  <c r="J149" i="30"/>
  <c r="J150" i="30"/>
  <c r="J151" i="30"/>
  <c r="J152" i="30"/>
  <c r="J153" i="30"/>
  <c r="J154" i="30"/>
  <c r="J155" i="30"/>
  <c r="J156" i="30"/>
  <c r="J157" i="30"/>
  <c r="J158" i="30"/>
  <c r="J159" i="30"/>
  <c r="J160" i="30"/>
  <c r="J161" i="30"/>
  <c r="J162" i="30"/>
  <c r="J163" i="30"/>
  <c r="J164" i="30"/>
  <c r="J165" i="30"/>
  <c r="J166" i="30"/>
  <c r="J167" i="30"/>
  <c r="J168" i="30"/>
  <c r="J169" i="30"/>
  <c r="J170" i="30"/>
  <c r="J171" i="30"/>
  <c r="J172" i="30"/>
  <c r="J173" i="30"/>
  <c r="J174" i="30"/>
  <c r="J175" i="30"/>
  <c r="J176" i="30"/>
  <c r="J177" i="30"/>
  <c r="J178" i="30"/>
  <c r="J179" i="30"/>
  <c r="J180" i="30"/>
  <c r="J181" i="30"/>
  <c r="J182" i="30"/>
  <c r="J183" i="30"/>
  <c r="J184" i="30"/>
  <c r="J185" i="30"/>
  <c r="J186" i="30"/>
  <c r="J187" i="30"/>
  <c r="J188" i="30"/>
  <c r="J189" i="30"/>
  <c r="J190" i="30"/>
  <c r="J191" i="30"/>
  <c r="J192" i="30"/>
  <c r="J193" i="30"/>
  <c r="J194" i="30"/>
  <c r="J195" i="30"/>
  <c r="J196" i="30"/>
  <c r="J197" i="30"/>
  <c r="J198" i="30"/>
  <c r="J199" i="30"/>
  <c r="J200" i="30"/>
  <c r="J201" i="30"/>
  <c r="J202" i="30"/>
  <c r="J203" i="30"/>
  <c r="J204" i="30"/>
  <c r="J205" i="30"/>
  <c r="J206" i="30"/>
  <c r="J207" i="30"/>
  <c r="J208" i="30"/>
  <c r="J209" i="30"/>
  <c r="J210" i="30"/>
  <c r="J211" i="30"/>
  <c r="J212" i="30"/>
  <c r="J213" i="30"/>
  <c r="J214" i="30"/>
  <c r="J215" i="30"/>
  <c r="J216" i="30"/>
  <c r="J217" i="30"/>
  <c r="J218" i="30"/>
  <c r="J219" i="30"/>
  <c r="J220" i="30"/>
  <c r="J221" i="30"/>
  <c r="J222" i="30"/>
  <c r="J223" i="30"/>
  <c r="J224" i="30"/>
  <c r="J225" i="30"/>
  <c r="J226" i="30"/>
  <c r="J227" i="30"/>
  <c r="J228" i="30"/>
  <c r="J229" i="30"/>
  <c r="J230" i="30"/>
  <c r="J231" i="30"/>
  <c r="J232" i="30"/>
  <c r="J233" i="30"/>
  <c r="J234" i="30"/>
  <c r="J235" i="30"/>
  <c r="J236" i="30"/>
  <c r="J237" i="30"/>
  <c r="J238" i="30"/>
  <c r="J239" i="30"/>
  <c r="J240" i="30"/>
  <c r="J241" i="30"/>
  <c r="J242" i="30"/>
  <c r="J243" i="30"/>
  <c r="J244" i="30"/>
  <c r="J245" i="30"/>
  <c r="J246" i="30"/>
  <c r="J247" i="30"/>
  <c r="J248" i="30"/>
  <c r="J249" i="30"/>
  <c r="J250" i="30"/>
  <c r="J251" i="30"/>
  <c r="J252" i="30"/>
  <c r="J253" i="30"/>
  <c r="J254" i="30"/>
  <c r="J255" i="30"/>
  <c r="J256" i="30"/>
  <c r="J257" i="30"/>
  <c r="J258" i="30"/>
  <c r="J259" i="30"/>
  <c r="J260" i="30"/>
  <c r="J261" i="30"/>
  <c r="J262" i="30"/>
  <c r="J263" i="30"/>
  <c r="J264" i="30"/>
  <c r="J265" i="30"/>
  <c r="J266" i="30"/>
  <c r="J267" i="30"/>
  <c r="J268" i="30"/>
  <c r="J269" i="30"/>
  <c r="J270" i="30"/>
  <c r="J271" i="30"/>
  <c r="J272" i="30"/>
  <c r="J273" i="30"/>
  <c r="J274" i="30"/>
  <c r="J275" i="30"/>
  <c r="J276" i="30"/>
  <c r="J277" i="30"/>
  <c r="J278" i="30"/>
  <c r="J279" i="30"/>
  <c r="J280" i="30"/>
  <c r="J281" i="30"/>
  <c r="J282" i="30"/>
  <c r="J283" i="30"/>
  <c r="J284" i="30"/>
  <c r="J285" i="30"/>
  <c r="J286" i="30"/>
  <c r="J287" i="30"/>
  <c r="J288" i="30"/>
  <c r="J289" i="30"/>
  <c r="J290" i="30"/>
  <c r="J291" i="30"/>
  <c r="J292" i="30"/>
  <c r="J293" i="30"/>
  <c r="J294" i="30"/>
  <c r="J295" i="30"/>
  <c r="J296" i="30"/>
  <c r="J297" i="30"/>
  <c r="J298" i="30"/>
  <c r="J299" i="30"/>
  <c r="J300" i="30"/>
  <c r="J301" i="30"/>
  <c r="J302" i="30"/>
  <c r="J303" i="30"/>
  <c r="J304" i="30"/>
  <c r="J305" i="30"/>
  <c r="J306" i="30"/>
  <c r="J307" i="30"/>
  <c r="J308" i="30"/>
  <c r="J309" i="30"/>
  <c r="J310" i="30"/>
  <c r="J311" i="30"/>
  <c r="J312" i="30"/>
  <c r="J313" i="30"/>
  <c r="J314" i="30"/>
  <c r="J315" i="30"/>
  <c r="J316" i="30"/>
  <c r="J317" i="30"/>
  <c r="J318" i="30"/>
  <c r="J319" i="30"/>
  <c r="J320" i="30"/>
  <c r="J321" i="30"/>
  <c r="J322" i="30"/>
  <c r="J323" i="30"/>
  <c r="J324" i="30"/>
  <c r="J325" i="30"/>
  <c r="J326" i="30"/>
  <c r="J327" i="30"/>
  <c r="J328" i="30"/>
  <c r="J329" i="30"/>
  <c r="J330" i="30"/>
  <c r="J331" i="30"/>
  <c r="J332" i="30"/>
  <c r="J333" i="30"/>
  <c r="J334" i="30"/>
  <c r="J335" i="30"/>
  <c r="J336" i="30"/>
  <c r="J337" i="30"/>
  <c r="J338" i="30"/>
  <c r="J339" i="30"/>
  <c r="J340" i="30"/>
  <c r="J341" i="30"/>
  <c r="J342" i="30"/>
  <c r="J343" i="30"/>
  <c r="J344" i="30"/>
  <c r="J345" i="30"/>
  <c r="J346" i="30"/>
  <c r="J347" i="30"/>
  <c r="J348" i="30"/>
  <c r="J349" i="30"/>
  <c r="J350" i="30"/>
  <c r="J351" i="30"/>
  <c r="J352" i="30"/>
  <c r="J353" i="30"/>
  <c r="J354" i="30"/>
  <c r="J355" i="30"/>
  <c r="J356" i="30"/>
  <c r="J357" i="30"/>
  <c r="J358" i="30"/>
  <c r="J359" i="30"/>
  <c r="J360" i="30"/>
  <c r="J361" i="30"/>
  <c r="J362" i="30"/>
  <c r="J363" i="30"/>
  <c r="J364" i="30"/>
  <c r="J365" i="30"/>
  <c r="J366" i="30"/>
  <c r="J367" i="30"/>
  <c r="J368" i="30"/>
  <c r="J369" i="30"/>
  <c r="J370" i="30"/>
  <c r="J371" i="30"/>
  <c r="J372" i="30"/>
  <c r="J373" i="30"/>
  <c r="J374" i="30"/>
  <c r="J375" i="30"/>
  <c r="J376" i="30"/>
  <c r="J377" i="30"/>
  <c r="J378" i="30"/>
  <c r="J379" i="30"/>
  <c r="J380" i="30"/>
  <c r="J381" i="30"/>
  <c r="J382" i="30"/>
  <c r="J383" i="30"/>
  <c r="J384" i="30"/>
  <c r="J385" i="30"/>
  <c r="J386" i="30"/>
  <c r="J387" i="30"/>
  <c r="J388" i="30"/>
  <c r="J389" i="30"/>
  <c r="J390" i="30"/>
  <c r="J391" i="30"/>
  <c r="J392" i="30"/>
  <c r="J393" i="30"/>
  <c r="J394" i="30"/>
  <c r="J395" i="30"/>
  <c r="J396" i="30"/>
  <c r="J397" i="30"/>
  <c r="J398" i="30"/>
  <c r="J399" i="30"/>
  <c r="J400" i="30"/>
  <c r="J401" i="30"/>
  <c r="J402" i="30"/>
  <c r="J403" i="30"/>
  <c r="J404" i="30"/>
  <c r="J405" i="30"/>
  <c r="J406" i="30"/>
  <c r="J407" i="30"/>
  <c r="J408" i="30"/>
  <c r="J409" i="30"/>
  <c r="J410" i="30"/>
  <c r="J411" i="30"/>
  <c r="J412" i="30"/>
  <c r="J413" i="30"/>
  <c r="J414" i="30"/>
  <c r="J415" i="30"/>
  <c r="J416" i="30"/>
  <c r="J417" i="30"/>
  <c r="J418" i="30"/>
  <c r="J419" i="30"/>
  <c r="J420" i="30"/>
  <c r="J421" i="30"/>
  <c r="J422" i="30"/>
  <c r="J423" i="30"/>
  <c r="J424" i="30"/>
  <c r="J425" i="30"/>
  <c r="J426" i="30"/>
  <c r="J427" i="30"/>
  <c r="J428" i="30"/>
  <c r="J429" i="30"/>
  <c r="J430" i="30"/>
  <c r="J431" i="30"/>
  <c r="J432" i="30"/>
  <c r="J433" i="30"/>
  <c r="J434" i="30"/>
  <c r="J435" i="30"/>
  <c r="J436" i="30"/>
  <c r="J437" i="30"/>
  <c r="J438" i="30"/>
  <c r="J439" i="30"/>
  <c r="J440" i="30"/>
  <c r="J441" i="30"/>
  <c r="J442" i="30"/>
  <c r="J443" i="30"/>
  <c r="J444" i="30"/>
  <c r="J445" i="30"/>
  <c r="J446" i="30"/>
  <c r="J447" i="30"/>
  <c r="J448" i="30"/>
  <c r="J449" i="30"/>
  <c r="J450" i="30"/>
  <c r="J451" i="30"/>
  <c r="J452" i="30"/>
  <c r="J453" i="30"/>
  <c r="J454" i="30"/>
  <c r="J455" i="30"/>
  <c r="J456" i="30"/>
  <c r="J457" i="30"/>
  <c r="J458" i="30"/>
  <c r="J459" i="30"/>
  <c r="J460" i="30"/>
  <c r="J461" i="30"/>
  <c r="J462" i="30"/>
  <c r="J463" i="30"/>
  <c r="J464" i="30"/>
  <c r="J465" i="30"/>
  <c r="J466" i="30"/>
  <c r="J467" i="30"/>
  <c r="J468" i="30"/>
  <c r="J469" i="30"/>
  <c r="J470" i="30"/>
  <c r="J471" i="30"/>
  <c r="J472" i="30"/>
  <c r="J473" i="30"/>
  <c r="J474" i="30"/>
  <c r="J475" i="30"/>
  <c r="J476" i="30"/>
  <c r="J477" i="30"/>
  <c r="J478" i="30"/>
  <c r="J479" i="30"/>
  <c r="J480" i="30"/>
  <c r="J481" i="30"/>
  <c r="J482" i="30"/>
  <c r="J483" i="30"/>
  <c r="J484" i="30"/>
  <c r="J485" i="30"/>
  <c r="J486" i="30"/>
  <c r="J487" i="30"/>
  <c r="J488" i="30"/>
  <c r="J489" i="30"/>
  <c r="J490" i="30"/>
  <c r="J491" i="30"/>
  <c r="J492" i="30"/>
  <c r="J493" i="30"/>
  <c r="J494" i="30"/>
  <c r="J495" i="30"/>
  <c r="J496" i="30"/>
  <c r="J497" i="30"/>
  <c r="J498" i="30"/>
  <c r="J499" i="30"/>
  <c r="J500" i="30"/>
  <c r="J11" i="31"/>
  <c r="J500" i="31"/>
  <c r="J499" i="31"/>
  <c r="J498" i="31"/>
  <c r="J497" i="31"/>
  <c r="J496" i="31"/>
  <c r="J495" i="31"/>
  <c r="J494" i="31"/>
  <c r="J493" i="31"/>
  <c r="J492" i="31"/>
  <c r="J491" i="31"/>
  <c r="J490" i="31"/>
  <c r="J489" i="31"/>
  <c r="J488" i="31"/>
  <c r="J487" i="31"/>
  <c r="J486" i="31"/>
  <c r="J485" i="31"/>
  <c r="J484" i="31"/>
  <c r="J483" i="31"/>
  <c r="J482" i="31"/>
  <c r="J481" i="31"/>
  <c r="J480" i="31"/>
  <c r="J479" i="31"/>
  <c r="J478" i="31"/>
  <c r="J477" i="31"/>
  <c r="J476" i="31"/>
  <c r="J475" i="31"/>
  <c r="J474" i="31"/>
  <c r="J473" i="31"/>
  <c r="J472" i="31"/>
  <c r="J471" i="31"/>
  <c r="J470" i="31"/>
  <c r="J469" i="31"/>
  <c r="J468" i="31"/>
  <c r="J467" i="31"/>
  <c r="J466" i="31"/>
  <c r="J465" i="31"/>
  <c r="J464" i="31"/>
  <c r="J463" i="31"/>
  <c r="J462" i="31"/>
  <c r="J461" i="31"/>
  <c r="J460" i="31"/>
  <c r="J459" i="31"/>
  <c r="J458" i="31"/>
  <c r="J457" i="31"/>
  <c r="J456" i="31"/>
  <c r="J455" i="31"/>
  <c r="J454" i="31"/>
  <c r="J453" i="31"/>
  <c r="J452" i="31"/>
  <c r="J451" i="31"/>
  <c r="J450" i="31"/>
  <c r="J449" i="31"/>
  <c r="J448" i="31"/>
  <c r="J447" i="31"/>
  <c r="J446" i="31"/>
  <c r="J445" i="31"/>
  <c r="J444" i="31"/>
  <c r="J443" i="31"/>
  <c r="J442" i="31"/>
  <c r="J441" i="31"/>
  <c r="J440" i="31"/>
  <c r="J439" i="31"/>
  <c r="J438" i="31"/>
  <c r="J437" i="31"/>
  <c r="J436" i="31"/>
  <c r="J435" i="31"/>
  <c r="J434" i="31"/>
  <c r="J433" i="31"/>
  <c r="J432" i="31"/>
  <c r="J431" i="31"/>
  <c r="J430" i="31"/>
  <c r="J429" i="31"/>
  <c r="J428" i="31"/>
  <c r="J427" i="31"/>
  <c r="J426" i="31"/>
  <c r="J425" i="31"/>
  <c r="J424" i="31"/>
  <c r="J423" i="31"/>
  <c r="J422" i="31"/>
  <c r="J421" i="31"/>
  <c r="J420" i="31"/>
  <c r="J419" i="31"/>
  <c r="J418" i="31"/>
  <c r="J417" i="31"/>
  <c r="J416" i="31"/>
  <c r="J415" i="31"/>
  <c r="J414" i="31"/>
  <c r="J413" i="31"/>
  <c r="J412" i="31"/>
  <c r="J411" i="31"/>
  <c r="J410" i="31"/>
  <c r="J409" i="31"/>
  <c r="J408" i="31"/>
  <c r="J407" i="31"/>
  <c r="J406" i="31"/>
  <c r="J405" i="31"/>
  <c r="J404" i="31"/>
  <c r="J403" i="31"/>
  <c r="J402" i="31"/>
  <c r="J401" i="31"/>
  <c r="J400" i="31"/>
  <c r="J399" i="31"/>
  <c r="J398" i="31"/>
  <c r="J397" i="31"/>
  <c r="J396" i="31"/>
  <c r="J395" i="31"/>
  <c r="J394" i="31"/>
  <c r="J393" i="31"/>
  <c r="J392" i="31"/>
  <c r="J391" i="31"/>
  <c r="J390" i="31"/>
  <c r="J389" i="31"/>
  <c r="J388" i="31"/>
  <c r="J387" i="31"/>
  <c r="J386" i="31"/>
  <c r="J385" i="31"/>
  <c r="J384" i="31"/>
  <c r="J383" i="31"/>
  <c r="J382" i="31"/>
  <c r="J381" i="31"/>
  <c r="J380" i="31"/>
  <c r="J379" i="31"/>
  <c r="J378" i="31"/>
  <c r="J377" i="31"/>
  <c r="J376" i="31"/>
  <c r="J375" i="31"/>
  <c r="J374" i="31"/>
  <c r="J373" i="31"/>
  <c r="J372" i="31"/>
  <c r="J371" i="31"/>
  <c r="J370" i="31"/>
  <c r="J369" i="31"/>
  <c r="J368" i="31"/>
  <c r="J367" i="31"/>
  <c r="J366" i="31"/>
  <c r="J365" i="31"/>
  <c r="J364" i="31"/>
  <c r="J363" i="31"/>
  <c r="J362" i="31"/>
  <c r="J361" i="31"/>
  <c r="J360" i="31"/>
  <c r="J359" i="31"/>
  <c r="J358" i="31"/>
  <c r="J357" i="31"/>
  <c r="J356" i="31"/>
  <c r="J355" i="31"/>
  <c r="J354" i="31"/>
  <c r="J353" i="31"/>
  <c r="J352" i="31"/>
  <c r="J351" i="31"/>
  <c r="J350" i="31"/>
  <c r="J349" i="31"/>
  <c r="J348" i="31"/>
  <c r="J347" i="31"/>
  <c r="J346" i="31"/>
  <c r="J345" i="31"/>
  <c r="J344" i="31"/>
  <c r="J343" i="31"/>
  <c r="J342" i="31"/>
  <c r="J341" i="31"/>
  <c r="J340" i="31"/>
  <c r="J339" i="31"/>
  <c r="J338" i="31"/>
  <c r="J337" i="31"/>
  <c r="J336" i="31"/>
  <c r="J335" i="31"/>
  <c r="J334" i="31"/>
  <c r="J333" i="31"/>
  <c r="J332" i="31"/>
  <c r="J331" i="31"/>
  <c r="J330" i="31"/>
  <c r="J329" i="31"/>
  <c r="J328" i="31"/>
  <c r="J327" i="31"/>
  <c r="J326" i="31"/>
  <c r="J325" i="31"/>
  <c r="J324" i="31"/>
  <c r="J323" i="31"/>
  <c r="J322" i="31"/>
  <c r="J321" i="31"/>
  <c r="J320" i="31"/>
  <c r="J319" i="31"/>
  <c r="J318" i="31"/>
  <c r="J317" i="31"/>
  <c r="J316" i="31"/>
  <c r="J315" i="31"/>
  <c r="J314" i="31"/>
  <c r="J313" i="31"/>
  <c r="J312" i="31"/>
  <c r="J311" i="31"/>
  <c r="J310" i="31"/>
  <c r="J309" i="31"/>
  <c r="J308" i="31"/>
  <c r="J307" i="31"/>
  <c r="J306" i="31"/>
  <c r="J305" i="31"/>
  <c r="J304" i="31"/>
  <c r="J303" i="31"/>
  <c r="J302" i="31"/>
  <c r="J301" i="31"/>
  <c r="J300" i="31"/>
  <c r="J299" i="31"/>
  <c r="J298" i="31"/>
  <c r="J297" i="31"/>
  <c r="J296" i="31"/>
  <c r="J295" i="31"/>
  <c r="J294" i="31"/>
  <c r="J293" i="31"/>
  <c r="J292" i="31"/>
  <c r="J291" i="31"/>
  <c r="J290" i="31"/>
  <c r="J289" i="31"/>
  <c r="J288" i="31"/>
  <c r="J287" i="31"/>
  <c r="J286" i="31"/>
  <c r="J285" i="31"/>
  <c r="J284" i="31"/>
  <c r="J283" i="31"/>
  <c r="J282" i="31"/>
  <c r="J281" i="31"/>
  <c r="J280" i="31"/>
  <c r="J279" i="31"/>
  <c r="J278" i="31"/>
  <c r="J277" i="31"/>
  <c r="J276" i="31"/>
  <c r="J275" i="31"/>
  <c r="J274" i="31"/>
  <c r="J273" i="31"/>
  <c r="J272" i="31"/>
  <c r="J271" i="31"/>
  <c r="J270" i="31"/>
  <c r="J269" i="31"/>
  <c r="J268" i="31"/>
  <c r="J267" i="31"/>
  <c r="J266" i="31"/>
  <c r="J265" i="31"/>
  <c r="J264" i="31"/>
  <c r="J263" i="31"/>
  <c r="J262" i="31"/>
  <c r="J261" i="31"/>
  <c r="J260" i="31"/>
  <c r="J259" i="31"/>
  <c r="J258" i="31"/>
  <c r="J257" i="31"/>
  <c r="J256" i="31"/>
  <c r="J255" i="31"/>
  <c r="J254" i="31"/>
  <c r="J253" i="31"/>
  <c r="J252" i="31"/>
  <c r="J251" i="31"/>
  <c r="J250" i="31"/>
  <c r="J249" i="31"/>
  <c r="J248" i="31"/>
  <c r="J247" i="31"/>
  <c r="J246" i="31"/>
  <c r="J245" i="31"/>
  <c r="J244" i="31"/>
  <c r="J243" i="31"/>
  <c r="J242" i="31"/>
  <c r="J241" i="31"/>
  <c r="J240" i="31"/>
  <c r="J239" i="31"/>
  <c r="J238" i="31"/>
  <c r="J237" i="31"/>
  <c r="J236" i="31"/>
  <c r="J235" i="31"/>
  <c r="J234" i="31"/>
  <c r="J233" i="31"/>
  <c r="J232" i="31"/>
  <c r="J231" i="31"/>
  <c r="J230" i="31"/>
  <c r="J229" i="31"/>
  <c r="J228" i="31"/>
  <c r="J227" i="31"/>
  <c r="J226" i="31"/>
  <c r="J225" i="31"/>
  <c r="J224" i="31"/>
  <c r="J223" i="31"/>
  <c r="J222" i="31"/>
  <c r="J221" i="31"/>
  <c r="J220" i="31"/>
  <c r="J219" i="31"/>
  <c r="J218" i="31"/>
  <c r="J217" i="31"/>
  <c r="J216" i="31"/>
  <c r="J215" i="31"/>
  <c r="J214" i="31"/>
  <c r="J213" i="31"/>
  <c r="J212" i="31"/>
  <c r="J211" i="31"/>
  <c r="J210" i="31"/>
  <c r="J209" i="31"/>
  <c r="J208" i="31"/>
  <c r="J207" i="31"/>
  <c r="J206" i="31"/>
  <c r="J205" i="31"/>
  <c r="J204" i="31"/>
  <c r="J203" i="31"/>
  <c r="J202" i="31"/>
  <c r="J201" i="31"/>
  <c r="J200" i="31"/>
  <c r="J199" i="31"/>
  <c r="J198" i="31"/>
  <c r="J197" i="31"/>
  <c r="J196" i="31"/>
  <c r="J195" i="31"/>
  <c r="J194" i="31"/>
  <c r="J193" i="31"/>
  <c r="J192" i="31"/>
  <c r="J191" i="31"/>
  <c r="J190" i="31"/>
  <c r="J189" i="31"/>
  <c r="J188" i="31"/>
  <c r="J187" i="31"/>
  <c r="J186" i="31"/>
  <c r="J185" i="31"/>
  <c r="J184" i="31"/>
  <c r="J183" i="31"/>
  <c r="J182" i="31"/>
  <c r="J181" i="31"/>
  <c r="J180" i="31"/>
  <c r="J179" i="31"/>
  <c r="J178" i="31"/>
  <c r="J177" i="31"/>
  <c r="J176" i="31"/>
  <c r="J175" i="31"/>
  <c r="J174" i="31"/>
  <c r="J173" i="31"/>
  <c r="J172" i="31"/>
  <c r="J171" i="31"/>
  <c r="J170" i="31"/>
  <c r="J169" i="31"/>
  <c r="J168" i="31"/>
  <c r="J167" i="31"/>
  <c r="J166" i="31"/>
  <c r="J165" i="31"/>
  <c r="J164" i="31"/>
  <c r="J163" i="31"/>
  <c r="J162" i="31"/>
  <c r="J161" i="31"/>
  <c r="J160" i="31"/>
  <c r="J159" i="31"/>
  <c r="J158" i="31"/>
  <c r="J157" i="31"/>
  <c r="J156" i="31"/>
  <c r="J155" i="31"/>
  <c r="J154" i="31"/>
  <c r="J153" i="31"/>
  <c r="J152" i="31"/>
  <c r="J151" i="31"/>
  <c r="J150" i="31"/>
  <c r="J149" i="31"/>
  <c r="J148" i="31"/>
  <c r="J147" i="31"/>
  <c r="J146" i="31"/>
  <c r="J145" i="31"/>
  <c r="J144" i="31"/>
  <c r="J143" i="31"/>
  <c r="J142" i="31"/>
  <c r="J141" i="31"/>
  <c r="J140" i="31"/>
  <c r="J139" i="31"/>
  <c r="J138" i="31"/>
  <c r="J137" i="31"/>
  <c r="J136" i="31"/>
  <c r="J135" i="31"/>
  <c r="J134" i="31"/>
  <c r="J133" i="31"/>
  <c r="J132" i="31"/>
  <c r="J131" i="31"/>
  <c r="J130" i="31"/>
  <c r="J129" i="31"/>
  <c r="J128" i="31"/>
  <c r="J127" i="31"/>
  <c r="J126" i="31"/>
  <c r="J125" i="31"/>
  <c r="J124" i="31"/>
  <c r="J123" i="31"/>
  <c r="J122" i="31"/>
  <c r="J121" i="31"/>
  <c r="J120" i="31"/>
  <c r="J119" i="31"/>
  <c r="J118" i="31"/>
  <c r="J117" i="31"/>
  <c r="J116" i="31"/>
  <c r="J115" i="31"/>
  <c r="J114" i="31"/>
  <c r="J113" i="31"/>
  <c r="J112" i="31"/>
  <c r="J111" i="31"/>
  <c r="J110" i="31"/>
  <c r="J109" i="31"/>
  <c r="J108" i="31"/>
  <c r="J107" i="31"/>
  <c r="J106" i="31"/>
  <c r="J105" i="31"/>
  <c r="J104" i="31"/>
  <c r="J103" i="31"/>
  <c r="J102" i="31"/>
  <c r="J101" i="31"/>
  <c r="J100" i="31"/>
  <c r="J99" i="31"/>
  <c r="J98" i="31"/>
  <c r="J97" i="31"/>
  <c r="J96" i="31"/>
  <c r="J95" i="31"/>
  <c r="J94" i="31"/>
  <c r="J93" i="31"/>
  <c r="J92" i="31"/>
  <c r="J91" i="31"/>
  <c r="J90" i="31"/>
  <c r="J89" i="31"/>
  <c r="J88" i="31"/>
  <c r="J87" i="31"/>
  <c r="J86" i="31"/>
  <c r="J85" i="31"/>
  <c r="J84" i="31"/>
  <c r="J83" i="31"/>
  <c r="J82" i="31"/>
  <c r="J81" i="31"/>
  <c r="J80" i="31"/>
  <c r="J79" i="31"/>
  <c r="J78" i="31"/>
  <c r="J77" i="31"/>
  <c r="J76" i="31"/>
  <c r="J75" i="31"/>
  <c r="J74" i="31"/>
  <c r="J73" i="31"/>
  <c r="J72" i="31"/>
  <c r="J71" i="31"/>
  <c r="J70" i="31"/>
  <c r="J69" i="31"/>
  <c r="J68" i="31"/>
  <c r="J67" i="31"/>
  <c r="J66" i="31"/>
  <c r="J65" i="31"/>
  <c r="J64" i="31"/>
  <c r="J63" i="31"/>
  <c r="J62" i="31"/>
  <c r="J61" i="31"/>
  <c r="J60" i="31"/>
  <c r="J59" i="31"/>
  <c r="J58" i="31"/>
  <c r="J57" i="31"/>
  <c r="J56" i="31"/>
  <c r="J55" i="31"/>
  <c r="J54" i="31"/>
  <c r="J53" i="31"/>
  <c r="J52" i="31"/>
  <c r="J51" i="31"/>
  <c r="J50" i="31"/>
  <c r="J49" i="31"/>
  <c r="J48" i="31"/>
  <c r="J47" i="31"/>
  <c r="J46" i="31"/>
  <c r="J45" i="31"/>
  <c r="J44" i="31"/>
  <c r="J43" i="31"/>
  <c r="J42" i="31"/>
  <c r="J41" i="31"/>
  <c r="J40" i="31"/>
  <c r="J39" i="31"/>
  <c r="J38" i="31"/>
  <c r="J37" i="31"/>
  <c r="J36" i="31"/>
  <c r="J35" i="31"/>
  <c r="J34" i="31"/>
  <c r="J33" i="31"/>
  <c r="J32" i="31"/>
  <c r="J31" i="31"/>
  <c r="J30" i="31"/>
  <c r="J29" i="31"/>
  <c r="J28" i="31"/>
  <c r="J27" i="31"/>
  <c r="J26" i="31"/>
  <c r="J25" i="31"/>
  <c r="J24" i="31"/>
  <c r="J23" i="31"/>
  <c r="J22" i="31"/>
  <c r="J21" i="31"/>
  <c r="J20" i="31"/>
  <c r="J19" i="31"/>
  <c r="J18" i="31"/>
  <c r="J17" i="31"/>
  <c r="J16" i="31"/>
  <c r="J15" i="31"/>
  <c r="J14" i="31"/>
  <c r="J13" i="31"/>
  <c r="J12" i="31"/>
  <c r="E175" i="11"/>
  <c r="F175" i="11" s="1"/>
  <c r="C175" i="11"/>
  <c r="D175" i="11" s="1"/>
  <c r="C15" i="14"/>
  <c r="C16" i="14"/>
  <c r="AC11" i="19"/>
  <c r="AC12" i="19"/>
  <c r="AC13" i="19"/>
  <c r="AC14" i="19"/>
  <c r="AC15" i="19"/>
  <c r="AC16" i="19"/>
  <c r="AC17" i="19"/>
  <c r="AC18" i="19"/>
  <c r="AC19" i="19"/>
  <c r="AC20" i="19"/>
  <c r="AC21" i="19"/>
  <c r="AC22" i="19"/>
  <c r="AC23" i="19"/>
  <c r="AC24" i="19"/>
  <c r="AC25" i="19"/>
  <c r="AC26" i="19"/>
  <c r="AC27" i="19"/>
  <c r="AC28" i="19"/>
  <c r="AC29" i="19"/>
  <c r="AC30" i="19"/>
  <c r="AC31" i="19"/>
  <c r="AC32" i="19"/>
  <c r="AC33" i="19"/>
  <c r="AC34" i="19"/>
  <c r="AC35" i="19"/>
  <c r="AC36" i="19"/>
  <c r="AC37" i="19"/>
  <c r="AC38" i="19"/>
  <c r="AC39" i="19"/>
  <c r="AC40" i="19"/>
  <c r="AC41" i="19"/>
  <c r="AC42" i="19"/>
  <c r="AC43" i="19"/>
  <c r="AC44" i="19"/>
  <c r="AC45" i="19"/>
  <c r="AC46" i="19"/>
  <c r="AC47" i="19"/>
  <c r="AC12" i="21"/>
  <c r="AC13" i="21"/>
  <c r="AC14" i="21"/>
  <c r="AC15" i="21"/>
  <c r="AC16" i="21"/>
  <c r="AC17" i="21"/>
  <c r="AC18" i="21"/>
  <c r="AC19" i="21"/>
  <c r="AC20" i="21"/>
  <c r="AC21" i="21"/>
  <c r="AC22" i="21"/>
  <c r="AC23" i="21"/>
  <c r="AC24" i="21"/>
  <c r="AC25" i="21"/>
  <c r="AC26" i="21"/>
  <c r="AC27" i="21"/>
  <c r="AC28" i="21"/>
  <c r="AC29" i="21"/>
  <c r="AC30" i="21"/>
  <c r="AC31" i="21"/>
  <c r="AC32" i="21"/>
  <c r="AC33" i="21"/>
  <c r="AC34" i="21"/>
  <c r="AC35" i="21"/>
  <c r="AC36" i="21"/>
  <c r="AC37" i="21"/>
  <c r="AC38" i="21"/>
  <c r="AC39" i="21"/>
  <c r="AC40" i="21"/>
  <c r="AC41" i="21"/>
  <c r="AC42" i="21"/>
  <c r="AC43" i="21"/>
  <c r="AC44" i="21"/>
  <c r="AC45" i="21"/>
  <c r="AC46" i="21"/>
  <c r="AC47" i="21"/>
  <c r="C14" i="14" l="1"/>
  <c r="H15" i="14"/>
  <c r="J15" i="14" s="1"/>
  <c r="E15" i="14"/>
  <c r="E16" i="14"/>
  <c r="H16" i="14"/>
  <c r="J16" i="14" s="1"/>
  <c r="C17" i="14"/>
  <c r="X11" i="19"/>
  <c r="V11" i="19"/>
  <c r="AD11" i="19" s="1"/>
  <c r="X12" i="19"/>
  <c r="X13" i="19"/>
  <c r="X14" i="19"/>
  <c r="X15" i="19"/>
  <c r="X16" i="19"/>
  <c r="X17" i="19"/>
  <c r="X18" i="19"/>
  <c r="X19" i="19"/>
  <c r="X20" i="19"/>
  <c r="X21" i="19"/>
  <c r="X22" i="19"/>
  <c r="X23" i="19"/>
  <c r="X24" i="19"/>
  <c r="X25" i="19"/>
  <c r="X26" i="19"/>
  <c r="X27" i="19"/>
  <c r="X28" i="19"/>
  <c r="X29" i="19"/>
  <c r="X30" i="19"/>
  <c r="X31" i="19"/>
  <c r="X32" i="19"/>
  <c r="X33" i="19"/>
  <c r="X34" i="19"/>
  <c r="X35" i="19"/>
  <c r="X36" i="19"/>
  <c r="X37" i="19"/>
  <c r="X38" i="19"/>
  <c r="X39" i="19"/>
  <c r="X40" i="19"/>
  <c r="X41" i="19"/>
  <c r="X42" i="19"/>
  <c r="X43" i="19"/>
  <c r="X44" i="19"/>
  <c r="X45" i="19"/>
  <c r="X46" i="19"/>
  <c r="X47" i="19"/>
  <c r="V12" i="19"/>
  <c r="AD12" i="19" s="1"/>
  <c r="V13" i="19"/>
  <c r="AD13" i="19" s="1"/>
  <c r="V14" i="19"/>
  <c r="AD14" i="19" s="1"/>
  <c r="V15" i="19"/>
  <c r="AD15" i="19" s="1"/>
  <c r="V16" i="19"/>
  <c r="AD16" i="19" s="1"/>
  <c r="V17" i="19"/>
  <c r="AD17" i="19" s="1"/>
  <c r="V18" i="19"/>
  <c r="AD18" i="19" s="1"/>
  <c r="V19" i="19"/>
  <c r="AD19" i="19" s="1"/>
  <c r="V20" i="19"/>
  <c r="AD20" i="19" s="1"/>
  <c r="V21" i="19"/>
  <c r="AD21" i="19" s="1"/>
  <c r="V22" i="19"/>
  <c r="AD22" i="19" s="1"/>
  <c r="V23" i="19"/>
  <c r="AD23" i="19" s="1"/>
  <c r="V24" i="19"/>
  <c r="AD24" i="19" s="1"/>
  <c r="V25" i="19"/>
  <c r="AD25" i="19" s="1"/>
  <c r="V26" i="19"/>
  <c r="AD26" i="19" s="1"/>
  <c r="V27" i="19"/>
  <c r="AD27" i="19" s="1"/>
  <c r="V28" i="19"/>
  <c r="AD28" i="19" s="1"/>
  <c r="V29" i="19"/>
  <c r="AD29" i="19" s="1"/>
  <c r="V30" i="19"/>
  <c r="AD30" i="19" s="1"/>
  <c r="V31" i="19"/>
  <c r="AD31" i="19" s="1"/>
  <c r="V32" i="19"/>
  <c r="AD32" i="19" s="1"/>
  <c r="V33" i="19"/>
  <c r="AD33" i="19" s="1"/>
  <c r="V34" i="19"/>
  <c r="AD34" i="19" s="1"/>
  <c r="V35" i="19"/>
  <c r="AD35" i="19" s="1"/>
  <c r="V36" i="19"/>
  <c r="AD36" i="19" s="1"/>
  <c r="V37" i="19"/>
  <c r="AD37" i="19" s="1"/>
  <c r="V38" i="19"/>
  <c r="AD38" i="19" s="1"/>
  <c r="V39" i="19"/>
  <c r="AD39" i="19" s="1"/>
  <c r="V40" i="19"/>
  <c r="AD40" i="19" s="1"/>
  <c r="V41" i="19"/>
  <c r="AD41" i="19" s="1"/>
  <c r="V42" i="19"/>
  <c r="AD42" i="19" s="1"/>
  <c r="V43" i="19"/>
  <c r="AD43" i="19" s="1"/>
  <c r="V44" i="19"/>
  <c r="AD44" i="19" s="1"/>
  <c r="V45" i="19"/>
  <c r="AD45" i="19" s="1"/>
  <c r="V46" i="19"/>
  <c r="AD46" i="19" s="1"/>
  <c r="V47" i="19"/>
  <c r="AD47" i="19" s="1"/>
  <c r="X11" i="21"/>
  <c r="X12" i="21"/>
  <c r="X13" i="21"/>
  <c r="X14" i="21"/>
  <c r="X15" i="21"/>
  <c r="X16" i="21"/>
  <c r="X17" i="21"/>
  <c r="X18" i="21"/>
  <c r="X19" i="21"/>
  <c r="X20" i="21"/>
  <c r="X21" i="21"/>
  <c r="X22" i="21"/>
  <c r="X23" i="21"/>
  <c r="X24" i="21"/>
  <c r="X25" i="21"/>
  <c r="X26" i="21"/>
  <c r="Y26" i="21" s="1"/>
  <c r="AA26" i="21" s="1"/>
  <c r="X27" i="21"/>
  <c r="X28" i="21"/>
  <c r="X29" i="21"/>
  <c r="X30" i="21"/>
  <c r="X31" i="21"/>
  <c r="X32" i="21"/>
  <c r="X33" i="21"/>
  <c r="X34" i="21"/>
  <c r="X35" i="21"/>
  <c r="X36" i="21"/>
  <c r="X37" i="21"/>
  <c r="X38" i="21"/>
  <c r="X39" i="21"/>
  <c r="X40" i="21"/>
  <c r="X41" i="21"/>
  <c r="X42" i="21"/>
  <c r="X43" i="21"/>
  <c r="X44" i="21"/>
  <c r="X45" i="21"/>
  <c r="X46" i="21"/>
  <c r="X47" i="21"/>
  <c r="W28" i="21"/>
  <c r="Z28" i="21" s="1"/>
  <c r="AB28" i="21" s="1"/>
  <c r="V11" i="21"/>
  <c r="AD11" i="21" s="1"/>
  <c r="V12" i="21"/>
  <c r="AD12" i="21" s="1"/>
  <c r="V13" i="21"/>
  <c r="AD13" i="21" s="1"/>
  <c r="V14" i="21"/>
  <c r="AD14" i="21" s="1"/>
  <c r="V15" i="21"/>
  <c r="AD15" i="21" s="1"/>
  <c r="V16" i="21"/>
  <c r="AD16" i="21" s="1"/>
  <c r="V17" i="21"/>
  <c r="AD17" i="21" s="1"/>
  <c r="V18" i="21"/>
  <c r="AD18" i="21" s="1"/>
  <c r="V19" i="21"/>
  <c r="AD19" i="21" s="1"/>
  <c r="V20" i="21"/>
  <c r="AD20" i="21" s="1"/>
  <c r="V21" i="21"/>
  <c r="AD21" i="21" s="1"/>
  <c r="V22" i="21"/>
  <c r="AD22" i="21" s="1"/>
  <c r="V23" i="21"/>
  <c r="AD23" i="21" s="1"/>
  <c r="V24" i="21"/>
  <c r="AD24" i="21" s="1"/>
  <c r="V25" i="21"/>
  <c r="AD25" i="21" s="1"/>
  <c r="V26" i="21"/>
  <c r="AD26" i="21" s="1"/>
  <c r="V27" i="21"/>
  <c r="AD27" i="21" s="1"/>
  <c r="V28" i="21"/>
  <c r="AD28" i="21" s="1"/>
  <c r="V29" i="21"/>
  <c r="AD29" i="21" s="1"/>
  <c r="V30" i="21"/>
  <c r="AD30" i="21" s="1"/>
  <c r="V31" i="21"/>
  <c r="AD31" i="21" s="1"/>
  <c r="V32" i="21"/>
  <c r="AD32" i="21" s="1"/>
  <c r="V33" i="21"/>
  <c r="AD33" i="21" s="1"/>
  <c r="V34" i="21"/>
  <c r="AD34" i="21" s="1"/>
  <c r="V35" i="21"/>
  <c r="AD35" i="21" s="1"/>
  <c r="V36" i="21"/>
  <c r="AD36" i="21" s="1"/>
  <c r="V37" i="21"/>
  <c r="AD37" i="21" s="1"/>
  <c r="V38" i="21"/>
  <c r="AD38" i="21" s="1"/>
  <c r="V39" i="21"/>
  <c r="AD39" i="21" s="1"/>
  <c r="V40" i="21"/>
  <c r="AD40" i="21" s="1"/>
  <c r="V41" i="21"/>
  <c r="AD41" i="21" s="1"/>
  <c r="V42" i="21"/>
  <c r="AD42" i="21" s="1"/>
  <c r="V43" i="21"/>
  <c r="AD43" i="21" s="1"/>
  <c r="V44" i="21"/>
  <c r="AD44" i="21" s="1"/>
  <c r="V45" i="21"/>
  <c r="AD45" i="21" s="1"/>
  <c r="V46" i="21"/>
  <c r="AD46" i="21" s="1"/>
  <c r="V47" i="21"/>
  <c r="AD47" i="21" s="1"/>
  <c r="AD130" i="11"/>
  <c r="N130" i="11"/>
  <c r="D45" i="11"/>
  <c r="F26" i="11"/>
  <c r="F30" i="11"/>
  <c r="F29" i="11"/>
  <c r="D26" i="11"/>
  <c r="D30" i="11"/>
  <c r="Y41" i="21" l="1"/>
  <c r="AA41" i="21" s="1"/>
  <c r="W29" i="21"/>
  <c r="Z29" i="21" s="1"/>
  <c r="AB29" i="21" s="1"/>
  <c r="Y40" i="21"/>
  <c r="AA40" i="21" s="1"/>
  <c r="Y39" i="21"/>
  <c r="AA39" i="21" s="1"/>
  <c r="Y35" i="21"/>
  <c r="AA35" i="21" s="1"/>
  <c r="H14" i="14"/>
  <c r="J14" i="14" s="1"/>
  <c r="E14" i="14"/>
  <c r="W42" i="19"/>
  <c r="W44" i="19"/>
  <c r="Z44" i="19" s="1"/>
  <c r="AB44" i="19" s="1"/>
  <c r="W43" i="19"/>
  <c r="W41" i="19"/>
  <c r="Y37" i="19"/>
  <c r="AA37" i="19" s="1"/>
  <c r="Z42" i="19"/>
  <c r="AB42" i="19" s="1"/>
  <c r="Y14" i="19"/>
  <c r="AA14" i="19" s="1"/>
  <c r="Y16" i="19"/>
  <c r="AA16" i="19" s="1"/>
  <c r="W33" i="19"/>
  <c r="Z33" i="19" s="1"/>
  <c r="AB33" i="19" s="1"/>
  <c r="Y17" i="19"/>
  <c r="AA17" i="19" s="1"/>
  <c r="Z43" i="19"/>
  <c r="AB43" i="19" s="1"/>
  <c r="Z41" i="19"/>
  <c r="AB41" i="19" s="1"/>
  <c r="W40" i="19"/>
  <c r="Z40" i="19" s="1"/>
  <c r="AB40" i="19" s="1"/>
  <c r="W15" i="19"/>
  <c r="Z15" i="19" s="1"/>
  <c r="AB15" i="19" s="1"/>
  <c r="Y15" i="19"/>
  <c r="AA15" i="19" s="1"/>
  <c r="Y13" i="19"/>
  <c r="AA13" i="19" s="1"/>
  <c r="W35" i="19"/>
  <c r="Z35" i="19" s="1"/>
  <c r="AB35" i="19" s="1"/>
  <c r="W34" i="19"/>
  <c r="Z34" i="19" s="1"/>
  <c r="AB34" i="19" s="1"/>
  <c r="W14" i="19"/>
  <c r="Z14" i="19" s="1"/>
  <c r="AB14" i="19" s="1"/>
  <c r="Y12" i="19"/>
  <c r="AA12" i="19" s="1"/>
  <c r="Y32" i="19"/>
  <c r="AA32" i="19" s="1"/>
  <c r="W12" i="19"/>
  <c r="Z12" i="19" s="1"/>
  <c r="AB12" i="19" s="1"/>
  <c r="W32" i="19"/>
  <c r="Z32" i="19" s="1"/>
  <c r="AB32" i="19" s="1"/>
  <c r="Y26" i="19"/>
  <c r="AA26" i="19" s="1"/>
  <c r="Y22" i="21"/>
  <c r="AA22" i="21" s="1"/>
  <c r="W38" i="21"/>
  <c r="W41" i="21"/>
  <c r="Z41" i="21" s="1"/>
  <c r="AB41" i="21" s="1"/>
  <c r="Y16" i="21"/>
  <c r="AA16" i="21" s="1"/>
  <c r="W37" i="21"/>
  <c r="Z37" i="21" s="1"/>
  <c r="AB37" i="21" s="1"/>
  <c r="W36" i="21"/>
  <c r="Z36" i="21" s="1"/>
  <c r="AB36" i="21" s="1"/>
  <c r="W40" i="21"/>
  <c r="Z40" i="21" s="1"/>
  <c r="AB40" i="21" s="1"/>
  <c r="W39" i="21"/>
  <c r="Z39" i="21" s="1"/>
  <c r="AB39" i="21" s="1"/>
  <c r="W31" i="21"/>
  <c r="Z31" i="21" s="1"/>
  <c r="AB31" i="21" s="1"/>
  <c r="W30" i="21"/>
  <c r="Z30" i="21" s="1"/>
  <c r="AB30" i="21" s="1"/>
  <c r="Y42" i="21"/>
  <c r="AA42" i="21" s="1"/>
  <c r="W24" i="19"/>
  <c r="Z24" i="19" s="1"/>
  <c r="AB24" i="19" s="1"/>
  <c r="W23" i="19"/>
  <c r="Z23" i="19" s="1"/>
  <c r="AB23" i="19" s="1"/>
  <c r="W31" i="19"/>
  <c r="Z31" i="19" s="1"/>
  <c r="AB31" i="19" s="1"/>
  <c r="Y36" i="19"/>
  <c r="AA36" i="19" s="1"/>
  <c r="W21" i="19"/>
  <c r="Z21" i="19" s="1"/>
  <c r="AB21" i="19" s="1"/>
  <c r="W20" i="19"/>
  <c r="Z20" i="19" s="1"/>
  <c r="AB20" i="19" s="1"/>
  <c r="Y31" i="19"/>
  <c r="AA31" i="19" s="1"/>
  <c r="W13" i="19"/>
  <c r="Z13" i="19" s="1"/>
  <c r="AB13" i="19" s="1"/>
  <c r="Y35" i="19"/>
  <c r="AA35" i="19" s="1"/>
  <c r="Y46" i="19"/>
  <c r="AA46" i="19" s="1"/>
  <c r="Y34" i="19"/>
  <c r="AA34" i="19" s="1"/>
  <c r="W22" i="19"/>
  <c r="Z22" i="19" s="1"/>
  <c r="AB22" i="19" s="1"/>
  <c r="Y33" i="19"/>
  <c r="AA33" i="19" s="1"/>
  <c r="Y21" i="21"/>
  <c r="AA21" i="21" s="1"/>
  <c r="Y18" i="21"/>
  <c r="AA18" i="21" s="1"/>
  <c r="Y15" i="21"/>
  <c r="AA15" i="21" s="1"/>
  <c r="Y46" i="21"/>
  <c r="AA46" i="21" s="1"/>
  <c r="Y23" i="21"/>
  <c r="AA23" i="21" s="1"/>
  <c r="Y24" i="21"/>
  <c r="AA24" i="21" s="1"/>
  <c r="Y38" i="21"/>
  <c r="AA38" i="21" s="1"/>
  <c r="Y37" i="21"/>
  <c r="AA37" i="21" s="1"/>
  <c r="Y19" i="21"/>
  <c r="AA19" i="21" s="1"/>
  <c r="Y36" i="21"/>
  <c r="AA36" i="21" s="1"/>
  <c r="W19" i="21"/>
  <c r="Z19" i="21" s="1"/>
  <c r="AB19" i="21" s="1"/>
  <c r="W18" i="21"/>
  <c r="Z18" i="21" s="1"/>
  <c r="AB18" i="21" s="1"/>
  <c r="W47" i="21"/>
  <c r="Z47" i="21" s="1"/>
  <c r="AB47" i="21" s="1"/>
  <c r="W17" i="21"/>
  <c r="Z17" i="21" s="1"/>
  <c r="AB17" i="21" s="1"/>
  <c r="Y45" i="21"/>
  <c r="AA45" i="21" s="1"/>
  <c r="Y25" i="21"/>
  <c r="AA25" i="21" s="1"/>
  <c r="Y44" i="21"/>
  <c r="AA44" i="21" s="1"/>
  <c r="Y20" i="21"/>
  <c r="AA20" i="21" s="1"/>
  <c r="W27" i="21"/>
  <c r="Z27" i="21" s="1"/>
  <c r="AB27" i="21" s="1"/>
  <c r="Y17" i="21"/>
  <c r="AA17" i="21" s="1"/>
  <c r="W26" i="21"/>
  <c r="Z26" i="21" s="1"/>
  <c r="AB26" i="21" s="1"/>
  <c r="W25" i="21"/>
  <c r="Z25" i="21" s="1"/>
  <c r="AB25" i="21" s="1"/>
  <c r="W21" i="21"/>
  <c r="Z21" i="21" s="1"/>
  <c r="AB21" i="21" s="1"/>
  <c r="W20" i="21"/>
  <c r="Z20" i="21" s="1"/>
  <c r="AB20" i="21" s="1"/>
  <c r="W46" i="21"/>
  <c r="Z46" i="21" s="1"/>
  <c r="AB46" i="21" s="1"/>
  <c r="W16" i="21"/>
  <c r="Z16" i="21" s="1"/>
  <c r="AB16" i="21" s="1"/>
  <c r="W45" i="21"/>
  <c r="Z45" i="21" s="1"/>
  <c r="AB45" i="21" s="1"/>
  <c r="W11" i="21"/>
  <c r="Z11" i="21" s="1"/>
  <c r="AB11" i="21" s="1"/>
  <c r="Y43" i="21"/>
  <c r="AA43" i="21" s="1"/>
  <c r="W32" i="21"/>
  <c r="Z32" i="21" s="1"/>
  <c r="AB32" i="21" s="1"/>
  <c r="W12" i="21"/>
  <c r="Z12" i="21" s="1"/>
  <c r="AB12" i="21" s="1"/>
  <c r="W46" i="19"/>
  <c r="Z46" i="19" s="1"/>
  <c r="AB46" i="19" s="1"/>
  <c r="W26" i="19"/>
  <c r="Z26" i="19" s="1"/>
  <c r="AB26" i="19" s="1"/>
  <c r="Y38" i="19"/>
  <c r="AA38" i="19" s="1"/>
  <c r="Y18" i="19"/>
  <c r="AA18" i="19" s="1"/>
  <c r="W45" i="19"/>
  <c r="Z45" i="19" s="1"/>
  <c r="AB45" i="19" s="1"/>
  <c r="W25" i="19"/>
  <c r="Z25" i="19" s="1"/>
  <c r="AB25" i="19" s="1"/>
  <c r="Z38" i="21"/>
  <c r="AB38" i="21" s="1"/>
  <c r="W39" i="19"/>
  <c r="Z39" i="19" s="1"/>
  <c r="AB39" i="19" s="1"/>
  <c r="W19" i="19"/>
  <c r="Z19" i="19" s="1"/>
  <c r="AB19" i="19" s="1"/>
  <c r="W44" i="21"/>
  <c r="Z44" i="21" s="1"/>
  <c r="AB44" i="21" s="1"/>
  <c r="W24" i="21"/>
  <c r="Z24" i="21" s="1"/>
  <c r="AB24" i="21" s="1"/>
  <c r="W38" i="19"/>
  <c r="Z38" i="19" s="1"/>
  <c r="AB38" i="19" s="1"/>
  <c r="W18" i="19"/>
  <c r="Z18" i="19" s="1"/>
  <c r="AB18" i="19" s="1"/>
  <c r="Y30" i="19"/>
  <c r="AA30" i="19" s="1"/>
  <c r="W23" i="21"/>
  <c r="Z23" i="21" s="1"/>
  <c r="AB23" i="21" s="1"/>
  <c r="W43" i="21"/>
  <c r="Z43" i="21" s="1"/>
  <c r="AB43" i="21" s="1"/>
  <c r="W37" i="19"/>
  <c r="Z37" i="19" s="1"/>
  <c r="AB37" i="19" s="1"/>
  <c r="W17" i="19"/>
  <c r="Z17" i="19" s="1"/>
  <c r="AB17" i="19" s="1"/>
  <c r="Y29" i="19"/>
  <c r="AA29" i="19" s="1"/>
  <c r="W42" i="21"/>
  <c r="Z42" i="21" s="1"/>
  <c r="AB42" i="21" s="1"/>
  <c r="W22" i="21"/>
  <c r="Z22" i="21" s="1"/>
  <c r="AB22" i="21" s="1"/>
  <c r="W36" i="19"/>
  <c r="Z36" i="19" s="1"/>
  <c r="AB36" i="19" s="1"/>
  <c r="W16" i="19"/>
  <c r="Z16" i="19" s="1"/>
  <c r="AB16" i="19" s="1"/>
  <c r="Y28" i="19"/>
  <c r="AA28" i="19" s="1"/>
  <c r="Y47" i="19"/>
  <c r="AA47" i="19" s="1"/>
  <c r="Y45" i="19"/>
  <c r="AA45" i="19" s="1"/>
  <c r="Y23" i="19"/>
  <c r="AA23" i="19" s="1"/>
  <c r="Y27" i="19"/>
  <c r="AA27" i="19" s="1"/>
  <c r="Y33" i="21"/>
  <c r="AA33" i="21" s="1"/>
  <c r="Y25" i="19"/>
  <c r="AA25" i="19" s="1"/>
  <c r="Y32" i="21"/>
  <c r="AA32" i="21" s="1"/>
  <c r="Y43" i="19"/>
  <c r="AA43" i="19" s="1"/>
  <c r="Y30" i="21"/>
  <c r="AA30" i="21" s="1"/>
  <c r="W30" i="19"/>
  <c r="Z30" i="19" s="1"/>
  <c r="AB30" i="19" s="1"/>
  <c r="Y42" i="19"/>
  <c r="AA42" i="19" s="1"/>
  <c r="Y22" i="19"/>
  <c r="AA22" i="19" s="1"/>
  <c r="Y13" i="21"/>
  <c r="AA13" i="21" s="1"/>
  <c r="Y12" i="21"/>
  <c r="AA12" i="21" s="1"/>
  <c r="Y44" i="19"/>
  <c r="AA44" i="19" s="1"/>
  <c r="Y24" i="19"/>
  <c r="AA24" i="19" s="1"/>
  <c r="Y31" i="21"/>
  <c r="AA31" i="21" s="1"/>
  <c r="W35" i="21"/>
  <c r="Z35" i="21" s="1"/>
  <c r="AB35" i="21" s="1"/>
  <c r="W15" i="21"/>
  <c r="Z15" i="21" s="1"/>
  <c r="AB15" i="21" s="1"/>
  <c r="Y29" i="21"/>
  <c r="AA29" i="21" s="1"/>
  <c r="W29" i="19"/>
  <c r="Z29" i="19" s="1"/>
  <c r="AB29" i="19" s="1"/>
  <c r="Y41" i="19"/>
  <c r="AA41" i="19" s="1"/>
  <c r="Y21" i="19"/>
  <c r="AA21" i="19" s="1"/>
  <c r="Y14" i="21"/>
  <c r="AA14" i="21" s="1"/>
  <c r="Y40" i="19"/>
  <c r="AA40" i="19" s="1"/>
  <c r="Y20" i="19"/>
  <c r="AA20" i="19" s="1"/>
  <c r="Y34" i="21"/>
  <c r="AA34" i="21" s="1"/>
  <c r="W34" i="21"/>
  <c r="Z34" i="21" s="1"/>
  <c r="AB34" i="21" s="1"/>
  <c r="W14" i="21"/>
  <c r="Z14" i="21" s="1"/>
  <c r="AB14" i="21" s="1"/>
  <c r="Y28" i="21"/>
  <c r="AA28" i="21" s="1"/>
  <c r="W28" i="19"/>
  <c r="Z28" i="19" s="1"/>
  <c r="AB28" i="19" s="1"/>
  <c r="W33" i="21"/>
  <c r="Z33" i="21" s="1"/>
  <c r="AB33" i="21" s="1"/>
  <c r="W13" i="21"/>
  <c r="Z13" i="21" s="1"/>
  <c r="AB13" i="21" s="1"/>
  <c r="Y47" i="21"/>
  <c r="AA47" i="21" s="1"/>
  <c r="Y27" i="21"/>
  <c r="AA27" i="21" s="1"/>
  <c r="W47" i="19"/>
  <c r="Z47" i="19" s="1"/>
  <c r="AB47" i="19" s="1"/>
  <c r="W27" i="19"/>
  <c r="Z27" i="19" s="1"/>
  <c r="AB27" i="19" s="1"/>
  <c r="Y39" i="19"/>
  <c r="AA39" i="19" s="1"/>
  <c r="Y19" i="19"/>
  <c r="AA19" i="19" s="1"/>
  <c r="Y11" i="21"/>
  <c r="AA11" i="21" s="1"/>
  <c r="W11" i="19"/>
  <c r="Z11" i="19" s="1"/>
  <c r="AB11" i="19" s="1"/>
  <c r="Y11" i="19"/>
  <c r="AA11" i="19" l="1"/>
  <c r="P4" i="19"/>
  <c r="D17" i="14" l="1"/>
  <c r="P4" i="21"/>
  <c r="S131" i="11"/>
  <c r="S130" i="11"/>
  <c r="W131" i="11"/>
  <c r="V131" i="11"/>
  <c r="U131" i="11"/>
  <c r="T131" i="11"/>
  <c r="W130" i="11"/>
  <c r="V130" i="11"/>
  <c r="U130" i="11"/>
  <c r="T130" i="11"/>
  <c r="W125" i="11"/>
  <c r="V125" i="11"/>
  <c r="U125" i="11"/>
  <c r="T125" i="11"/>
  <c r="S125" i="11"/>
  <c r="W121" i="11"/>
  <c r="V121" i="11"/>
  <c r="U121" i="11"/>
  <c r="T121" i="11"/>
  <c r="S121" i="11"/>
  <c r="W120" i="11"/>
  <c r="V120" i="11"/>
  <c r="U120" i="11"/>
  <c r="T120" i="11"/>
  <c r="S120" i="11"/>
  <c r="W119" i="11"/>
  <c r="V119" i="11"/>
  <c r="U119" i="11"/>
  <c r="AC119" i="11" s="1"/>
  <c r="T119" i="11"/>
  <c r="S119" i="11"/>
  <c r="W118" i="11"/>
  <c r="V118" i="11"/>
  <c r="U118" i="11"/>
  <c r="T118" i="11"/>
  <c r="S118" i="11"/>
  <c r="W117" i="11"/>
  <c r="V117" i="11"/>
  <c r="U117" i="11"/>
  <c r="T117" i="11"/>
  <c r="S117" i="11"/>
  <c r="W116" i="11"/>
  <c r="V116" i="11"/>
  <c r="U116" i="11"/>
  <c r="T116" i="11"/>
  <c r="S116" i="11"/>
  <c r="W115" i="11"/>
  <c r="V115" i="11"/>
  <c r="U115" i="11"/>
  <c r="T115" i="11"/>
  <c r="S115" i="11"/>
  <c r="W114" i="11"/>
  <c r="V114" i="11"/>
  <c r="U114" i="11"/>
  <c r="T114" i="11"/>
  <c r="S114" i="11"/>
  <c r="W113" i="11"/>
  <c r="V113" i="11"/>
  <c r="U113" i="11"/>
  <c r="T113" i="11"/>
  <c r="S113" i="11"/>
  <c r="W112" i="11"/>
  <c r="V112" i="11"/>
  <c r="U112" i="11"/>
  <c r="T112" i="11"/>
  <c r="S112" i="11"/>
  <c r="W111" i="11"/>
  <c r="V111" i="11"/>
  <c r="U111" i="11"/>
  <c r="T111" i="11"/>
  <c r="S111" i="11"/>
  <c r="W110" i="11"/>
  <c r="V110" i="11"/>
  <c r="U110" i="11"/>
  <c r="T110" i="11"/>
  <c r="S110" i="11"/>
  <c r="W109" i="11"/>
  <c r="V109" i="11"/>
  <c r="U109" i="11"/>
  <c r="AC109" i="11" s="1"/>
  <c r="T109" i="11"/>
  <c r="S109" i="11"/>
  <c r="W108" i="11"/>
  <c r="V108" i="11"/>
  <c r="U108" i="11"/>
  <c r="T108" i="11"/>
  <c r="S108" i="11"/>
  <c r="W107" i="11"/>
  <c r="V107" i="11"/>
  <c r="U107" i="11"/>
  <c r="T107" i="11"/>
  <c r="S107" i="11"/>
  <c r="W106" i="11"/>
  <c r="V106" i="11"/>
  <c r="U106" i="11"/>
  <c r="T106" i="11"/>
  <c r="S106" i="11"/>
  <c r="W105" i="11"/>
  <c r="V105" i="11"/>
  <c r="U105" i="11"/>
  <c r="T105" i="11"/>
  <c r="S105" i="11"/>
  <c r="W104" i="11"/>
  <c r="V104" i="11"/>
  <c r="U104" i="11"/>
  <c r="T104" i="11"/>
  <c r="S104" i="11"/>
  <c r="W103" i="11"/>
  <c r="V103" i="11"/>
  <c r="U103" i="11"/>
  <c r="T103" i="11"/>
  <c r="S103" i="11"/>
  <c r="W102" i="11"/>
  <c r="V102" i="11"/>
  <c r="U102" i="11"/>
  <c r="T102" i="11"/>
  <c r="S102" i="11"/>
  <c r="W101" i="11"/>
  <c r="V101" i="11"/>
  <c r="U101" i="11"/>
  <c r="T101" i="11"/>
  <c r="S101" i="11"/>
  <c r="W100" i="11"/>
  <c r="V100" i="11"/>
  <c r="U100" i="11"/>
  <c r="T100" i="11"/>
  <c r="S100" i="11"/>
  <c r="W99" i="11"/>
  <c r="V99" i="11"/>
  <c r="U99" i="11"/>
  <c r="T99" i="11"/>
  <c r="S99" i="11"/>
  <c r="W98" i="11"/>
  <c r="V98" i="11"/>
  <c r="U98" i="11"/>
  <c r="T98" i="11"/>
  <c r="S98" i="11"/>
  <c r="AE97" i="11"/>
  <c r="AD97" i="11"/>
  <c r="W97" i="11"/>
  <c r="V97" i="11"/>
  <c r="U97" i="11"/>
  <c r="T97" i="11"/>
  <c r="S97" i="11"/>
  <c r="W96" i="11"/>
  <c r="V96" i="11"/>
  <c r="U96" i="11"/>
  <c r="T96" i="11"/>
  <c r="S96" i="11"/>
  <c r="AE95" i="11"/>
  <c r="AD95" i="11"/>
  <c r="W95" i="11"/>
  <c r="V95" i="11"/>
  <c r="U95" i="11"/>
  <c r="AC95" i="11" s="1"/>
  <c r="T95" i="11"/>
  <c r="S95" i="11"/>
  <c r="W94" i="11"/>
  <c r="V94" i="11"/>
  <c r="U94" i="11"/>
  <c r="T94" i="11"/>
  <c r="S94" i="11"/>
  <c r="AE93" i="11"/>
  <c r="AD93" i="11"/>
  <c r="W93" i="11"/>
  <c r="V93" i="11"/>
  <c r="U93" i="11"/>
  <c r="AC93" i="11" s="1"/>
  <c r="T93" i="11"/>
  <c r="S93" i="11"/>
  <c r="W92" i="11"/>
  <c r="V92" i="11"/>
  <c r="U92" i="11"/>
  <c r="T92" i="11"/>
  <c r="S92" i="11"/>
  <c r="AE91" i="11"/>
  <c r="AD91" i="11"/>
  <c r="W91" i="11"/>
  <c r="V91" i="11"/>
  <c r="U91" i="11"/>
  <c r="AC91" i="11" s="1"/>
  <c r="T91" i="11"/>
  <c r="S91" i="11"/>
  <c r="W90" i="11"/>
  <c r="V90" i="11"/>
  <c r="U90" i="11"/>
  <c r="T90" i="11"/>
  <c r="S90" i="11"/>
  <c r="G131" i="11"/>
  <c r="F131" i="11"/>
  <c r="E131" i="11"/>
  <c r="D131" i="11"/>
  <c r="C131" i="11"/>
  <c r="G130" i="11"/>
  <c r="F130" i="11"/>
  <c r="E130" i="11"/>
  <c r="D130" i="11"/>
  <c r="C130" i="11"/>
  <c r="O97" i="11"/>
  <c r="O95" i="11"/>
  <c r="O93" i="11"/>
  <c r="O91" i="11"/>
  <c r="N97" i="11"/>
  <c r="N95" i="11"/>
  <c r="N93" i="11"/>
  <c r="N91" i="11"/>
  <c r="G125" i="11"/>
  <c r="F125" i="11"/>
  <c r="E125" i="11"/>
  <c r="D125" i="11"/>
  <c r="C125" i="11"/>
  <c r="G121" i="11"/>
  <c r="F121" i="11"/>
  <c r="E121" i="11"/>
  <c r="D121" i="11"/>
  <c r="C121" i="11"/>
  <c r="G120" i="11"/>
  <c r="F120" i="11"/>
  <c r="E120" i="11"/>
  <c r="D120" i="11"/>
  <c r="C120" i="11"/>
  <c r="G119" i="11"/>
  <c r="F119" i="11"/>
  <c r="E119" i="11"/>
  <c r="D119" i="11"/>
  <c r="C119" i="11"/>
  <c r="G118" i="11"/>
  <c r="F118" i="11"/>
  <c r="E118" i="11"/>
  <c r="D118" i="11"/>
  <c r="C118" i="11"/>
  <c r="G117" i="11"/>
  <c r="F117" i="11"/>
  <c r="E117" i="11"/>
  <c r="D117" i="11"/>
  <c r="C117" i="11"/>
  <c r="G116" i="11"/>
  <c r="F116" i="11"/>
  <c r="E116" i="11"/>
  <c r="D116" i="11"/>
  <c r="C116" i="11"/>
  <c r="G115" i="11"/>
  <c r="F115" i="11"/>
  <c r="E115" i="11"/>
  <c r="D115" i="11"/>
  <c r="C115" i="11"/>
  <c r="G114" i="11"/>
  <c r="F114" i="11"/>
  <c r="E114" i="11"/>
  <c r="D114" i="11"/>
  <c r="C114" i="11"/>
  <c r="G113" i="11"/>
  <c r="F113" i="11"/>
  <c r="E113" i="11"/>
  <c r="D113" i="11"/>
  <c r="C113" i="11"/>
  <c r="G112" i="11"/>
  <c r="F112" i="11"/>
  <c r="E112" i="11"/>
  <c r="D112" i="11"/>
  <c r="C112" i="11"/>
  <c r="G111" i="11"/>
  <c r="F111" i="11"/>
  <c r="E111" i="11"/>
  <c r="D111" i="11"/>
  <c r="C111" i="11"/>
  <c r="G110" i="11"/>
  <c r="F110" i="11"/>
  <c r="E110" i="11"/>
  <c r="D110" i="11"/>
  <c r="C110" i="11"/>
  <c r="G109" i="11"/>
  <c r="F109" i="11"/>
  <c r="E109" i="11"/>
  <c r="D109" i="11"/>
  <c r="C109" i="11"/>
  <c r="G108" i="11"/>
  <c r="F108" i="11"/>
  <c r="E108" i="11"/>
  <c r="D108" i="11"/>
  <c r="C108" i="11"/>
  <c r="G107" i="11"/>
  <c r="F107" i="11"/>
  <c r="E107" i="11"/>
  <c r="D107" i="11"/>
  <c r="C107" i="11"/>
  <c r="G106" i="11"/>
  <c r="F106" i="11"/>
  <c r="E106" i="11"/>
  <c r="D106" i="11"/>
  <c r="C106" i="11"/>
  <c r="G105" i="11"/>
  <c r="F105" i="11"/>
  <c r="E105" i="11"/>
  <c r="D105" i="11"/>
  <c r="C105" i="11"/>
  <c r="G104" i="11"/>
  <c r="F104" i="11"/>
  <c r="E104" i="11"/>
  <c r="D104" i="11"/>
  <c r="C104" i="11"/>
  <c r="G103" i="11"/>
  <c r="F103" i="11"/>
  <c r="E103" i="11"/>
  <c r="D103" i="11"/>
  <c r="C103" i="11"/>
  <c r="G102" i="11"/>
  <c r="F102" i="11"/>
  <c r="E102" i="11"/>
  <c r="D102" i="11"/>
  <c r="C102" i="11"/>
  <c r="G101" i="11"/>
  <c r="F101" i="11"/>
  <c r="E101" i="11"/>
  <c r="D101" i="11"/>
  <c r="C101" i="11"/>
  <c r="G100" i="11"/>
  <c r="F100" i="11"/>
  <c r="E100" i="11"/>
  <c r="D100" i="11"/>
  <c r="C100" i="11"/>
  <c r="G99" i="11"/>
  <c r="F99" i="11"/>
  <c r="E99" i="11"/>
  <c r="D99" i="11"/>
  <c r="C99" i="11"/>
  <c r="G98" i="11"/>
  <c r="F98" i="11"/>
  <c r="E98" i="11"/>
  <c r="D98" i="11"/>
  <c r="C98" i="11"/>
  <c r="G97" i="11"/>
  <c r="F97" i="11"/>
  <c r="E97" i="11"/>
  <c r="D97" i="11"/>
  <c r="C97" i="11"/>
  <c r="G96" i="11"/>
  <c r="F96" i="11"/>
  <c r="E96" i="11"/>
  <c r="D96" i="11"/>
  <c r="C96" i="11"/>
  <c r="G95" i="11"/>
  <c r="F95" i="11"/>
  <c r="E95" i="11"/>
  <c r="D95" i="11"/>
  <c r="C95" i="11"/>
  <c r="G94" i="11"/>
  <c r="F94" i="11"/>
  <c r="E94" i="11"/>
  <c r="D94" i="11"/>
  <c r="C94" i="11"/>
  <c r="G93" i="11"/>
  <c r="F93" i="11"/>
  <c r="E93" i="11"/>
  <c r="D93" i="11"/>
  <c r="C93" i="11"/>
  <c r="G92" i="11"/>
  <c r="F92" i="11"/>
  <c r="E92" i="11"/>
  <c r="D92" i="11"/>
  <c r="C92" i="11"/>
  <c r="G91" i="11"/>
  <c r="F91" i="11"/>
  <c r="E91" i="11"/>
  <c r="D91" i="11"/>
  <c r="C91" i="11"/>
  <c r="G90" i="11"/>
  <c r="F90" i="11"/>
  <c r="E90" i="11"/>
  <c r="D90" i="11"/>
  <c r="C90" i="11"/>
  <c r="F47" i="11"/>
  <c r="F46" i="11"/>
  <c r="C47" i="11"/>
  <c r="C46" i="11"/>
  <c r="F39" i="11"/>
  <c r="F38" i="11"/>
  <c r="C39" i="11"/>
  <c r="C38" i="11"/>
  <c r="D47" i="11"/>
  <c r="D46" i="11"/>
  <c r="F31" i="11"/>
  <c r="F28" i="11"/>
  <c r="F27" i="11"/>
  <c r="F25" i="11"/>
  <c r="D31" i="11"/>
  <c r="D29" i="11"/>
  <c r="D28" i="11"/>
  <c r="D27" i="11"/>
  <c r="D25" i="11"/>
  <c r="E17" i="14" l="1"/>
  <c r="F37" i="11"/>
  <c r="E47" i="11"/>
  <c r="C45" i="11"/>
  <c r="E45" i="11" s="1"/>
  <c r="E46" i="11"/>
  <c r="G47" i="11"/>
  <c r="G46" i="11"/>
  <c r="F45" i="11"/>
  <c r="C10" i="11"/>
  <c r="D10" i="11"/>
  <c r="F10" i="11"/>
  <c r="E10" i="11"/>
  <c r="AH99" i="11"/>
  <c r="AH93" i="11"/>
  <c r="AH101" i="11"/>
  <c r="AH109" i="11"/>
  <c r="AH117" i="11"/>
  <c r="AH92" i="11"/>
  <c r="AH100" i="11"/>
  <c r="AH108" i="11"/>
  <c r="AH116" i="11"/>
  <c r="AH107" i="11"/>
  <c r="AH98" i="11"/>
  <c r="AH106" i="11"/>
  <c r="AH114" i="11"/>
  <c r="AH125" i="11"/>
  <c r="AH115" i="11"/>
  <c r="AH97" i="11"/>
  <c r="AH105" i="11"/>
  <c r="AH113" i="11"/>
  <c r="AH121" i="11"/>
  <c r="AH90" i="11"/>
  <c r="AH96" i="11"/>
  <c r="AH104" i="11"/>
  <c r="AH112" i="11"/>
  <c r="AH120" i="11"/>
  <c r="AH95" i="11"/>
  <c r="AH103" i="11"/>
  <c r="AH111" i="11"/>
  <c r="AH119" i="11"/>
  <c r="AH91" i="11"/>
  <c r="AH94" i="11"/>
  <c r="AH102" i="11"/>
  <c r="AH110" i="11"/>
  <c r="AH118" i="11"/>
  <c r="K137" i="11"/>
  <c r="G137" i="11"/>
  <c r="J137" i="11"/>
  <c r="F137" i="11"/>
  <c r="I137" i="11"/>
  <c r="E137" i="11"/>
  <c r="L137" i="11"/>
  <c r="H137" i="11"/>
  <c r="D137" i="11"/>
  <c r="L136" i="11"/>
  <c r="H136" i="11"/>
  <c r="K136" i="11"/>
  <c r="G136" i="11"/>
  <c r="J136" i="11"/>
  <c r="F136" i="11"/>
  <c r="I136" i="11"/>
  <c r="E136" i="11"/>
  <c r="D136" i="11"/>
  <c r="F144" i="11"/>
  <c r="E144" i="11"/>
  <c r="L144" i="11"/>
  <c r="D144" i="11"/>
  <c r="K144" i="11"/>
  <c r="J144" i="11"/>
  <c r="I144" i="11"/>
  <c r="H144" i="11"/>
  <c r="G144" i="11"/>
  <c r="J145" i="11"/>
  <c r="I145" i="11"/>
  <c r="G145" i="11"/>
  <c r="L145" i="11"/>
  <c r="F145" i="11"/>
  <c r="E145" i="11"/>
  <c r="D145" i="11"/>
  <c r="H145" i="11"/>
  <c r="K145" i="11"/>
  <c r="AC120" i="11"/>
  <c r="AC116" i="11"/>
  <c r="AC103" i="11"/>
  <c r="AC112" i="11"/>
  <c r="AC111" i="11"/>
  <c r="AC108" i="11"/>
  <c r="M131" i="11"/>
  <c r="AC101" i="11"/>
  <c r="AC98" i="11"/>
  <c r="AC100" i="11"/>
  <c r="AC96" i="11"/>
  <c r="AC125" i="11"/>
  <c r="AC104" i="11"/>
  <c r="AC114" i="11"/>
  <c r="AC92" i="11"/>
  <c r="AC106" i="11"/>
  <c r="AC115" i="11"/>
  <c r="AC117" i="11"/>
  <c r="AC131" i="11"/>
  <c r="AC130" i="11"/>
  <c r="AC94" i="11"/>
  <c r="AC102" i="11"/>
  <c r="AC110" i="11"/>
  <c r="AC118" i="11"/>
  <c r="AC113" i="11"/>
  <c r="AC121" i="11"/>
  <c r="AC107" i="11"/>
  <c r="AC97" i="11"/>
  <c r="AC99" i="11"/>
  <c r="AC105" i="11"/>
  <c r="AC90" i="11"/>
  <c r="M130" i="11"/>
  <c r="M104" i="11"/>
  <c r="M112" i="11"/>
  <c r="M120" i="11"/>
  <c r="M90" i="11"/>
  <c r="M98" i="11"/>
  <c r="M106" i="11"/>
  <c r="M114" i="11"/>
  <c r="M125" i="11"/>
  <c r="M93" i="11"/>
  <c r="M101" i="11"/>
  <c r="M100" i="11"/>
  <c r="M108" i="11"/>
  <c r="M116" i="11"/>
  <c r="M109" i="11"/>
  <c r="M117" i="11"/>
  <c r="M96" i="11"/>
  <c r="M92" i="11"/>
  <c r="M94" i="11"/>
  <c r="M102" i="11"/>
  <c r="M110" i="11"/>
  <c r="M118" i="11"/>
  <c r="M95" i="11"/>
  <c r="M103" i="11"/>
  <c r="M111" i="11"/>
  <c r="M119" i="11"/>
  <c r="M97" i="11"/>
  <c r="M105" i="11"/>
  <c r="M113" i="11"/>
  <c r="M121" i="11"/>
  <c r="M91" i="11"/>
  <c r="M99" i="11"/>
  <c r="M107" i="11"/>
  <c r="M115" i="11"/>
  <c r="C37" i="11"/>
  <c r="G39" i="11"/>
  <c r="E39" i="11"/>
  <c r="E38" i="11"/>
  <c r="G29" i="11"/>
  <c r="G27" i="11"/>
  <c r="G31" i="11"/>
  <c r="G28" i="11"/>
  <c r="G30" i="11"/>
  <c r="G26" i="11"/>
  <c r="G25" i="11"/>
  <c r="G45" i="11" l="1"/>
  <c r="C12" i="11"/>
  <c r="E37" i="11"/>
  <c r="M145" i="11" l="1"/>
  <c r="M137" i="11"/>
  <c r="S43" i="34"/>
  <c r="AA43" i="34" s="1"/>
  <c r="D43" i="34"/>
  <c r="S39" i="34"/>
  <c r="D39" i="34"/>
  <c r="S38" i="34"/>
  <c r="AB38" i="34" s="1"/>
  <c r="D38" i="34"/>
  <c r="L38" i="34" s="1"/>
  <c r="S37" i="34"/>
  <c r="D37" i="34"/>
  <c r="S36" i="34"/>
  <c r="D36" i="34"/>
  <c r="S35" i="34"/>
  <c r="AA35" i="34" s="1"/>
  <c r="D35" i="34"/>
  <c r="L35" i="34" s="1"/>
  <c r="S34" i="34"/>
  <c r="AA34" i="34" s="1"/>
  <c r="D34" i="34"/>
  <c r="S33" i="34"/>
  <c r="D33" i="34"/>
  <c r="M33" i="34" s="1"/>
  <c r="S32" i="34"/>
  <c r="AA32" i="34" s="1"/>
  <c r="D32" i="34"/>
  <c r="S31" i="34"/>
  <c r="D31" i="34"/>
  <c r="S30" i="34"/>
  <c r="AB30" i="34" s="1"/>
  <c r="D30" i="34"/>
  <c r="L30" i="34" s="1"/>
  <c r="S29" i="34"/>
  <c r="D29" i="34"/>
  <c r="S28" i="34"/>
  <c r="D28" i="34"/>
  <c r="S27" i="34"/>
  <c r="AA27" i="34" s="1"/>
  <c r="D27" i="34"/>
  <c r="S26" i="34"/>
  <c r="D26" i="34"/>
  <c r="S25" i="34"/>
  <c r="D25" i="34"/>
  <c r="M25" i="34" s="1"/>
  <c r="S24" i="34"/>
  <c r="D24" i="34"/>
  <c r="S23" i="34"/>
  <c r="AA23" i="34" s="1"/>
  <c r="D23" i="34"/>
  <c r="S22" i="34"/>
  <c r="D22" i="34"/>
  <c r="S21" i="34"/>
  <c r="D21" i="34"/>
  <c r="M21" i="34" s="1"/>
  <c r="S20" i="34"/>
  <c r="T20" i="34" s="1"/>
  <c r="D20" i="34"/>
  <c r="S19" i="34"/>
  <c r="D19" i="34"/>
  <c r="S18" i="34"/>
  <c r="AA18" i="34" s="1"/>
  <c r="D18" i="34"/>
  <c r="L18" i="34" s="1"/>
  <c r="S17" i="34"/>
  <c r="D17" i="34"/>
  <c r="M17" i="34" s="1"/>
  <c r="S16" i="34"/>
  <c r="D16" i="34"/>
  <c r="S15" i="34"/>
  <c r="AA15" i="34" s="1"/>
  <c r="D15" i="34"/>
  <c r="P15" i="34" s="1"/>
  <c r="S14" i="34"/>
  <c r="D14" i="34"/>
  <c r="S13" i="34"/>
  <c r="AD13" i="34" s="1"/>
  <c r="D13" i="34"/>
  <c r="O13" i="34" s="1"/>
  <c r="S12" i="34"/>
  <c r="Y12" i="34" s="1"/>
  <c r="D12" i="34"/>
  <c r="L12" i="34" s="1"/>
  <c r="S11" i="34"/>
  <c r="AE11" i="34" s="1"/>
  <c r="D11" i="34"/>
  <c r="O11" i="34" s="1"/>
  <c r="S10" i="34"/>
  <c r="AA10" i="34" s="1"/>
  <c r="D10" i="34"/>
  <c r="L10" i="34" s="1"/>
  <c r="S9" i="34"/>
  <c r="AG9" i="34" s="1"/>
  <c r="D9" i="34"/>
  <c r="Q9" i="34" s="1"/>
  <c r="C145" i="11" l="1"/>
  <c r="C137" i="11"/>
  <c r="AH33" i="34"/>
  <c r="AH34" i="34"/>
  <c r="AB31" i="34"/>
  <c r="U16" i="34"/>
  <c r="X12" i="34"/>
  <c r="Z38" i="34"/>
  <c r="AB13" i="34"/>
  <c r="AB24" i="34"/>
  <c r="Y22" i="34"/>
  <c r="U30" i="34"/>
  <c r="AA12" i="34"/>
  <c r="V14" i="34"/>
  <c r="T19" i="34"/>
  <c r="U27" i="34"/>
  <c r="T29" i="34"/>
  <c r="W32" i="34"/>
  <c r="W14" i="34"/>
  <c r="T16" i="34"/>
  <c r="U19" i="34"/>
  <c r="T25" i="34"/>
  <c r="X29" i="34"/>
  <c r="Z19" i="34"/>
  <c r="W16" i="34"/>
  <c r="Y31" i="34"/>
  <c r="Y15" i="34"/>
  <c r="Z9" i="34"/>
  <c r="AF11" i="34"/>
  <c r="AB12" i="34"/>
  <c r="U14" i="34"/>
  <c r="AC15" i="34"/>
  <c r="AB16" i="34"/>
  <c r="W24" i="34"/>
  <c r="T27" i="34"/>
  <c r="V29" i="34"/>
  <c r="AG15" i="34"/>
  <c r="T15" i="34"/>
  <c r="V18" i="34"/>
  <c r="W27" i="34"/>
  <c r="U34" i="34"/>
  <c r="V10" i="34"/>
  <c r="Z14" i="34"/>
  <c r="U15" i="34"/>
  <c r="Z18" i="34"/>
  <c r="X19" i="34"/>
  <c r="U22" i="34"/>
  <c r="Z26" i="34"/>
  <c r="X27" i="34"/>
  <c r="W38" i="34"/>
  <c r="W12" i="34"/>
  <c r="X15" i="34"/>
  <c r="Y19" i="34"/>
  <c r="V22" i="34"/>
  <c r="Y27" i="34"/>
  <c r="X38" i="34"/>
  <c r="Z12" i="34"/>
  <c r="Z15" i="34"/>
  <c r="AA17" i="34"/>
  <c r="V21" i="34"/>
  <c r="Z22" i="34"/>
  <c r="W33" i="34"/>
  <c r="U35" i="34"/>
  <c r="Z37" i="34"/>
  <c r="AB15" i="34"/>
  <c r="T24" i="34"/>
  <c r="AB37" i="34"/>
  <c r="W10" i="34"/>
  <c r="AG11" i="34"/>
  <c r="T23" i="34"/>
  <c r="X33" i="34"/>
  <c r="V35" i="34"/>
  <c r="X39" i="34"/>
  <c r="Y33" i="34"/>
  <c r="W35" i="34"/>
  <c r="Z39" i="34"/>
  <c r="X10" i="34"/>
  <c r="U23" i="34"/>
  <c r="Y10" i="34"/>
  <c r="AB19" i="34"/>
  <c r="X23" i="34"/>
  <c r="T26" i="34"/>
  <c r="Z27" i="34"/>
  <c r="Z29" i="34"/>
  <c r="W30" i="34"/>
  <c r="T31" i="34"/>
  <c r="Z33" i="34"/>
  <c r="X35" i="34"/>
  <c r="T37" i="34"/>
  <c r="U38" i="34"/>
  <c r="Z10" i="34"/>
  <c r="Y23" i="34"/>
  <c r="U26" i="34"/>
  <c r="AB27" i="34"/>
  <c r="AB29" i="34"/>
  <c r="Y30" i="34"/>
  <c r="V31" i="34"/>
  <c r="Y35" i="34"/>
  <c r="V37" i="34"/>
  <c r="V38" i="34"/>
  <c r="AB10" i="34"/>
  <c r="Z23" i="34"/>
  <c r="Y26" i="34"/>
  <c r="X31" i="34"/>
  <c r="Z35" i="34"/>
  <c r="T10" i="34"/>
  <c r="X11" i="34"/>
  <c r="AB23" i="34"/>
  <c r="AB35" i="34"/>
  <c r="U10" i="34"/>
  <c r="Y11" i="34"/>
  <c r="AA13" i="34"/>
  <c r="Y14" i="34"/>
  <c r="AF15" i="34"/>
  <c r="X16" i="34"/>
  <c r="Z17" i="34"/>
  <c r="V19" i="34"/>
  <c r="W21" i="34"/>
  <c r="W22" i="34"/>
  <c r="X24" i="34"/>
  <c r="AB25" i="34"/>
  <c r="AA26" i="34"/>
  <c r="V27" i="34"/>
  <c r="Z31" i="34"/>
  <c r="U32" i="34"/>
  <c r="V33" i="34"/>
  <c r="T35" i="34"/>
  <c r="AA36" i="34"/>
  <c r="Y38" i="34"/>
  <c r="AH37" i="34"/>
  <c r="M19" i="34"/>
  <c r="H29" i="34"/>
  <c r="E28" i="34"/>
  <c r="F29" i="34"/>
  <c r="I10" i="34"/>
  <c r="E10" i="34"/>
  <c r="AH27" i="34"/>
  <c r="F10" i="34"/>
  <c r="H24" i="34"/>
  <c r="AL24" i="34" s="1"/>
  <c r="K34" i="34"/>
  <c r="J25" i="34"/>
  <c r="G28" i="34"/>
  <c r="AK28" i="34" s="1"/>
  <c r="AH25" i="34"/>
  <c r="H17" i="34"/>
  <c r="I28" i="34"/>
  <c r="E19" i="34"/>
  <c r="M28" i="34"/>
  <c r="J22" i="34"/>
  <c r="I34" i="34"/>
  <c r="I17" i="34"/>
  <c r="F30" i="34"/>
  <c r="J31" i="34"/>
  <c r="G30" i="34"/>
  <c r="E18" i="34"/>
  <c r="F19" i="34"/>
  <c r="K25" i="34"/>
  <c r="H30" i="34"/>
  <c r="J34" i="34"/>
  <c r="H36" i="34"/>
  <c r="G38" i="34"/>
  <c r="AK38" i="34" s="1"/>
  <c r="F13" i="34"/>
  <c r="G10" i="34"/>
  <c r="G13" i="34"/>
  <c r="F18" i="34"/>
  <c r="K30" i="34"/>
  <c r="I36" i="34"/>
  <c r="J38" i="34"/>
  <c r="I18" i="34"/>
  <c r="I22" i="34"/>
  <c r="J36" i="34"/>
  <c r="K38" i="34"/>
  <c r="AO38" i="34" s="1"/>
  <c r="K18" i="34"/>
  <c r="M10" i="34"/>
  <c r="H15" i="34"/>
  <c r="I15" i="34"/>
  <c r="G17" i="34"/>
  <c r="M18" i="34"/>
  <c r="G24" i="34"/>
  <c r="K28" i="34"/>
  <c r="M38" i="34"/>
  <c r="AQ38" i="34" s="1"/>
  <c r="H11" i="34"/>
  <c r="E14" i="34"/>
  <c r="R9" i="34"/>
  <c r="H10" i="34"/>
  <c r="I11" i="34"/>
  <c r="N13" i="34"/>
  <c r="F14" i="34"/>
  <c r="J15" i="34"/>
  <c r="J17" i="34"/>
  <c r="J18" i="34"/>
  <c r="H19" i="34"/>
  <c r="F21" i="34"/>
  <c r="K22" i="34"/>
  <c r="F26" i="34"/>
  <c r="AJ26" i="34" s="1"/>
  <c r="K29" i="34"/>
  <c r="I30" i="34"/>
  <c r="G32" i="34"/>
  <c r="M34" i="34"/>
  <c r="AQ34" i="34" s="1"/>
  <c r="F35" i="34"/>
  <c r="K36" i="34"/>
  <c r="E38" i="34"/>
  <c r="E32" i="34"/>
  <c r="K11" i="34"/>
  <c r="G14" i="34"/>
  <c r="L15" i="34"/>
  <c r="K17" i="34"/>
  <c r="I19" i="34"/>
  <c r="G21" i="34"/>
  <c r="M22" i="34"/>
  <c r="G26" i="34"/>
  <c r="J30" i="34"/>
  <c r="K32" i="34"/>
  <c r="AO32" i="34" s="1"/>
  <c r="H35" i="34"/>
  <c r="F38" i="34"/>
  <c r="H14" i="34"/>
  <c r="I26" i="34"/>
  <c r="M32" i="34"/>
  <c r="P11" i="34"/>
  <c r="E22" i="34"/>
  <c r="F25" i="34"/>
  <c r="K26" i="34"/>
  <c r="M30" i="34"/>
  <c r="F33" i="34"/>
  <c r="H38" i="34"/>
  <c r="AL38" i="34" s="1"/>
  <c r="J39" i="34"/>
  <c r="K43" i="34"/>
  <c r="J9" i="34"/>
  <c r="M15" i="34"/>
  <c r="Q11" i="34"/>
  <c r="I14" i="34"/>
  <c r="J14" i="34"/>
  <c r="F17" i="34"/>
  <c r="F22" i="34"/>
  <c r="G25" i="34"/>
  <c r="L26" i="34"/>
  <c r="H28" i="34"/>
  <c r="E30" i="34"/>
  <c r="H33" i="34"/>
  <c r="AL33" i="34" s="1"/>
  <c r="E34" i="34"/>
  <c r="G36" i="34"/>
  <c r="I38" i="34"/>
  <c r="M14" i="34"/>
  <c r="G22" i="34"/>
  <c r="H25" i="34"/>
  <c r="AL25" i="34" s="1"/>
  <c r="J33" i="34"/>
  <c r="K9" i="34"/>
  <c r="AA9" i="34"/>
  <c r="M12" i="34"/>
  <c r="E12" i="34"/>
  <c r="F16" i="34"/>
  <c r="K16" i="34"/>
  <c r="J16" i="34"/>
  <c r="I16" i="34"/>
  <c r="K27" i="34"/>
  <c r="J27" i="34"/>
  <c r="I27" i="34"/>
  <c r="H27" i="34"/>
  <c r="G27" i="34"/>
  <c r="F27" i="34"/>
  <c r="E27" i="34"/>
  <c r="V28" i="34"/>
  <c r="AB28" i="34"/>
  <c r="T28" i="34"/>
  <c r="Z28" i="34"/>
  <c r="AA28" i="34"/>
  <c r="Y28" i="34"/>
  <c r="X28" i="34"/>
  <c r="W28" i="34"/>
  <c r="U28" i="34"/>
  <c r="Z20" i="34"/>
  <c r="X20" i="34"/>
  <c r="W20" i="34"/>
  <c r="V20" i="34"/>
  <c r="U20" i="34"/>
  <c r="L9" i="34"/>
  <c r="T9" i="34"/>
  <c r="AB9" i="34"/>
  <c r="J11" i="34"/>
  <c r="R11" i="34"/>
  <c r="Z11" i="34"/>
  <c r="F12" i="34"/>
  <c r="M13" i="34"/>
  <c r="E13" i="34"/>
  <c r="Q13" i="34"/>
  <c r="I13" i="34"/>
  <c r="P13" i="34"/>
  <c r="H13" i="34"/>
  <c r="R13" i="34"/>
  <c r="E16" i="34"/>
  <c r="Y20" i="34"/>
  <c r="K23" i="34"/>
  <c r="J23" i="34"/>
  <c r="I23" i="34"/>
  <c r="H23" i="34"/>
  <c r="G23" i="34"/>
  <c r="F23" i="34"/>
  <c r="L27" i="34"/>
  <c r="AP27" i="34" s="1"/>
  <c r="E9" i="34"/>
  <c r="M9" i="34"/>
  <c r="U9" i="34"/>
  <c r="AC9" i="34"/>
  <c r="AA11" i="34"/>
  <c r="G12" i="34"/>
  <c r="AC13" i="34"/>
  <c r="U13" i="34"/>
  <c r="AG13" i="34"/>
  <c r="Y13" i="34"/>
  <c r="AF13" i="34"/>
  <c r="X13" i="34"/>
  <c r="AE13" i="34"/>
  <c r="G16" i="34"/>
  <c r="J20" i="34"/>
  <c r="H20" i="34"/>
  <c r="G20" i="34"/>
  <c r="F20" i="34"/>
  <c r="M20" i="34"/>
  <c r="E20" i="34"/>
  <c r="AA20" i="34"/>
  <c r="E23" i="34"/>
  <c r="M27" i="34"/>
  <c r="F9" i="34"/>
  <c r="N9" i="34"/>
  <c r="V9" i="34"/>
  <c r="AD9" i="34"/>
  <c r="L11" i="34"/>
  <c r="T11" i="34"/>
  <c r="AB11" i="34"/>
  <c r="H12" i="34"/>
  <c r="T13" i="34"/>
  <c r="H16" i="34"/>
  <c r="Y17" i="34"/>
  <c r="V17" i="34"/>
  <c r="U17" i="34"/>
  <c r="AB17" i="34"/>
  <c r="T17" i="34"/>
  <c r="I20" i="34"/>
  <c r="AB20" i="34"/>
  <c r="L23" i="34"/>
  <c r="G9" i="34"/>
  <c r="O9" i="34"/>
  <c r="W9" i="34"/>
  <c r="AE9" i="34"/>
  <c r="J10" i="34"/>
  <c r="E11" i="34"/>
  <c r="M11" i="34"/>
  <c r="U11" i="34"/>
  <c r="AC11" i="34"/>
  <c r="I12" i="34"/>
  <c r="V12" i="34"/>
  <c r="U12" i="34"/>
  <c r="J13" i="34"/>
  <c r="V13" i="34"/>
  <c r="K15" i="34"/>
  <c r="O15" i="34"/>
  <c r="G15" i="34"/>
  <c r="N15" i="34"/>
  <c r="F15" i="34"/>
  <c r="Q15" i="34"/>
  <c r="L16" i="34"/>
  <c r="W17" i="34"/>
  <c r="AB18" i="34"/>
  <c r="T18" i="34"/>
  <c r="Y18" i="34"/>
  <c r="X18" i="34"/>
  <c r="W18" i="34"/>
  <c r="K20" i="34"/>
  <c r="M23" i="34"/>
  <c r="H9" i="34"/>
  <c r="P9" i="34"/>
  <c r="X9" i="34"/>
  <c r="AF9" i="34"/>
  <c r="K10" i="34"/>
  <c r="F11" i="34"/>
  <c r="N11" i="34"/>
  <c r="V11" i="34"/>
  <c r="AD11" i="34"/>
  <c r="J12" i="34"/>
  <c r="T12" i="34"/>
  <c r="K13" i="34"/>
  <c r="W13" i="34"/>
  <c r="E15" i="34"/>
  <c r="R15" i="34"/>
  <c r="M16" i="34"/>
  <c r="X17" i="34"/>
  <c r="U18" i="34"/>
  <c r="L20" i="34"/>
  <c r="I9" i="34"/>
  <c r="Y9" i="34"/>
  <c r="G11" i="34"/>
  <c r="W11" i="34"/>
  <c r="K12" i="34"/>
  <c r="L13" i="34"/>
  <c r="Z13" i="34"/>
  <c r="U25" i="34"/>
  <c r="AJ25" i="34" s="1"/>
  <c r="AA25" i="34"/>
  <c r="Z25" i="34"/>
  <c r="Y25" i="34"/>
  <c r="X25" i="34"/>
  <c r="W25" i="34"/>
  <c r="V25" i="34"/>
  <c r="L29" i="34"/>
  <c r="L31" i="34"/>
  <c r="AP31" i="34" s="1"/>
  <c r="K14" i="34"/>
  <c r="AA14" i="34"/>
  <c r="V15" i="34"/>
  <c r="AD15" i="34"/>
  <c r="Y16" i="34"/>
  <c r="L17" i="34"/>
  <c r="G18" i="34"/>
  <c r="J19" i="34"/>
  <c r="H21" i="34"/>
  <c r="X21" i="34"/>
  <c r="AA22" i="34"/>
  <c r="V23" i="34"/>
  <c r="I24" i="34"/>
  <c r="Y24" i="34"/>
  <c r="L25" i="34"/>
  <c r="H26" i="34"/>
  <c r="M26" i="34"/>
  <c r="V26" i="34"/>
  <c r="AK26" i="34" s="1"/>
  <c r="J37" i="34"/>
  <c r="I37" i="34"/>
  <c r="H37" i="34"/>
  <c r="G37" i="34"/>
  <c r="M37" i="34"/>
  <c r="AQ37" i="34" s="1"/>
  <c r="E37" i="34"/>
  <c r="AI37" i="34" s="1"/>
  <c r="K37" i="34"/>
  <c r="AO37" i="34" s="1"/>
  <c r="L14" i="34"/>
  <c r="T14" i="34"/>
  <c r="AB14" i="34"/>
  <c r="W15" i="34"/>
  <c r="AE15" i="34"/>
  <c r="Z16" i="34"/>
  <c r="E17" i="34"/>
  <c r="H18" i="34"/>
  <c r="K19" i="34"/>
  <c r="AA19" i="34"/>
  <c r="I21" i="34"/>
  <c r="Y21" i="34"/>
  <c r="L22" i="34"/>
  <c r="T22" i="34"/>
  <c r="AB22" i="34"/>
  <c r="W23" i="34"/>
  <c r="J24" i="34"/>
  <c r="Z24" i="34"/>
  <c r="AO24" i="34" s="1"/>
  <c r="E25" i="34"/>
  <c r="E26" i="34"/>
  <c r="W26" i="34"/>
  <c r="F37" i="34"/>
  <c r="AA16" i="34"/>
  <c r="L19" i="34"/>
  <c r="J21" i="34"/>
  <c r="Z21" i="34"/>
  <c r="K24" i="34"/>
  <c r="AA24" i="34"/>
  <c r="I29" i="34"/>
  <c r="G29" i="34"/>
  <c r="M29" i="34"/>
  <c r="AQ29" i="34" s="1"/>
  <c r="E29" i="34"/>
  <c r="AI29" i="34" s="1"/>
  <c r="L37" i="34"/>
  <c r="K21" i="34"/>
  <c r="AA21" i="34"/>
  <c r="L24" i="34"/>
  <c r="L21" i="34"/>
  <c r="T21" i="34"/>
  <c r="AB21" i="34"/>
  <c r="E24" i="34"/>
  <c r="AI24" i="34" s="1"/>
  <c r="M24" i="34"/>
  <c r="AQ24" i="34" s="1"/>
  <c r="U24" i="34"/>
  <c r="G31" i="34"/>
  <c r="F31" i="34"/>
  <c r="M31" i="34"/>
  <c r="E31" i="34"/>
  <c r="K31" i="34"/>
  <c r="AO31" i="34" s="1"/>
  <c r="I31" i="34"/>
  <c r="W36" i="34"/>
  <c r="AL36" i="34" s="1"/>
  <c r="V36" i="34"/>
  <c r="U36" i="34"/>
  <c r="AB36" i="34"/>
  <c r="T36" i="34"/>
  <c r="Z36" i="34"/>
  <c r="X36" i="34"/>
  <c r="X14" i="34"/>
  <c r="V16" i="34"/>
  <c r="G19" i="34"/>
  <c r="W19" i="34"/>
  <c r="E21" i="34"/>
  <c r="U21" i="34"/>
  <c r="H22" i="34"/>
  <c r="X22" i="34"/>
  <c r="F24" i="34"/>
  <c r="V24" i="34"/>
  <c r="I25" i="34"/>
  <c r="J26" i="34"/>
  <c r="X26" i="34"/>
  <c r="AB26" i="34"/>
  <c r="J29" i="34"/>
  <c r="H31" i="34"/>
  <c r="Y34" i="34"/>
  <c r="AN34" i="34" s="1"/>
  <c r="X34" i="34"/>
  <c r="W34" i="34"/>
  <c r="V34" i="34"/>
  <c r="AB34" i="34"/>
  <c r="T34" i="34"/>
  <c r="Z34" i="34"/>
  <c r="Y36" i="34"/>
  <c r="AA29" i="34"/>
  <c r="V30" i="34"/>
  <c r="L32" i="34"/>
  <c r="AP32" i="34" s="1"/>
  <c r="T32" i="34"/>
  <c r="AB32" i="34"/>
  <c r="G33" i="34"/>
  <c r="E35" i="34"/>
  <c r="M35" i="34"/>
  <c r="AQ35" i="34" s="1"/>
  <c r="AA37" i="34"/>
  <c r="I39" i="34"/>
  <c r="AM39" i="34" s="1"/>
  <c r="Y39" i="34"/>
  <c r="L43" i="34"/>
  <c r="T43" i="34"/>
  <c r="AB43" i="34"/>
  <c r="E43" i="34"/>
  <c r="M43" i="34"/>
  <c r="U43" i="34"/>
  <c r="J28" i="34"/>
  <c r="U29" i="34"/>
  <c r="AJ29" i="34" s="1"/>
  <c r="X30" i="34"/>
  <c r="AM30" i="34" s="1"/>
  <c r="AA31" i="34"/>
  <c r="F32" i="34"/>
  <c r="V32" i="34"/>
  <c r="AK32" i="34" s="1"/>
  <c r="I33" i="34"/>
  <c r="AM33" i="34" s="1"/>
  <c r="L34" i="34"/>
  <c r="AP34" i="34" s="1"/>
  <c r="G35" i="34"/>
  <c r="AK35" i="34" s="1"/>
  <c r="U37" i="34"/>
  <c r="K39" i="34"/>
  <c r="AA39" i="34"/>
  <c r="F43" i="34"/>
  <c r="V43" i="34"/>
  <c r="L39" i="34"/>
  <c r="AP39" i="34" s="1"/>
  <c r="T39" i="34"/>
  <c r="AB39" i="34"/>
  <c r="G43" i="34"/>
  <c r="W43" i="34"/>
  <c r="L28" i="34"/>
  <c r="W29" i="34"/>
  <c r="Z30" i="34"/>
  <c r="AO30" i="34" s="1"/>
  <c r="U31" i="34"/>
  <c r="H32" i="34"/>
  <c r="AL32" i="34" s="1"/>
  <c r="X32" i="34"/>
  <c r="K33" i="34"/>
  <c r="AO33" i="34" s="1"/>
  <c r="AA33" i="34"/>
  <c r="F34" i="34"/>
  <c r="I35" i="34"/>
  <c r="AM35" i="34" s="1"/>
  <c r="L36" i="34"/>
  <c r="W37" i="34"/>
  <c r="E39" i="34"/>
  <c r="M39" i="34"/>
  <c r="U39" i="34"/>
  <c r="H43" i="34"/>
  <c r="X43" i="34"/>
  <c r="AA30" i="34"/>
  <c r="AP30" i="34" s="1"/>
  <c r="I32" i="34"/>
  <c r="Y32" i="34"/>
  <c r="L33" i="34"/>
  <c r="T33" i="34"/>
  <c r="AB33" i="34"/>
  <c r="AQ33" i="34" s="1"/>
  <c r="G34" i="34"/>
  <c r="J35" i="34"/>
  <c r="E36" i="34"/>
  <c r="M36" i="34"/>
  <c r="AQ36" i="34" s="1"/>
  <c r="X37" i="34"/>
  <c r="AA38" i="34"/>
  <c r="AP38" i="34" s="1"/>
  <c r="F39" i="34"/>
  <c r="V39" i="34"/>
  <c r="I43" i="34"/>
  <c r="Y43" i="34"/>
  <c r="F28" i="34"/>
  <c r="AJ28" i="34" s="1"/>
  <c r="Y29" i="34"/>
  <c r="T30" i="34"/>
  <c r="AI30" i="34" s="1"/>
  <c r="W31" i="34"/>
  <c r="J32" i="34"/>
  <c r="Z32" i="34"/>
  <c r="E33" i="34"/>
  <c r="U33" i="34"/>
  <c r="H34" i="34"/>
  <c r="K35" i="34"/>
  <c r="AO35" i="34" s="1"/>
  <c r="F36" i="34"/>
  <c r="AJ36" i="34" s="1"/>
  <c r="Y37" i="34"/>
  <c r="T38" i="34"/>
  <c r="G39" i="34"/>
  <c r="AK39" i="34" s="1"/>
  <c r="W39" i="34"/>
  <c r="J43" i="34"/>
  <c r="Z43" i="34"/>
  <c r="H39" i="34"/>
  <c r="AP24" i="34"/>
  <c r="AH24" i="34"/>
  <c r="AI25" i="34"/>
  <c r="AQ25" i="34"/>
  <c r="AH28" i="34"/>
  <c r="AP28" i="34"/>
  <c r="AM29" i="34"/>
  <c r="AH26" i="34"/>
  <c r="AQ32" i="34"/>
  <c r="AP26" i="34"/>
  <c r="AH29" i="34"/>
  <c r="AH30" i="34"/>
  <c r="AQ30" i="34"/>
  <c r="AH32" i="34"/>
  <c r="AN25" i="34"/>
  <c r="AH31" i="34"/>
  <c r="AH36" i="34"/>
  <c r="AO34" i="34"/>
  <c r="AL35" i="34"/>
  <c r="AH39" i="34"/>
  <c r="AH35" i="34"/>
  <c r="AP35" i="34"/>
  <c r="AH38" i="34"/>
  <c r="AL28" i="34" l="1"/>
  <c r="AN30" i="34"/>
  <c r="AO26" i="34"/>
  <c r="AL27" i="34"/>
  <c r="AJ32" i="34"/>
  <c r="AJ38" i="34"/>
  <c r="AK27" i="34"/>
  <c r="AQ39" i="34"/>
  <c r="AI35" i="34"/>
  <c r="AP25" i="34"/>
  <c r="AP29" i="34"/>
  <c r="AM32" i="34"/>
  <c r="AJ34" i="34"/>
  <c r="AI26" i="34"/>
  <c r="AN27" i="34"/>
  <c r="AM38" i="34"/>
  <c r="AI33" i="34"/>
  <c r="AO27" i="34"/>
  <c r="AN31" i="34"/>
  <c r="AN37" i="34"/>
  <c r="AN33" i="34"/>
  <c r="AI34" i="34"/>
  <c r="AJ35" i="34"/>
  <c r="AK31" i="34"/>
  <c r="AO29" i="34"/>
  <c r="AK34" i="34"/>
  <c r="AM36" i="34"/>
  <c r="AL34" i="34"/>
  <c r="AQ31" i="34"/>
  <c r="AQ27" i="34"/>
  <c r="AM27" i="34"/>
  <c r="AL30" i="34"/>
  <c r="AK29" i="34"/>
  <c r="AN35" i="34"/>
  <c r="AK25" i="34"/>
  <c r="AK24" i="34"/>
  <c r="AN36" i="34"/>
  <c r="AE130" i="11"/>
  <c r="AQ28" i="34"/>
  <c r="AN28" i="34"/>
  <c r="AP37" i="34"/>
  <c r="AI27" i="34"/>
  <c r="AK30" i="34"/>
  <c r="AP36" i="34"/>
  <c r="AN29" i="34"/>
  <c r="AM37" i="34"/>
  <c r="AM25" i="34"/>
  <c r="AP33" i="34"/>
  <c r="AJ24" i="34"/>
  <c r="AM31" i="34"/>
  <c r="AQ26" i="34"/>
  <c r="AJ27" i="34"/>
  <c r="AK36" i="34"/>
  <c r="AJ33" i="34"/>
  <c r="O130" i="11"/>
  <c r="AN38" i="34"/>
  <c r="AK37" i="34"/>
  <c r="AI31" i="34"/>
  <c r="AI36" i="34"/>
  <c r="AJ30" i="34"/>
  <c r="AN26" i="34"/>
  <c r="AK33" i="34"/>
  <c r="AO39" i="34"/>
  <c r="AJ39" i="34"/>
  <c r="AI39" i="34"/>
  <c r="AM24" i="34"/>
  <c r="AN32" i="34"/>
  <c r="AM26" i="34"/>
  <c r="AI32" i="34"/>
  <c r="AM34" i="34"/>
  <c r="AJ37" i="34"/>
  <c r="AO28" i="34"/>
  <c r="AO25" i="34"/>
  <c r="AI28" i="34"/>
  <c r="AN24" i="34"/>
  <c r="AL31" i="34"/>
  <c r="AJ31" i="34"/>
  <c r="AL39" i="34"/>
  <c r="AL26" i="34"/>
  <c r="AN39" i="34"/>
  <c r="AI38" i="34"/>
  <c r="AO36" i="34"/>
  <c r="AM28" i="34"/>
  <c r="AL37" i="34"/>
  <c r="AL29" i="34"/>
  <c r="D23" i="14"/>
  <c r="C23" i="14"/>
  <c r="H23" i="14" s="1"/>
  <c r="E177" i="11"/>
  <c r="F177" i="11" s="1"/>
  <c r="E174" i="11"/>
  <c r="F174" i="11" s="1"/>
  <c r="E173" i="11"/>
  <c r="F173" i="11" s="1"/>
  <c r="E172" i="11"/>
  <c r="F172" i="11" s="1"/>
  <c r="E171" i="11"/>
  <c r="F171" i="11" s="1"/>
  <c r="E170" i="11"/>
  <c r="F170" i="11" s="1"/>
  <c r="E169" i="11"/>
  <c r="F169" i="11" s="1"/>
  <c r="E168" i="11"/>
  <c r="F168" i="11" s="1"/>
  <c r="E167" i="11"/>
  <c r="F167" i="11" s="1"/>
  <c r="E166" i="11"/>
  <c r="F166" i="11" s="1"/>
  <c r="E165" i="11"/>
  <c r="F165" i="11" s="1"/>
  <c r="E164" i="11"/>
  <c r="F164" i="11" s="1"/>
  <c r="E163" i="11"/>
  <c r="F163" i="11" s="1"/>
  <c r="E162" i="11"/>
  <c r="F162" i="11" s="1"/>
  <c r="E161" i="11"/>
  <c r="F161" i="11" s="1"/>
  <c r="E160" i="11"/>
  <c r="F160" i="11" s="1"/>
  <c r="E159" i="11"/>
  <c r="F159" i="11" s="1"/>
  <c r="E158" i="11"/>
  <c r="F158" i="11" s="1"/>
  <c r="E157" i="11"/>
  <c r="F157" i="11" s="1"/>
  <c r="E155" i="11"/>
  <c r="F155" i="11" s="1"/>
  <c r="E154" i="11"/>
  <c r="F154" i="11" s="1"/>
  <c r="E153" i="11"/>
  <c r="F153" i="11" s="1"/>
  <c r="E152" i="11"/>
  <c r="F152" i="11" s="1"/>
  <c r="E151" i="11"/>
  <c r="F151" i="11" s="1"/>
  <c r="C177" i="11"/>
  <c r="D177" i="11" s="1"/>
  <c r="C174" i="11"/>
  <c r="D174" i="11" s="1"/>
  <c r="C173" i="11"/>
  <c r="D173" i="11" s="1"/>
  <c r="C172" i="11"/>
  <c r="D172" i="11" s="1"/>
  <c r="C171" i="11"/>
  <c r="D171" i="11" s="1"/>
  <c r="C170" i="11"/>
  <c r="D170" i="11" s="1"/>
  <c r="C169" i="11"/>
  <c r="D169" i="11" s="1"/>
  <c r="C168" i="11"/>
  <c r="D168" i="11" s="1"/>
  <c r="C167" i="11"/>
  <c r="D167" i="11" s="1"/>
  <c r="C166" i="11"/>
  <c r="D166" i="11" s="1"/>
  <c r="C165" i="11"/>
  <c r="D165" i="11" s="1"/>
  <c r="C164" i="11"/>
  <c r="D164" i="11" s="1"/>
  <c r="C163" i="11"/>
  <c r="D163" i="11" s="1"/>
  <c r="C162" i="11"/>
  <c r="D162" i="11" s="1"/>
  <c r="C161" i="11"/>
  <c r="D161" i="11" s="1"/>
  <c r="C160" i="11"/>
  <c r="D160" i="11" s="1"/>
  <c r="C159" i="11"/>
  <c r="D159" i="11" s="1"/>
  <c r="C158" i="11"/>
  <c r="D158" i="11" s="1"/>
  <c r="C157" i="11"/>
  <c r="D157" i="11" s="1"/>
  <c r="C155" i="11"/>
  <c r="D155" i="11" s="1"/>
  <c r="C154" i="11"/>
  <c r="D154" i="11" s="1"/>
  <c r="C153" i="11"/>
  <c r="D153" i="11" s="1"/>
  <c r="C152" i="11"/>
  <c r="D152" i="11" s="1"/>
  <c r="C151" i="11"/>
  <c r="D151" i="11" s="1"/>
  <c r="G38" i="11"/>
  <c r="E31" i="11"/>
  <c r="E30" i="11"/>
  <c r="E29" i="11"/>
  <c r="E28" i="11"/>
  <c r="E27" i="11"/>
  <c r="E26" i="11"/>
  <c r="E25" i="11"/>
  <c r="E23" i="14" l="1"/>
  <c r="I23" i="14"/>
  <c r="J23" i="14" s="1"/>
  <c r="G37" i="11"/>
  <c r="C5" i="11" s="1"/>
  <c r="J4" i="21" s="1"/>
  <c r="D10" i="14"/>
  <c r="C10" i="14"/>
  <c r="H17" i="14" s="1"/>
  <c r="AO18" i="34"/>
  <c r="AU13" i="34"/>
  <c r="AO11" i="34"/>
  <c r="AQ22" i="34"/>
  <c r="AQ16" i="34"/>
  <c r="AH9" i="34"/>
  <c r="AK17" i="34"/>
  <c r="AJ13" i="34"/>
  <c r="AP13" i="34"/>
  <c r="AU11" i="34"/>
  <c r="AN13" i="34"/>
  <c r="AT13" i="34"/>
  <c r="AI18" i="34"/>
  <c r="AM14" i="34"/>
  <c r="AL22" i="34"/>
  <c r="AO14" i="34"/>
  <c r="AJ23" i="34"/>
  <c r="AQ14" i="34"/>
  <c r="AJ21" i="34"/>
  <c r="AP21" i="34"/>
  <c r="AN21" i="34"/>
  <c r="AJ11" i="34"/>
  <c r="AV13" i="34"/>
  <c r="AM18" i="34"/>
  <c r="AH19" i="34"/>
  <c r="AP11" i="34"/>
  <c r="AQ12" i="34"/>
  <c r="AH17" i="34"/>
  <c r="AP18" i="34"/>
  <c r="AJ19" i="34"/>
  <c r="AJ17" i="34"/>
  <c r="AL19" i="34"/>
  <c r="AI13" i="34"/>
  <c r="AK14" i="34"/>
  <c r="AO16" i="34"/>
  <c r="AN17" i="34"/>
  <c r="AN19" i="34"/>
  <c r="AK22" i="34"/>
  <c r="AO23" i="34"/>
  <c r="AP23" i="34"/>
  <c r="AN15" i="34"/>
  <c r="AT15" i="34"/>
  <c r="AP15" i="34"/>
  <c r="AJ15" i="34"/>
  <c r="AL20" i="34"/>
  <c r="AH10" i="34"/>
  <c r="AP10" i="34"/>
  <c r="AL15" i="34"/>
  <c r="AM20" i="34"/>
  <c r="AO20" i="34"/>
  <c r="AJ20" i="34"/>
  <c r="AT11" i="34"/>
  <c r="AO13" i="34"/>
  <c r="AM19" i="34"/>
  <c r="AO21" i="34"/>
  <c r="AN23" i="34"/>
  <c r="AN43" i="34"/>
  <c r="AQ13" i="34"/>
  <c r="AH18" i="34"/>
  <c r="AO19" i="34"/>
  <c r="AQ21" i="34"/>
  <c r="AQ23" i="34"/>
  <c r="AH13" i="34"/>
  <c r="AR13" i="34"/>
  <c r="AP19" i="34"/>
  <c r="AH21" i="34"/>
  <c r="AH11" i="34"/>
  <c r="AI21" i="34"/>
  <c r="AH23" i="34"/>
  <c r="AN11" i="34"/>
  <c r="AI12" i="34"/>
  <c r="AL13" i="34"/>
  <c r="AL21" i="34"/>
  <c r="AI23" i="34"/>
  <c r="AU9" i="34"/>
  <c r="AM9" i="34"/>
  <c r="AT9" i="34"/>
  <c r="AL9" i="34"/>
  <c r="AQ9" i="34"/>
  <c r="AI9" i="34"/>
  <c r="AO9" i="34"/>
  <c r="AV9" i="34"/>
  <c r="AS9" i="34"/>
  <c r="AR9" i="34"/>
  <c r="AP9" i="34"/>
  <c r="AN9" i="34"/>
  <c r="AK9" i="34"/>
  <c r="AJ9" i="34"/>
  <c r="AM12" i="34"/>
  <c r="AJ10" i="34"/>
  <c r="AQ10" i="34"/>
  <c r="AI10" i="34"/>
  <c r="AN10" i="34"/>
  <c r="AL10" i="34"/>
  <c r="AK10" i="34"/>
  <c r="AM10" i="34"/>
  <c r="D44" i="34"/>
  <c r="AO10" i="34"/>
  <c r="AP12" i="34"/>
  <c r="AH12" i="34"/>
  <c r="AN12" i="34"/>
  <c r="AL12" i="34"/>
  <c r="AK12" i="34"/>
  <c r="AJ12" i="34"/>
  <c r="AO12" i="34"/>
  <c r="AL16" i="34"/>
  <c r="AJ16" i="34"/>
  <c r="AN16" i="34"/>
  <c r="AM16" i="34"/>
  <c r="AK16" i="34"/>
  <c r="AI16" i="34"/>
  <c r="AH16" i="34"/>
  <c r="AP16" i="34"/>
  <c r="S44" i="34"/>
  <c r="AL14" i="34"/>
  <c r="AK15" i="34"/>
  <c r="AV15" i="34"/>
  <c r="AQ17" i="34"/>
  <c r="AI17" i="34"/>
  <c r="AO17" i="34"/>
  <c r="AP17" i="34"/>
  <c r="AK20" i="34"/>
  <c r="AJ22" i="34"/>
  <c r="AP22" i="34"/>
  <c r="AH22" i="34"/>
  <c r="AO22" i="34"/>
  <c r="AO43" i="34"/>
  <c r="AS11" i="34"/>
  <c r="AK11" i="34"/>
  <c r="AQ11" i="34"/>
  <c r="AI11" i="34"/>
  <c r="AR11" i="34"/>
  <c r="AJ14" i="34"/>
  <c r="AP14" i="34"/>
  <c r="AH14" i="34"/>
  <c r="AN14" i="34"/>
  <c r="AN18" i="34"/>
  <c r="AL18" i="34"/>
  <c r="AQ18" i="34"/>
  <c r="AI22" i="34"/>
  <c r="AO15" i="34"/>
  <c r="AU15" i="34"/>
  <c r="AM15" i="34"/>
  <c r="AQ15" i="34"/>
  <c r="AP20" i="34"/>
  <c r="AH20" i="34"/>
  <c r="AN20" i="34"/>
  <c r="AQ20" i="34"/>
  <c r="AL43" i="34"/>
  <c r="AJ43" i="34"/>
  <c r="AQ43" i="34"/>
  <c r="AI43" i="34"/>
  <c r="AP43" i="34"/>
  <c r="AH43" i="34"/>
  <c r="AL11" i="34"/>
  <c r="AV11" i="34"/>
  <c r="AH15" i="34"/>
  <c r="AR15" i="34"/>
  <c r="AL17" i="34"/>
  <c r="AJ18" i="34"/>
  <c r="AM22" i="34"/>
  <c r="AK43" i="34"/>
  <c r="AM11" i="34"/>
  <c r="AI14" i="34"/>
  <c r="AI15" i="34"/>
  <c r="AS15" i="34"/>
  <c r="AM17" i="34"/>
  <c r="AK18" i="34"/>
  <c r="AI20" i="34"/>
  <c r="AN22" i="34"/>
  <c r="AM43" i="34"/>
  <c r="AK23" i="34"/>
  <c r="AL23" i="34"/>
  <c r="AK13" i="34"/>
  <c r="AS13" i="34"/>
  <c r="AI19" i="34"/>
  <c r="AQ19" i="34"/>
  <c r="AK21" i="34"/>
  <c r="AM23" i="34"/>
  <c r="AM13" i="34"/>
  <c r="AK19" i="34"/>
  <c r="AM21" i="34"/>
  <c r="D29" i="14"/>
  <c r="D43" i="14" s="1"/>
  <c r="C29" i="14"/>
  <c r="C43" i="14" s="1"/>
  <c r="E43" i="14" l="1"/>
  <c r="E10" i="14"/>
  <c r="I17" i="14"/>
  <c r="J17" i="14" s="1"/>
  <c r="E29" i="14"/>
  <c r="D44" i="14"/>
  <c r="D46" i="14"/>
  <c r="D35" i="14"/>
  <c r="D37" i="14"/>
  <c r="D39" i="14"/>
  <c r="D49" i="14"/>
  <c r="D47" i="14"/>
  <c r="D32" i="14"/>
  <c r="D41" i="14"/>
  <c r="D45" i="14"/>
  <c r="D38" i="14"/>
  <c r="D53" i="14"/>
  <c r="D31" i="14"/>
  <c r="D30" i="14"/>
  <c r="D52" i="14"/>
  <c r="D34" i="14"/>
  <c r="D36" i="14"/>
  <c r="D50" i="14"/>
  <c r="D48" i="14"/>
  <c r="D40" i="14"/>
  <c r="D51" i="14"/>
  <c r="D42" i="14"/>
  <c r="D33" i="14"/>
  <c r="C44" i="14"/>
  <c r="C52" i="14"/>
  <c r="C35" i="14"/>
  <c r="C33" i="14"/>
  <c r="C46" i="14"/>
  <c r="C47" i="14"/>
  <c r="C37" i="14"/>
  <c r="C39" i="14"/>
  <c r="C30" i="14"/>
  <c r="C49" i="14"/>
  <c r="C45" i="14"/>
  <c r="C53" i="14"/>
  <c r="C34" i="14"/>
  <c r="C38" i="14"/>
  <c r="C42" i="14"/>
  <c r="C31" i="14"/>
  <c r="C32" i="14"/>
  <c r="C41" i="14"/>
  <c r="C40" i="14"/>
  <c r="C50" i="14"/>
  <c r="C36" i="14"/>
  <c r="C51" i="14"/>
  <c r="C48" i="14"/>
  <c r="D5" i="11"/>
  <c r="J4" i="19" s="1"/>
  <c r="S45" i="34"/>
  <c r="V44" i="34"/>
  <c r="V45" i="34" s="1"/>
  <c r="U44" i="34"/>
  <c r="U45" i="34" s="1"/>
  <c r="AB44" i="34"/>
  <c r="AB45" i="34" s="1"/>
  <c r="T44" i="34"/>
  <c r="T45" i="34" s="1"/>
  <c r="AA44" i="34"/>
  <c r="AA45" i="34" s="1"/>
  <c r="Z44" i="34"/>
  <c r="Y44" i="34"/>
  <c r="Y45" i="34" s="1"/>
  <c r="W44" i="34"/>
  <c r="W45" i="34" s="1"/>
  <c r="X44" i="34"/>
  <c r="X45" i="34" s="1"/>
  <c r="F44" i="34"/>
  <c r="F45" i="34" s="1"/>
  <c r="M44" i="34"/>
  <c r="M45" i="34" s="1"/>
  <c r="E44" i="34"/>
  <c r="E45" i="34" s="1"/>
  <c r="L44" i="34"/>
  <c r="L45" i="34" s="1"/>
  <c r="K44" i="34"/>
  <c r="J44" i="34"/>
  <c r="J45" i="34" s="1"/>
  <c r="AH44" i="34"/>
  <c r="I44" i="34"/>
  <c r="I45" i="34" s="1"/>
  <c r="D45" i="34"/>
  <c r="H44" i="34"/>
  <c r="H45" i="34" s="1"/>
  <c r="G44" i="34"/>
  <c r="G45" i="34" s="1"/>
  <c r="E52" i="14" l="1"/>
  <c r="E31" i="14"/>
  <c r="E42" i="14"/>
  <c r="E32" i="14"/>
  <c r="E41" i="14"/>
  <c r="E30" i="14"/>
  <c r="E50" i="14"/>
  <c r="E36" i="14"/>
  <c r="E38" i="14"/>
  <c r="E37" i="14"/>
  <c r="E33" i="14"/>
  <c r="E51" i="14"/>
  <c r="E35" i="14"/>
  <c r="E53" i="14"/>
  <c r="E49" i="14"/>
  <c r="E39" i="14"/>
  <c r="E46" i="14"/>
  <c r="E34" i="14"/>
  <c r="E47" i="14"/>
  <c r="E44" i="14"/>
  <c r="E45" i="14"/>
  <c r="E40" i="14"/>
  <c r="E48" i="14"/>
  <c r="AO44" i="34"/>
  <c r="AP44" i="34"/>
  <c r="AI44" i="34"/>
  <c r="AN44" i="34"/>
  <c r="AQ44" i="34"/>
  <c r="AL44" i="34"/>
  <c r="AJ44" i="34"/>
  <c r="AK44" i="34"/>
  <c r="AM44" i="34"/>
  <c r="K45" i="34"/>
  <c r="Z45" i="34"/>
  <c r="AJ45" i="34"/>
  <c r="AQ45" i="34"/>
  <c r="AI45" i="34"/>
  <c r="AP45" i="34"/>
  <c r="AH45" i="34"/>
  <c r="AN45" i="34"/>
  <c r="AM45" i="34"/>
  <c r="AL45" i="34"/>
  <c r="AK45" i="34"/>
  <c r="AO45" i="34" l="1"/>
  <c r="C136" i="11"/>
  <c r="P39" i="34"/>
  <c r="P38" i="34"/>
  <c r="P37" i="34"/>
  <c r="P36" i="34"/>
  <c r="P35" i="34"/>
  <c r="P34" i="34"/>
  <c r="P33" i="34"/>
  <c r="P32" i="34"/>
  <c r="P31" i="34"/>
  <c r="P30" i="34"/>
  <c r="P29" i="34"/>
  <c r="P28" i="34"/>
  <c r="P27" i="34"/>
  <c r="P26" i="34"/>
  <c r="P25" i="34"/>
  <c r="P24" i="34"/>
  <c r="P23" i="34"/>
  <c r="P22" i="34"/>
  <c r="P21" i="34"/>
  <c r="P20" i="34"/>
  <c r="P19" i="34"/>
  <c r="P18" i="34"/>
  <c r="P17" i="34"/>
  <c r="P16" i="34"/>
  <c r="P14" i="34"/>
  <c r="P12" i="34"/>
  <c r="P10" i="34"/>
  <c r="P43" i="34"/>
  <c r="M136" i="11" l="1"/>
  <c r="N16" i="34"/>
  <c r="N20" i="34"/>
  <c r="N24" i="34"/>
  <c r="N28" i="34"/>
  <c r="N32" i="34"/>
  <c r="N36" i="34"/>
  <c r="N10" i="34"/>
  <c r="N17" i="34"/>
  <c r="N21" i="34"/>
  <c r="N25" i="34"/>
  <c r="N29" i="34"/>
  <c r="N33" i="34"/>
  <c r="N37" i="34"/>
  <c r="P44" i="34"/>
  <c r="P45" i="34"/>
  <c r="N12" i="34"/>
  <c r="N100" i="11"/>
  <c r="N18" i="34"/>
  <c r="N22" i="34"/>
  <c r="N108" i="11"/>
  <c r="N26" i="34"/>
  <c r="N30" i="34"/>
  <c r="N34" i="34"/>
  <c r="N38" i="34"/>
  <c r="N125" i="11"/>
  <c r="N43" i="34"/>
  <c r="N96" i="11"/>
  <c r="N14" i="34"/>
  <c r="N19" i="34"/>
  <c r="N23" i="34"/>
  <c r="N109" i="11"/>
  <c r="N27" i="34"/>
  <c r="N113" i="11"/>
  <c r="N31" i="34"/>
  <c r="N35" i="34"/>
  <c r="N39" i="34"/>
  <c r="N103" i="11"/>
  <c r="N115" i="11"/>
  <c r="N99" i="11"/>
  <c r="N110" i="11"/>
  <c r="N90" i="11"/>
  <c r="N98" i="11"/>
  <c r="N119" i="11"/>
  <c r="N106" i="11"/>
  <c r="N118" i="11"/>
  <c r="N107" i="11"/>
  <c r="AE12" i="34"/>
  <c r="AT12" i="34" s="1"/>
  <c r="AE14" i="34"/>
  <c r="AT14" i="34" s="1"/>
  <c r="AE16" i="34"/>
  <c r="AT16" i="34" s="1"/>
  <c r="AE17" i="34"/>
  <c r="AT17" i="34" s="1"/>
  <c r="AE18" i="34"/>
  <c r="AT18" i="34" s="1"/>
  <c r="AE19" i="34"/>
  <c r="AT19" i="34" s="1"/>
  <c r="AE20" i="34"/>
  <c r="AT20" i="34" s="1"/>
  <c r="AE21" i="34"/>
  <c r="AT21" i="34" s="1"/>
  <c r="AE22" i="34"/>
  <c r="AT22" i="34" s="1"/>
  <c r="AE23" i="34"/>
  <c r="AT23" i="34" s="1"/>
  <c r="AE24" i="34"/>
  <c r="AT24" i="34" s="1"/>
  <c r="AE25" i="34"/>
  <c r="AT25" i="34" s="1"/>
  <c r="AE26" i="34"/>
  <c r="AT26" i="34" s="1"/>
  <c r="AE27" i="34"/>
  <c r="AT27" i="34" s="1"/>
  <c r="AE28" i="34"/>
  <c r="AT28" i="34" s="1"/>
  <c r="AE29" i="34"/>
  <c r="AT29" i="34" s="1"/>
  <c r="AE30" i="34"/>
  <c r="AT30" i="34" s="1"/>
  <c r="AE31" i="34"/>
  <c r="AT31" i="34" s="1"/>
  <c r="AE32" i="34"/>
  <c r="AT32" i="34" s="1"/>
  <c r="AE33" i="34"/>
  <c r="AT33" i="34" s="1"/>
  <c r="AE34" i="34"/>
  <c r="AT34" i="34" s="1"/>
  <c r="AE35" i="34"/>
  <c r="AT35" i="34" s="1"/>
  <c r="AE36" i="34"/>
  <c r="AT36" i="34" s="1"/>
  <c r="AE37" i="34"/>
  <c r="AT37" i="34" s="1"/>
  <c r="AE38" i="34"/>
  <c r="AT38" i="34" s="1"/>
  <c r="AE39" i="34"/>
  <c r="AT39" i="34" s="1"/>
  <c r="AE10" i="34"/>
  <c r="M144" i="11" l="1"/>
  <c r="C144" i="11"/>
  <c r="AD107" i="11"/>
  <c r="O131" i="11"/>
  <c r="N131" i="11"/>
  <c r="O102" i="11"/>
  <c r="O39" i="34"/>
  <c r="O121" i="11"/>
  <c r="O105" i="11"/>
  <c r="O120" i="11"/>
  <c r="O22" i="34"/>
  <c r="O104" i="11"/>
  <c r="O92" i="11"/>
  <c r="R43" i="34"/>
  <c r="O35" i="34"/>
  <c r="O117" i="11"/>
  <c r="O19" i="34"/>
  <c r="O101" i="11"/>
  <c r="O34" i="34"/>
  <c r="O116" i="11"/>
  <c r="O100" i="11"/>
  <c r="N92" i="11"/>
  <c r="N120" i="11"/>
  <c r="O111" i="11"/>
  <c r="O114" i="11"/>
  <c r="O107" i="11"/>
  <c r="O99" i="11"/>
  <c r="O90" i="11"/>
  <c r="O31" i="34"/>
  <c r="O113" i="11"/>
  <c r="O14" i="34"/>
  <c r="O96" i="11"/>
  <c r="O30" i="34"/>
  <c r="O112" i="11"/>
  <c r="O12" i="34"/>
  <c r="O94" i="11"/>
  <c r="N121" i="11"/>
  <c r="N105" i="11"/>
  <c r="N116" i="11"/>
  <c r="N104" i="11"/>
  <c r="O106" i="11"/>
  <c r="O21" i="34"/>
  <c r="O103" i="11"/>
  <c r="N114" i="11"/>
  <c r="O118" i="11"/>
  <c r="O119" i="11"/>
  <c r="O98" i="11"/>
  <c r="O110" i="11"/>
  <c r="O115" i="11"/>
  <c r="O27" i="34"/>
  <c r="O109" i="11"/>
  <c r="O125" i="11"/>
  <c r="O26" i="34"/>
  <c r="O108" i="11"/>
  <c r="N111" i="11"/>
  <c r="N102" i="11"/>
  <c r="N117" i="11"/>
  <c r="N101" i="11"/>
  <c r="N112" i="11"/>
  <c r="N94" i="11"/>
  <c r="AC10" i="34"/>
  <c r="AD119" i="11"/>
  <c r="AC37" i="34"/>
  <c r="AR37" i="34" s="1"/>
  <c r="AC33" i="34"/>
  <c r="AR33" i="34" s="1"/>
  <c r="AC29" i="34"/>
  <c r="AR29" i="34" s="1"/>
  <c r="AC25" i="34"/>
  <c r="AR25" i="34" s="1"/>
  <c r="AC21" i="34"/>
  <c r="AR21" i="34" s="1"/>
  <c r="AD99" i="11"/>
  <c r="AC17" i="34"/>
  <c r="AR17" i="34" s="1"/>
  <c r="AD118" i="11"/>
  <c r="AC36" i="34"/>
  <c r="AR36" i="34" s="1"/>
  <c r="AD114" i="11"/>
  <c r="AC32" i="34"/>
  <c r="AR32" i="34" s="1"/>
  <c r="AD110" i="11"/>
  <c r="AC28" i="34"/>
  <c r="AR28" i="34" s="1"/>
  <c r="AC24" i="34"/>
  <c r="AR24" i="34" s="1"/>
  <c r="AD102" i="11"/>
  <c r="AC20" i="34"/>
  <c r="AR20" i="34" s="1"/>
  <c r="AD98" i="11"/>
  <c r="AC16" i="34"/>
  <c r="AR16" i="34" s="1"/>
  <c r="AC39" i="34"/>
  <c r="AR39" i="34" s="1"/>
  <c r="AC35" i="34"/>
  <c r="AR35" i="34" s="1"/>
  <c r="AC31" i="34"/>
  <c r="AR31" i="34" s="1"/>
  <c r="AD109" i="11"/>
  <c r="AC27" i="34"/>
  <c r="AR27" i="34" s="1"/>
  <c r="AC23" i="34"/>
  <c r="AR23" i="34" s="1"/>
  <c r="AD101" i="11"/>
  <c r="AC19" i="34"/>
  <c r="AR19" i="34" s="1"/>
  <c r="AC14" i="34"/>
  <c r="AR14" i="34" s="1"/>
  <c r="AC38" i="34"/>
  <c r="AR38" i="34" s="1"/>
  <c r="AD116" i="11"/>
  <c r="AC34" i="34"/>
  <c r="AR34" i="34" s="1"/>
  <c r="AC30" i="34"/>
  <c r="AR30" i="34" s="1"/>
  <c r="AC26" i="34"/>
  <c r="AR26" i="34" s="1"/>
  <c r="AC22" i="34"/>
  <c r="AR22" i="34" s="1"/>
  <c r="AC18" i="34"/>
  <c r="AR18" i="34" s="1"/>
  <c r="AC12" i="34"/>
  <c r="AR12" i="34" s="1"/>
  <c r="AT10" i="34"/>
  <c r="Q26" i="34"/>
  <c r="Q23" i="34"/>
  <c r="R34" i="34"/>
  <c r="Q22" i="34"/>
  <c r="O29" i="34"/>
  <c r="R27" i="34"/>
  <c r="Q28" i="34"/>
  <c r="Q27" i="34"/>
  <c r="Q30" i="34"/>
  <c r="O24" i="34"/>
  <c r="O43" i="34"/>
  <c r="R30" i="34"/>
  <c r="Q19" i="34"/>
  <c r="Q24" i="34"/>
  <c r="O10" i="34"/>
  <c r="Q21" i="34"/>
  <c r="R26" i="34"/>
  <c r="Q39" i="34"/>
  <c r="O23" i="34"/>
  <c r="Q32" i="34"/>
  <c r="O25" i="34"/>
  <c r="O17" i="34"/>
  <c r="R14" i="34"/>
  <c r="R35" i="34"/>
  <c r="O32" i="34"/>
  <c r="Q33" i="34"/>
  <c r="O20" i="34"/>
  <c r="Q20" i="34"/>
  <c r="Q14" i="34"/>
  <c r="R19" i="34"/>
  <c r="Q10" i="34"/>
  <c r="Q18" i="34"/>
  <c r="Q25" i="34"/>
  <c r="Q43" i="34"/>
  <c r="Q38" i="34"/>
  <c r="Q17" i="34"/>
  <c r="R39" i="34"/>
  <c r="R22" i="34"/>
  <c r="R31" i="34"/>
  <c r="O38" i="34"/>
  <c r="N45" i="34"/>
  <c r="O37" i="34"/>
  <c r="N44" i="34"/>
  <c r="Q29" i="34"/>
  <c r="O36" i="34"/>
  <c r="O16" i="34"/>
  <c r="Q35" i="34"/>
  <c r="Q34" i="34"/>
  <c r="Q12" i="34"/>
  <c r="Q36" i="34"/>
  <c r="Q37" i="34"/>
  <c r="Q16" i="34"/>
  <c r="O28" i="34"/>
  <c r="O33" i="34"/>
  <c r="Q31" i="34"/>
  <c r="R12" i="34"/>
  <c r="O18" i="34"/>
  <c r="D8" i="11" l="1"/>
  <c r="AD90" i="11"/>
  <c r="R21" i="34"/>
  <c r="AD18" i="34"/>
  <c r="AE100" i="11"/>
  <c r="AD24" i="34"/>
  <c r="AE106" i="11"/>
  <c r="AE90" i="11"/>
  <c r="AD25" i="34"/>
  <c r="AS25" i="34" s="1"/>
  <c r="AE107" i="11"/>
  <c r="AD10" i="34"/>
  <c r="AS10" i="34" s="1"/>
  <c r="AE92" i="11"/>
  <c r="AD100" i="11"/>
  <c r="AD19" i="34"/>
  <c r="AE101" i="11"/>
  <c r="AD35" i="34"/>
  <c r="AS35" i="34" s="1"/>
  <c r="AE117" i="11"/>
  <c r="AD117" i="11"/>
  <c r="AD22" i="34"/>
  <c r="AS22" i="34" s="1"/>
  <c r="AE104" i="11"/>
  <c r="AD38" i="34"/>
  <c r="AS38" i="34" s="1"/>
  <c r="AE120" i="11"/>
  <c r="AD23" i="34"/>
  <c r="AE105" i="11"/>
  <c r="AD39" i="34"/>
  <c r="AS39" i="34" s="1"/>
  <c r="AE121" i="11"/>
  <c r="AD105" i="11"/>
  <c r="AD121" i="11"/>
  <c r="AD28" i="34"/>
  <c r="AE110" i="11"/>
  <c r="AD29" i="34"/>
  <c r="AS29" i="34" s="1"/>
  <c r="AE111" i="11"/>
  <c r="AD111" i="11"/>
  <c r="AD104" i="11"/>
  <c r="AD103" i="11"/>
  <c r="AD26" i="34"/>
  <c r="AE108" i="11"/>
  <c r="AS24" i="34"/>
  <c r="AD34" i="34"/>
  <c r="AE116" i="11"/>
  <c r="AD27" i="34"/>
  <c r="AS27" i="34" s="1"/>
  <c r="AE109" i="11"/>
  <c r="AD16" i="34"/>
  <c r="AS16" i="34" s="1"/>
  <c r="AE98" i="11"/>
  <c r="AD32" i="34"/>
  <c r="AS32" i="34" s="1"/>
  <c r="AE114" i="11"/>
  <c r="AD17" i="34"/>
  <c r="AE99" i="11"/>
  <c r="AD33" i="34"/>
  <c r="AE115" i="11"/>
  <c r="AD92" i="11"/>
  <c r="AD108" i="11"/>
  <c r="AD115" i="11"/>
  <c r="AD12" i="34"/>
  <c r="AE94" i="11"/>
  <c r="AD30" i="34"/>
  <c r="AE112" i="11"/>
  <c r="AD14" i="34"/>
  <c r="AE96" i="11"/>
  <c r="AD31" i="34"/>
  <c r="AS31" i="34" s="1"/>
  <c r="AE113" i="11"/>
  <c r="AD96" i="11"/>
  <c r="AD113" i="11"/>
  <c r="AD106" i="11"/>
  <c r="AD20" i="34"/>
  <c r="AS20" i="34" s="1"/>
  <c r="AE102" i="11"/>
  <c r="AD36" i="34"/>
  <c r="AS36" i="34" s="1"/>
  <c r="AE118" i="11"/>
  <c r="AD21" i="34"/>
  <c r="AS21" i="34" s="1"/>
  <c r="AE103" i="11"/>
  <c r="AD37" i="34"/>
  <c r="AS37" i="34" s="1"/>
  <c r="AE119" i="11"/>
  <c r="AD94" i="11"/>
  <c r="AD120" i="11"/>
  <c r="AD112" i="11"/>
  <c r="C8" i="11"/>
  <c r="AS14" i="34"/>
  <c r="AS19" i="34"/>
  <c r="AS12" i="34"/>
  <c r="AS26" i="34"/>
  <c r="AS30" i="34"/>
  <c r="AS34" i="34"/>
  <c r="AF24" i="34"/>
  <c r="AU24" i="34" s="1"/>
  <c r="AF37" i="34"/>
  <c r="AU37" i="34" s="1"/>
  <c r="AF29" i="34"/>
  <c r="AU29" i="34" s="1"/>
  <c r="AF22" i="34"/>
  <c r="AU22" i="34" s="1"/>
  <c r="AF12" i="34"/>
  <c r="AU12" i="34" s="1"/>
  <c r="AG12" i="34"/>
  <c r="AV12" i="34" s="1"/>
  <c r="AG20" i="34"/>
  <c r="AG25" i="34"/>
  <c r="AS23" i="34"/>
  <c r="AG14" i="34"/>
  <c r="AV14" i="34" s="1"/>
  <c r="AF21" i="34"/>
  <c r="AU21" i="34" s="1"/>
  <c r="AF28" i="34"/>
  <c r="AU28" i="34" s="1"/>
  <c r="AS17" i="34"/>
  <c r="AR10" i="34"/>
  <c r="AF39" i="34"/>
  <c r="AU39" i="34" s="1"/>
  <c r="AF32" i="34"/>
  <c r="AU32" i="34" s="1"/>
  <c r="AF18" i="34"/>
  <c r="AU18" i="34" s="1"/>
  <c r="AG39" i="34"/>
  <c r="AV39" i="34" s="1"/>
  <c r="AG16" i="34"/>
  <c r="AG21" i="34"/>
  <c r="AV21" i="34" s="1"/>
  <c r="AF38" i="34"/>
  <c r="AG24" i="34"/>
  <c r="AF20" i="34"/>
  <c r="AU20" i="34" s="1"/>
  <c r="AF19" i="34"/>
  <c r="AU19" i="34" s="1"/>
  <c r="AF26" i="34"/>
  <c r="AU26" i="34" s="1"/>
  <c r="AF16" i="34"/>
  <c r="AU16" i="34" s="1"/>
  <c r="AG27" i="34"/>
  <c r="AV27" i="34" s="1"/>
  <c r="AG30" i="34"/>
  <c r="AV30" i="34" s="1"/>
  <c r="AG36" i="34"/>
  <c r="AG10" i="34"/>
  <c r="AG29" i="34"/>
  <c r="AG22" i="34"/>
  <c r="AV22" i="34" s="1"/>
  <c r="AF27" i="34"/>
  <c r="AU27" i="34" s="1"/>
  <c r="AG37" i="34"/>
  <c r="AF25" i="34"/>
  <c r="AU25" i="34" s="1"/>
  <c r="AF30" i="34"/>
  <c r="AU30" i="34" s="1"/>
  <c r="AG18" i="34"/>
  <c r="AF35" i="34"/>
  <c r="AU35" i="34" s="1"/>
  <c r="AG19" i="34"/>
  <c r="AV19" i="34" s="1"/>
  <c r="AF34" i="34"/>
  <c r="AU34" i="34" s="1"/>
  <c r="AG32" i="34"/>
  <c r="AS33" i="34"/>
  <c r="AF36" i="34"/>
  <c r="AU36" i="34" s="1"/>
  <c r="AF10" i="34"/>
  <c r="AU10" i="34" s="1"/>
  <c r="AF33" i="34"/>
  <c r="AU33" i="34" s="1"/>
  <c r="AF17" i="34"/>
  <c r="AU17" i="34" s="1"/>
  <c r="AG31" i="34"/>
  <c r="AV31" i="34" s="1"/>
  <c r="AG34" i="34"/>
  <c r="D22" i="14"/>
  <c r="AS18" i="34"/>
  <c r="AS28" i="34"/>
  <c r="AU38" i="34"/>
  <c r="AF31" i="34"/>
  <c r="AU31" i="34" s="1"/>
  <c r="AF23" i="34"/>
  <c r="AU23" i="34" s="1"/>
  <c r="AF14" i="34"/>
  <c r="AU14" i="34" s="1"/>
  <c r="AG35" i="34"/>
  <c r="AV35" i="34" s="1"/>
  <c r="AG38" i="34"/>
  <c r="AV34" i="34"/>
  <c r="R28" i="34"/>
  <c r="R10" i="34"/>
  <c r="R16" i="34"/>
  <c r="R37" i="34"/>
  <c r="AV37" i="34" s="1"/>
  <c r="O44" i="34"/>
  <c r="O45" i="34"/>
  <c r="Q44" i="34"/>
  <c r="Q45" i="34"/>
  <c r="R32" i="34"/>
  <c r="R36" i="34"/>
  <c r="AV36" i="34" s="1"/>
  <c r="R20" i="34"/>
  <c r="AV20" i="34" s="1"/>
  <c r="R23" i="34"/>
  <c r="R25" i="34"/>
  <c r="R38" i="34"/>
  <c r="R24" i="34"/>
  <c r="AV24" i="34" s="1"/>
  <c r="R18" i="34"/>
  <c r="R33" i="34"/>
  <c r="R17" i="34"/>
  <c r="C22" i="14"/>
  <c r="H22" i="14" s="1"/>
  <c r="R29" i="34"/>
  <c r="AE43" i="34"/>
  <c r="M4" i="21" l="1"/>
  <c r="E22" i="14"/>
  <c r="I22" i="14"/>
  <c r="J22" i="14" s="1"/>
  <c r="AV16" i="34"/>
  <c r="AV38" i="34"/>
  <c r="AV29" i="34"/>
  <c r="AV18" i="34"/>
  <c r="D21" i="14"/>
  <c r="D24" i="14"/>
  <c r="AV25" i="34"/>
  <c r="AV32" i="34"/>
  <c r="AG28" i="34"/>
  <c r="AV28" i="34" s="1"/>
  <c r="AG17" i="34"/>
  <c r="AV17" i="34" s="1"/>
  <c r="AT43" i="34"/>
  <c r="AE44" i="34"/>
  <c r="AT44" i="34" s="1"/>
  <c r="AE45" i="34"/>
  <c r="AT45" i="34" s="1"/>
  <c r="AC43" i="34"/>
  <c r="AG23" i="34"/>
  <c r="AV23" i="34" s="1"/>
  <c r="AG33" i="34"/>
  <c r="AV33" i="34" s="1"/>
  <c r="AG26" i="34"/>
  <c r="AV26" i="34" s="1"/>
  <c r="AV10" i="34"/>
  <c r="R44" i="34"/>
  <c r="R45" i="34"/>
  <c r="C24" i="14"/>
  <c r="H24" i="14" s="1"/>
  <c r="C21" i="14"/>
  <c r="H21" i="14" s="1"/>
  <c r="I24" i="14" l="1"/>
  <c r="J24" i="14" s="1"/>
  <c r="E24" i="14"/>
  <c r="E21" i="14"/>
  <c r="I21" i="14"/>
  <c r="J21" i="14" s="1"/>
  <c r="AE125" i="11"/>
  <c r="AD125" i="11"/>
  <c r="AG43" i="34"/>
  <c r="AG44" i="34" s="1"/>
  <c r="AV44" i="34" s="1"/>
  <c r="AF43" i="34"/>
  <c r="AD43" i="34"/>
  <c r="AR43" i="34"/>
  <c r="AC44" i="34"/>
  <c r="AR44" i="34" s="1"/>
  <c r="AC45" i="34"/>
  <c r="AR45" i="34" s="1"/>
  <c r="C31" i="11"/>
  <c r="C30" i="11"/>
  <c r="C29" i="11"/>
  <c r="C28" i="11"/>
  <c r="C27" i="11"/>
  <c r="C26" i="11"/>
  <c r="C25" i="11"/>
  <c r="E8" i="11" l="1"/>
  <c r="AD45" i="34"/>
  <c r="AS45" i="34" s="1"/>
  <c r="AD44" i="34"/>
  <c r="AS44" i="34" s="1"/>
  <c r="AS43" i="34"/>
  <c r="AU43" i="34"/>
  <c r="AF44" i="34"/>
  <c r="AU44" i="34" s="1"/>
  <c r="AF45" i="34"/>
  <c r="AU45" i="34" s="1"/>
  <c r="AV43" i="34"/>
  <c r="AG45" i="34"/>
  <c r="AV45" i="34" s="1"/>
  <c r="AE131" i="11" l="1"/>
  <c r="AD131" i="11"/>
  <c r="F8" i="11" l="1"/>
  <c r="M4" i="19" s="1"/>
</calcChain>
</file>

<file path=xl/sharedStrings.xml><?xml version="1.0" encoding="utf-8"?>
<sst xmlns="http://schemas.openxmlformats.org/spreadsheetml/2006/main" count="1042" uniqueCount="428">
  <si>
    <t>This workbook contains the following tabs:</t>
  </si>
  <si>
    <t>Tab Name</t>
  </si>
  <si>
    <t>Required Data Entry?</t>
  </si>
  <si>
    <t>Tab Purpose</t>
  </si>
  <si>
    <t>Reference Tables</t>
  </si>
  <si>
    <t>No</t>
  </si>
  <si>
    <t>This tab provides several reference tables to aid insurers in their data submission. Please refer to this tab, or the Implementation Manual, if you have any questions on what to submit in this template. 
Insurers are not required to input any data in this tab.</t>
  </si>
  <si>
    <t>Definitions</t>
  </si>
  <si>
    <t>This tab provides the definitions of key terms used throughout this template, including the spending categories referenced in the Advanced Network, Standard Deviation, and Age/Sex tabs. Please refer to this tab, or the Implementation Manual, if you have any questions on what to submit in this template.
Insurers are not required to input any data in this tab.</t>
  </si>
  <si>
    <t>HD-TME 2023 and 2024</t>
  </si>
  <si>
    <t>Yes</t>
  </si>
  <si>
    <t>Insurers must submit summary information (e.g., period beginning and end date, information about clinical risk adjustment) and any carrier-specific comments about the TME submission. Please note that there are separate tabs to submit 2023 and 2024 data.</t>
  </si>
  <si>
    <t>Advanced Network 2023 and 2024</t>
  </si>
  <si>
    <t>Insurers must submit TME by Advanced Network and insurance category, using the spending categories defined in the Implementation Manual. Please note that there are separate tabs to submit 2023 and 2024 data.</t>
  </si>
  <si>
    <t>RX Rebates 2023 and 2024</t>
  </si>
  <si>
    <t>Insurers must submit pharmaceutical rebates by insurance category. Please note that there are separate tabs to submit 2023 and 2024 data.</t>
  </si>
  <si>
    <t>Line of Business Enrollment</t>
  </si>
  <si>
    <t>Insurers must submit member month information by line of bsuiness category. Insurance carriers with self-insured lines of business must also provide Income from Fees of Uninsured Plans reported in the Supplemental Health Care Exhibit. Please note that there is one tab to submit 2023 and 2024 data.</t>
  </si>
  <si>
    <t>Standard Deviation 2023 and 2024</t>
  </si>
  <si>
    <t>Insurers must submit standard deviation for all attributed members by market by Advanced Network and by market for the insurer overall. Please note that there are separate tabs to submit 2023 and 2024 data.</t>
  </si>
  <si>
    <t>Age_Sex 2023 and 2024</t>
  </si>
  <si>
    <t>Insurers must submit spending by age band and by sex, for the purposes of risk adjustment. Please note that there are separate tabs to submit 2023 and 2024 data.</t>
  </si>
  <si>
    <t>Mandatory Questions</t>
  </si>
  <si>
    <t>Insurers must answer questions on their data submission to ensure the submission is in alignment with the specifications outlined in the Implementation Manual.</t>
  </si>
  <si>
    <t>Validation by Market</t>
  </si>
  <si>
    <t>This tab uses insurer-provided information from the Advanced Network and Rx Rebates tabs to calculate spend and trend by market and service category. These summary tables are intended to help insurers validate their data prior to submission.
Insurers are not required to input any data in this tab. Insurers must review this tab prior to submitting this file to ensure data are correct.</t>
  </si>
  <si>
    <t>Validation by Provider</t>
  </si>
  <si>
    <t>This tab uses insurer-provided information from the Advanced Network and Rx Rebates tabs to calculate spend and trend by Advanced Network and service category. These summary tables are intended to help insurers validate their data prior to submission.
Insurers are not required to input any data in this tab. Insurers must review this tab prior to submitting this file to ensure data are correct.</t>
  </si>
  <si>
    <t>Data Validation</t>
  </si>
  <si>
    <t>This tab uses insurer-provided information from all tabs that require data entry to assess consistency in spending, truncation, member months, and other imputed data across tabs. These summary tables are intended to help insurers validate their data prior to submission.
Insurers are not required to input any data in this tab. Insurers must review this tab prior to submitting this file to ensure data are correct.</t>
  </si>
  <si>
    <t>Insurer TME Data Specifications
Reference Tables</t>
  </si>
  <si>
    <t>Insurers' TME Filing Schedule Date</t>
  </si>
  <si>
    <t>Files Due</t>
  </si>
  <si>
    <t>CY 2019, 2020 and 2021</t>
  </si>
  <si>
    <t xml:space="preserve">CY 2021 and CY 2022 TME </t>
  </si>
  <si>
    <t>CY 2022 and CY 2023 TME</t>
  </si>
  <si>
    <t>CY 2023 and CY 2024 TME</t>
  </si>
  <si>
    <t>CY 2024 and CY 2025 TME</t>
  </si>
  <si>
    <t>Advanced Network/Insurer Carrier Org ID</t>
  </si>
  <si>
    <t>Advanced Network/Insurance Carrier Overall</t>
  </si>
  <si>
    <t>DSS Overall</t>
  </si>
  <si>
    <t>Privia Quality Network of Connecticut (PQN CT) (formerly Community Medical Group)</t>
  </si>
  <si>
    <t>Connecticut Children's Care Network</t>
  </si>
  <si>
    <t>Connecticut State Medical Society IPA</t>
  </si>
  <si>
    <t>Hartford Healthcare Integrated Care Partners</t>
  </si>
  <si>
    <t>NA</t>
  </si>
  <si>
    <t>Northeast Medical Group</t>
  </si>
  <si>
    <t>Prospect Connecticut Medical Foundation Inc. (dba Prospect Medical, Prospect Health Services, Prospect Holdings)</t>
  </si>
  <si>
    <t>Southern New England Health Care Organization (aka SoNE Health)</t>
  </si>
  <si>
    <t>Value Care Alliance</t>
  </si>
  <si>
    <t>Charter Oak Health Center</t>
  </si>
  <si>
    <t>CIFC Greater Danbury Community Health Center</t>
  </si>
  <si>
    <t>Community Health and Wellness Center of Greater Torrington</t>
  </si>
  <si>
    <t>Community Health Center</t>
  </si>
  <si>
    <t>Community Health Services</t>
  </si>
  <si>
    <t>Cornell Scott Hill Health Center</t>
  </si>
  <si>
    <t>Fair Haven Community Health Center</t>
  </si>
  <si>
    <t>Family Centers</t>
  </si>
  <si>
    <t>First Choice Community Health Centers</t>
  </si>
  <si>
    <t>Generations Family Health Center</t>
  </si>
  <si>
    <t>Norwalk Community Health Center</t>
  </si>
  <si>
    <t>Optimus Health Care, Inc.</t>
  </si>
  <si>
    <t>Southwest Community Health Center, Inc.</t>
  </si>
  <si>
    <t>Stamford Health Medical Group</t>
  </si>
  <si>
    <t>Starling Physicians</t>
  </si>
  <si>
    <t>UConn Medical Group</t>
  </si>
  <si>
    <t>United Community and Family Services</t>
  </si>
  <si>
    <t>Westchester Medical Group PLLC (dba WestMed)</t>
  </si>
  <si>
    <t>Wheeler Clinic</t>
  </si>
  <si>
    <t>Yale Medicine</t>
  </si>
  <si>
    <t>InterCommunity Health Care</t>
  </si>
  <si>
    <t>Trinity Health, Inc.</t>
  </si>
  <si>
    <t>Western Connecticut Health Network (WCHN) Physician Hospital Organization</t>
  </si>
  <si>
    <t>Members Not Attributed to an Advanced Network</t>
  </si>
  <si>
    <t>Insurance Carrier Organizational ID</t>
  </si>
  <si>
    <t>Insurer</t>
  </si>
  <si>
    <t>Aetna Health &amp; Life</t>
  </si>
  <si>
    <t>Anthem</t>
  </si>
  <si>
    <t>Cigna</t>
  </si>
  <si>
    <t>ConnectiCare</t>
  </si>
  <si>
    <t>UnitedHealthcare</t>
  </si>
  <si>
    <t>Connecticut Office of the State Comptroller (OSC)</t>
  </si>
  <si>
    <t>Wellcare</t>
  </si>
  <si>
    <t>Connecticut Department of Social Services (DSS)</t>
  </si>
  <si>
    <t>Insurance Category Code</t>
  </si>
  <si>
    <t>Definition</t>
  </si>
  <si>
    <t>Medicare Managed Care (excluding Medicare/Medicaid Dual Eligibles)</t>
  </si>
  <si>
    <t>Medicaid including CHIP (excluding Medicare/Medicaid Dual Eligibles)</t>
  </si>
  <si>
    <t>Commercial - Full Claims</t>
  </si>
  <si>
    <t>Commercial - Partial Claims</t>
  </si>
  <si>
    <t>Medicare Expenditures for Medicare/Medicaid Dual Eligibles</t>
  </si>
  <si>
    <t>Medicaid Expenditures for Medicare/Medicaid Dual Eligibles</t>
  </si>
  <si>
    <t>Other</t>
  </si>
  <si>
    <t>Line of Business Category Code</t>
  </si>
  <si>
    <t>Individual</t>
  </si>
  <si>
    <t>Large group, fully insured</t>
  </si>
  <si>
    <t>Small group, fully insured</t>
  </si>
  <si>
    <t>Self-insured</t>
  </si>
  <si>
    <t>Student Market</t>
  </si>
  <si>
    <t>Medicare Managed Care</t>
  </si>
  <si>
    <t>Medicaid/CHIP Managed Care</t>
  </si>
  <si>
    <t>Medicare/Medicaid Duals</t>
  </si>
  <si>
    <t>Market Code</t>
  </si>
  <si>
    <t>Medicare (Insurance Category Codes 1 and 5)</t>
  </si>
  <si>
    <t>Medicaid (Insurance Category Codes 2 and 6)</t>
  </si>
  <si>
    <t>Commercial (Insurance Category Codes 3 and 4)</t>
  </si>
  <si>
    <t>Age Band Code</t>
  </si>
  <si>
    <t>0 to 1 year old</t>
  </si>
  <si>
    <t>2 to 18 years old</t>
  </si>
  <si>
    <t>19 to 39 years old</t>
  </si>
  <si>
    <t>40 to 54 years old</t>
  </si>
  <si>
    <t>55 to 64 years old</t>
  </si>
  <si>
    <t>65 to 74 years old</t>
  </si>
  <si>
    <t>75 to 84 years old</t>
  </si>
  <si>
    <t>85 + years old</t>
  </si>
  <si>
    <t>Sex Code</t>
  </si>
  <si>
    <t>Female</t>
  </si>
  <si>
    <t>Male</t>
  </si>
  <si>
    <t>Attribution Hierarchy Code</t>
  </si>
  <si>
    <t>Member Selection</t>
  </si>
  <si>
    <t>Contract arrangement</t>
  </si>
  <si>
    <t>Utilization</t>
  </si>
  <si>
    <t>Members Unattributed</t>
  </si>
  <si>
    <t>Payer Overall</t>
  </si>
  <si>
    <t>Large Provider Entity Tab</t>
  </si>
  <si>
    <t>Term</t>
  </si>
  <si>
    <t>Advanced Network/Carrier Overall ID</t>
  </si>
  <si>
    <t xml:space="preserve">The OHS-assigned organizational ID of the Advanced Network or the Carrier Overall. For TME data for members who are unattributed to an Advanced Network, their data are to be reported in aggregate as “Members Not Attributed to an Advanced Network (Advanced Network Identification Number 999).” 
</t>
  </si>
  <si>
    <t xml:space="preserve">A number that indicates the insurance category that is being reported, as defined in the Referenes Tables tab. All data reported by Insurance Category Code should be mutually exclusive. 
</t>
  </si>
  <si>
    <t>A hierarchy field code indicates the attribution methodology through which member months per allocated top providers. Tiers 1, 2, and 3 refer to memebr selection, contractual arrangements, and utilization/other, respectively. Field code 4 should be used for unattributed member months and field code 5 for DSS overall data.</t>
  </si>
  <si>
    <t>Member Months (annual)</t>
  </si>
  <si>
    <t xml:space="preserve">The number of unique members participating in a plan each month with at least a medical benefit, regardless of whether the member has any paid claims. Member months should be calculated by taking the number of members with a medical benefit and multiplying that sum by the number of months in the member’s policy.
</t>
  </si>
  <si>
    <t>Claims: Hospital Inpatient</t>
  </si>
  <si>
    <t xml:space="preserve">The TME paid to hospitals for inpatient services generated from claims. Includes all room and board and ancillary payments. Includes all hospital types. Includes payments for emergency room services when the member is admitted to the hospital, in accordance with the specific payer’s payment rules. Does not include payments made for observation services. Does not include payments made for physician services provided during an inpatient stay that have been billed directly by a physician group practice or an individual physician. Does not include inpatient services at non-hospital facilities.
</t>
  </si>
  <si>
    <t>Claims: Hospital Outpatient</t>
  </si>
  <si>
    <t>The TME paid to hospitals for outpatient services generated from claims. Includes all hospital types and includes payments made for hospital-licensed satellite clinics. Includes emergency room services not resulting in admittance. Includes observation services. Does not include payments made for physician services provided on an outpatient basis that have been billed directly by a physician group practice or an individual physician.</t>
  </si>
  <si>
    <t>Claims: Professional, Primary Care</t>
  </si>
  <si>
    <t xml:space="preserve">The TME paid to primary care providers delivered at a primary care site of care generated from claims using the code-level definition in the Implementation Manual. 
Insurance carriers should identify primary care providers first by searching for relevant provider taxonomy codes in the rendering provider field and then the billing provider field. If the carrier does not utilize the provider taxonomy codes in the file above, it may apply its provider codes to match the description of the provider taxonomy codes included. Insurance carriers should only report primary care spending for clinicians that the plan credentialed as a primary care provider for the given performance year. 
Insurance carriers should only report primary care delivered at primary care sites of care defined by the place of service (POS) codes in the code-level definition. The definition of primary care site of care excludes primary care spending delivered at urgent care centers, retail pharmacy clinics and via stand-alone, third-party telehealth vendors.
</t>
  </si>
  <si>
    <t>Claims: Professional, Primary Care (for Monitoring Purposes)</t>
  </si>
  <si>
    <r>
      <t xml:space="preserve">The TME paid to primary care providers, including OB/GYNs and midwifery, generated from claims using the definition in the Implementation Manual.
Insurance carriers should identify primary care providers first by searching for relevant provider taxonomy codes in the rendering provider field and then the billing provider field. If the carrier does not use the provider taxonomy codes in the file above, it may apply its provider codes to match the description of the provider taxonomy codes included. Insurance carriers should only report primary care spending for clinicians that the plan credentialed as a primary care provider for the given performance year and for OB/GYNs and midwives that billed for codes in the code-level definition at a primary care site of care.
Insurance carriers should only report primary care delivered at primary care sites of care defined by the place of service (POS) codes in the code-level definition. The definition of primary care site of care excludes primary care spending delivered at urgent care centers, retail pharmacy clinics and via stand-alone, third-party telehealth vendors. 
</t>
    </r>
    <r>
      <rPr>
        <b/>
        <sz val="11"/>
        <color theme="1"/>
        <rFont val="Calibri"/>
        <family val="2"/>
        <scheme val="minor"/>
      </rPr>
      <t>Note:</t>
    </r>
    <r>
      <rPr>
        <sz val="11"/>
        <color theme="1"/>
        <rFont val="Calibri"/>
        <family val="2"/>
        <scheme val="minor"/>
      </rPr>
      <t xml:space="preserve"> TME paid to OB/GYNs and midwifery included in the “Claims: Professional, Primary Care (for Monitoring Purposes)” category should also be included in the “Claims: Professional, Specialty” category.
</t>
    </r>
  </si>
  <si>
    <t>Claims: Professional, Specialty</t>
  </si>
  <si>
    <t xml:space="preserve">The TME paid to physicians or physician group practices generated from claims. Includes services provided by a doctors of medicine or osteopathy in clinical areas other than family medicine, internal medicine, general medicine or pediatric medicine, not defined as primary care in the first primary care definition above. Note: TME paid to OB/GYNs and midwifery included in the “Claims: Professional, Primary Care (for Monitoring Purposes)” category should also be included in the “Claims: Professional, Specialty” category.
</t>
  </si>
  <si>
    <t>Claims: Professional Other</t>
  </si>
  <si>
    <t xml:space="preserve">The TME paid from claims to healthcare providers for services provided by a licensed practitioner other than a physician but is not identified as primary care in the first primary care definition above. This includes, but is not limited to, licensed podiatrists, non-primary care nurse practitioners, non-primary care physician assistants, physical therapists, occupational therapists, speech therapists, psychologists, licensed clinical social workers, counselors, dieticians, dentists, chiropractors and any fees that do not fit other categories.
</t>
  </si>
  <si>
    <t>Claims: Pharmacy</t>
  </si>
  <si>
    <t xml:space="preserve">The TME paid from claims to healthcare providers for prescription drugs, biological products or vaccines as defined by the insurance carrier’s prescription drug benefit. This category should not include claims paid for pharmaceuticals under the carrier’s medical benefit. Pharmacy spending provided under the medical benefit should be attributed to the location in which it was delivered (e.g., pharmaceuticals delivered in a hospital inpatient setting should be attributed to Claims: Hospital Inpatient). Medicare managed care, i.e., Medicare Advantage, insurance carriers that offer stand-alone prescription drug plans (PDPs) should exclude stand-alone PDP data from their TME. Pharmacy data is to be reported gross of applicable rebates.
</t>
  </si>
  <si>
    <t>Claims: Long-Term Care</t>
  </si>
  <si>
    <t xml:space="preserve">All TME data from claims to providers for: (1) nursing homes and skilled nursing facilities; (2) intermediate care facilities for individuals with intellectual disability (ICF/ID) and assisted living facilities; and (3) providers of home- and community-based services, including personal care (e.g., assistance with dressing, bathing, eating, etc.), homemaker and chore services, home-delivered meal programs, home health services, adult daycare, self-directed personal assistance services (e.g., assistance with grocery shopping, etc.), and programs designed to assist individuals with long-term care needs who receive care in their home and community, such as PACE and Money Follows the Person. Does not include payments made for professional services rendered during a facility stay that have been billed directly by a physician group practice or an individual practitioner.
</t>
  </si>
  <si>
    <t>Claims: Other</t>
  </si>
  <si>
    <t>All TME paid from claims to healthcare providers for medical services not otherwise included in other categories. Includes, but is not limited to durable medical equipment, facility fees of community health center services, freestanding ambulatory surgical center services, freestanding diagnostic facility services, hearing aid services and optical services. Payments made to members for direct reimbursement of healthcare benefits/services may be reported in “Claims: Other” if DSS is unable to classify the service. However, TME data for non-healthcare benefits/services, such as fitness club reimbursements, are not to be reported in any category. Payments for fitness club membership discounts whether given to the provider or given in the form of a capitated payment to an organization that assists DSS with enrolling members in gyms is not a valid payment to include.</t>
  </si>
  <si>
    <t>Non-Claims: Payments to Support Population Health and Practice Infrastructure</t>
  </si>
  <si>
    <t xml:space="preserve">Payments made to support the infrastructure and resources necessary for coordinating care, improving quality, and/or controlling costs. Includes, but is not limited to payments that support a) care management, care coordination, population health, medication reconciliation, b) primary care/behavioral health/social care integration, c) provider electronic health record (EHR)/health information technology (HIT) infrastructure and other provider data analytic payments, and d) patient-centered medical home recognition or practice transformation.
</t>
  </si>
  <si>
    <t>Non-Claims: Performance Payments</t>
  </si>
  <si>
    <t xml:space="preserve">Payments made to providers based on their performance on specific metrics, which could be related to quality of care, patient outcomes, or data reporting. Includes pay-for-performance, i.e., payments to reward providers for achieving a set target, and pay-for-reporting, i.e., payments to providers for reporting on a set of metrics, usually to build capacity for pay-for-performance, payments. Includes shared savings distributions, i.e., payments received by providers if costs of services are below a set target, and shared risk recoupments, i.e., payments providers must recoup if costs of services are above a set target.
</t>
  </si>
  <si>
    <t>Non-Claims: Shared Savings and Shared Risk Settlements</t>
  </si>
  <si>
    <t>Financial arrangements where providers are rewarded for achieving cost savings and/or quality goals for a defined set of services over a specific period. Providers may share in the savings generated or bear financial risk if costs exceed expectations. Payments under this category includes shared savings and shared risk settlements a) for fee-for-service episode-based contracts and b) for fee-for-service total cost of care contracts.</t>
  </si>
  <si>
    <t>Non-Claims: Capitation and Full Risk Payments</t>
  </si>
  <si>
    <t xml:space="preserve">Payments made to providers on a per-patient basis, regardless of the amount of care the patient receives, with the provider assuming full financial risk. All non-claims-based payments for services delivered under the following payment arrangements: a) prospective episode-based payments that include full risk, b) capitation, c) prospective global budget payment with full risk, and d) full risk payments to integrated finance and delivery systems.
</t>
  </si>
  <si>
    <t>Non-Claims: Other</t>
  </si>
  <si>
    <t xml:space="preserve">All other payments made pursuant to the insurer’s contract with a provider not made on the basis of a claim for healthcare benefits/services and cannot be properly classified elsewhere. This may include governmental payer shortfall payments, grants or other surplus payments. Only payments made to providers are to be reported; insurer administrative expenditures (including corporate allocations) are not included in TME.
</t>
  </si>
  <si>
    <t>Non-Claims: Total Primary Care Non-Claims-Based Payments</t>
  </si>
  <si>
    <t>All non-claims-based payments included in the above six categories that are specifically made to a primary care provider or provider organization. Payments in this category should be a sub-set of payments reported in the other non-claims categories. This category is the only category not mutually exclusive to the other non-claims categories.</t>
  </si>
  <si>
    <t>Total Claims Excluded because of Truncation</t>
  </si>
  <si>
    <t xml:space="preserve">The total claims-based spending truncated using the truncation points listed in the Implementation Manual. This variable is collected by Insurance Category Code for each Advanced Network and for the Carrier Overall. 
While OHS recognizes that some insurance carriers separately truncate medical and pharmacy spending in their total cost of care contracts, OHS requests that truncation be applied to individuals’ total spending, inclusive of all medical and pharmacy spending.
For insurance carriers reporting Insurance Category Code 4 spending (Commercial: Partial Claims), the member level truncation should be applied after estimates of carve-out spending have been made, so that truncation is being applied to an estimate of individual members’ total claims spending.
</t>
  </si>
  <si>
    <t>Count of Members with Claims Truncated</t>
  </si>
  <si>
    <t xml:space="preserve">The number of members whose spending was above the truncation threshold applicable to the Insurance Category Code and Advanced Network to which the member was attributed. This variable is collected by Insurance Category Code for each Advanced Network and for the Carrier Overall. 
</t>
  </si>
  <si>
    <t>RX Rebates Tab</t>
  </si>
  <si>
    <t xml:space="preserve">A number that indicates the insurance category that pharmacy rebates are being reported on. Use the applicable Insurance Category Code as defined previously in the Advanced Network Record File (not all Insurance Category Codes may be applicable to pharmacy rebates).
</t>
  </si>
  <si>
    <t>Pharmacy Rebates</t>
  </si>
  <si>
    <t xml:space="preserve">The estimated or actual value of total federal and state supplemental rebates attributed to Connecticut resident members provided by pharmaceutical manufactures for prescription drugs with specified dates of fill corresponding to the period beginning date through end date of the respective calendar year, excluding manufacturer-provided fair market value bona fide service fees. This amount shall include pharmacy benefit manager (PBM) rebate guarantee amounts and any additional rebate amounts transferred by the PBM. Total rebates should be reported without regard to how they are paid to DSS (e.g., through regular aggregate payments, on a claims-by-claim basis, etc.).
</t>
  </si>
  <si>
    <t>Line of Business Enrollment Tab</t>
  </si>
  <si>
    <t xml:space="preserve">The number of members participating in a plan categorized by DSS as Medicaid/CHIP and Medicare/Medicaid duals, reported using the line of business category codes listed in the References Tables tab. 
</t>
  </si>
  <si>
    <t>Standard Deviation Tab</t>
  </si>
  <si>
    <t xml:space="preserve">Code referring to the Medicaid market (Medicaid Expenses for Non-Dual Eligible Members). See the References Tables tab.
</t>
  </si>
  <si>
    <t>Total Truncated Spending</t>
  </si>
  <si>
    <t>The total claims-based spending after truncation attributed to each member participating in a plan each month with a medical benefit consistent with the general cost growth target specifications on how to calculate claims-based spending. The spending in these cells should be after member-level truncation is applied using the truncation points listed in the Implementation Manual. Do not include any non-claims spending categories.
Some insurers will attribute members to Advanced Networks on a monthly basis. If a member is attributed to more than one Advanced Network during the year, the payer should “reset the clock” by calculating total spending attributed to the Advanced Network for all Advanced Networks to which the member was reported and identify the total spending above the truncation point by each Advanced Network.
For insurers reporting in Insurance Category Code 4 (Partial Claims, Adjusted), the member level truncation should be applied after estimates of carve-out spending have been made, so that truncation is being applied to an estimate of individual members’ total claims spending.</t>
  </si>
  <si>
    <t>Standard Deviation of Claims Expenditures</t>
  </si>
  <si>
    <t xml:space="preserve">The calculated standard deviation for all members for the applicable market and Advanced Network, reported as a PMPM value. Insurance carriers should include all members attributed to an Advanced Network, including members with no utilization. Standard deviation should be based on per-member-per-month (PMPM) spending. Insurance carriers should calculate the standard deviation PMPM after partial claims adjustments. Non-claims expenditures should be excluded from the calculation. 
</t>
  </si>
  <si>
    <t>Age/Sex Factors Tab</t>
  </si>
  <si>
    <t xml:space="preserve">The OHS-assigned organizational ID of the Advanced Network or the Carrier Overall. For TME data for members who are unattributed to an Code associated with the age band of the members whose spending is being reported. See References Tables tab.
</t>
  </si>
  <si>
    <t>Sex Band Code</t>
  </si>
  <si>
    <t xml:space="preserve">Code associated with the sex of the members whose spending is being reported. See References Tables tab.
</t>
  </si>
  <si>
    <t>Total Member Months by Age/Sex Band</t>
  </si>
  <si>
    <t xml:space="preserve">The number of unique Connecticut resident members for the age/sex cell participating in a plan each month with a medical benefit, regardless of whether the member has any paid claims. Member months should be calculated by summing the number of months each member was enrolled in a plan with a medical benefit for one calendar year. The age of the member should be determined as of January 1st of the calendar year.
</t>
  </si>
  <si>
    <t>Total Spending before Truncation is Applied</t>
  </si>
  <si>
    <t xml:space="preserve">The annual total claims-based spending attributed to each member participating in a plan each month with a medical benefit consistent with aforementioned specifications on how to calculate claims-based spending. The spending in these cells should be before member-level truncation is applied. Do not include any non-claims spending categories.
</t>
  </si>
  <si>
    <t>Count of Members whose Spending was Truncated</t>
  </si>
  <si>
    <t xml:space="preserve">The number of members whose spending was above the truncation threshold applicable to the Insurance Category Code and Advanced Network to which the member was attributed. This variable is collected by Insurance Category Code for each Advanced Network. 
</t>
  </si>
  <si>
    <t>Total Spending After Applying Truncation at the Member Level</t>
  </si>
  <si>
    <t>Total Spending Excluded from Spending After Applying Truncation at the Member Level</t>
  </si>
  <si>
    <t>The sum of all dollars that were removed from total spending after applying truncation at the member level.</t>
  </si>
  <si>
    <t>Connecticut</t>
  </si>
  <si>
    <t>Header Record Template - 2023</t>
  </si>
  <si>
    <t>Black = Payer-reported data </t>
  </si>
  <si>
    <r>
      <rPr>
        <b/>
        <sz val="18"/>
        <color theme="0"/>
        <rFont val="Calibri"/>
        <family val="2"/>
        <scheme val="minor"/>
      </rPr>
      <t xml:space="preserve">Please enter </t>
    </r>
    <r>
      <rPr>
        <b/>
        <u/>
        <sz val="18"/>
        <color theme="0"/>
        <rFont val="Calibri"/>
        <family val="2"/>
        <scheme val="minor"/>
      </rPr>
      <t>2023</t>
    </r>
    <r>
      <rPr>
        <b/>
        <sz val="18"/>
        <color theme="0"/>
        <rFont val="Calibri"/>
        <family val="2"/>
        <scheme val="minor"/>
      </rPr>
      <t xml:space="preserve"> data in this tab.</t>
    </r>
  </si>
  <si>
    <t>HD001</t>
  </si>
  <si>
    <t>HD002</t>
  </si>
  <si>
    <t>HD003</t>
  </si>
  <si>
    <t>HD004</t>
  </si>
  <si>
    <t>HD005</t>
  </si>
  <si>
    <t>Insurer Carrier Org ID</t>
  </si>
  <si>
    <t>Period Beginning Date</t>
  </si>
  <si>
    <t>Period Ending Date</t>
  </si>
  <si>
    <t>Insurer Comments</t>
  </si>
  <si>
    <t>"Doing Business As"</t>
  </si>
  <si>
    <t>N/A</t>
  </si>
  <si>
    <t>Header Record Template - 2024</t>
  </si>
  <si>
    <r>
      <rPr>
        <b/>
        <sz val="18"/>
        <color theme="0"/>
        <rFont val="Calibri"/>
        <family val="2"/>
        <scheme val="minor"/>
      </rPr>
      <t xml:space="preserve">Please enter </t>
    </r>
    <r>
      <rPr>
        <b/>
        <u/>
        <sz val="18"/>
        <color theme="0"/>
        <rFont val="Calibri"/>
        <family val="2"/>
        <scheme val="minor"/>
      </rPr>
      <t>2024</t>
    </r>
    <r>
      <rPr>
        <b/>
        <sz val="18"/>
        <color theme="0"/>
        <rFont val="Calibri"/>
        <family val="2"/>
        <scheme val="minor"/>
      </rPr>
      <t xml:space="preserve"> data in this tab.</t>
    </r>
  </si>
  <si>
    <t>Total Medical Expenses Calculation Template - 2023</t>
  </si>
  <si>
    <t>ANs without members attributed</t>
  </si>
  <si>
    <t>Check for Member Months</t>
  </si>
  <si>
    <t>Check for Truncated and Non-Truncated Spending</t>
  </si>
  <si>
    <t>Check for Average Truncated Claims Per Member</t>
  </si>
  <si>
    <t>Blue = OHS-calculated data</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</si>
  <si>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</si>
  <si>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</si>
  <si>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</si>
  <si>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</si>
  <si>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</si>
  <si>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</si>
  <si>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</si>
  <si>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</si>
  <si>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</si>
  <si>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</si>
  <si>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</si>
  <si>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</si>
  <si>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</si>
  <si>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</si>
  <si>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</si>
  <si>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</si>
  <si>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</si>
  <si>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</si>
  <si>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</si>
  <si>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</si>
  <si>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</si>
  <si>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</si>
  <si>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</si>
  <si>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</si>
  <si>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</si>
  <si>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</si>
  <si>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</si>
  <si>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Advanced Network/Insurance Carrier Org ID</t>
  </si>
  <si>
    <t>Member Months</t>
  </si>
  <si>
    <t>TOTAL Non-Truncated Unadjusted Claims Expenses</t>
  </si>
  <si>
    <t>TOTAL Truncated Unadjusted Claims Expenses (A21 -A19)</t>
  </si>
  <si>
    <t>TOTAL Non-Claims Expenses</t>
  </si>
  <si>
    <t>TOTAL Non-Truncated Unadjusted Expenses (A21 + A23)</t>
  </si>
  <si>
    <t>TOTAL Truncated Unadjusted Expenses (A22 + A23)</t>
  </si>
  <si>
    <t>Non-Truncated Unadjusted TME (PMPM) (A24 / A1)</t>
  </si>
  <si>
    <t>Truncated Unadjusted TME (PMPM) (A25 / A1)</t>
  </si>
  <si>
    <t>Average Claims Truncated Per Member</t>
  </si>
  <si>
    <t>Total Claims Excluded (A19)/Total Non-Truncated Claims Expenses (A21)</t>
  </si>
  <si>
    <t>Total Medical Expenses Calculation Template - 2024</t>
  </si>
  <si>
    <t>Pharmacy Rebate Template - 2023</t>
  </si>
  <si>
    <t>Retail Pharmacy Rebates</t>
  </si>
  <si>
    <t>Medical Pharmacy Rebates</t>
  </si>
  <si>
    <t>Total Pharmacy Rebates</t>
  </si>
  <si>
    <t>Pharmacy Rebate Template - 2024</t>
  </si>
  <si>
    <t>Line of Business Enrollment Template - 2023 and 2024</t>
  </si>
  <si>
    <r>
      <rPr>
        <b/>
        <sz val="18"/>
        <color theme="0"/>
        <rFont val="Calibri"/>
        <family val="2"/>
        <scheme val="minor"/>
      </rPr>
      <t xml:space="preserve">Please enter </t>
    </r>
    <r>
      <rPr>
        <b/>
        <u/>
        <sz val="18"/>
        <color theme="0"/>
        <rFont val="Calibri"/>
        <family val="2"/>
        <scheme val="minor"/>
      </rPr>
      <t>2023</t>
    </r>
    <r>
      <rPr>
        <b/>
        <sz val="18"/>
        <color theme="0"/>
        <rFont val="Calibri"/>
        <family val="2"/>
        <scheme val="minor"/>
      </rPr>
      <t xml:space="preserve"> and </t>
    </r>
    <r>
      <rPr>
        <b/>
        <u/>
        <sz val="18"/>
        <color theme="0"/>
        <rFont val="Calibri"/>
        <family val="2"/>
        <scheme val="minor"/>
      </rPr>
      <t>2024</t>
    </r>
    <r>
      <rPr>
        <b/>
        <sz val="18"/>
        <color theme="0"/>
        <rFont val="Calibri"/>
        <family val="2"/>
        <scheme val="minor"/>
      </rPr>
      <t xml:space="preserve"> data in this tab.</t>
    </r>
  </si>
  <si>
    <t>2023 Member Months</t>
  </si>
  <si>
    <t>2024 Member Months</t>
  </si>
  <si>
    <t>Standard Deviation Template - 2023</t>
  </si>
  <si>
    <t xml:space="preserve">Member Months </t>
  </si>
  <si>
    <t>Standard Deviation PMPM</t>
  </si>
  <si>
    <t>Standard Deviation Template - 2024</t>
  </si>
  <si>
    <t>Age/Sex Factors Template - 2023</t>
  </si>
  <si>
    <t>Advanced Network ID</t>
  </si>
  <si>
    <t>Total Dollars Excluded from Spending After Applying Truncation at the Member Level</t>
  </si>
  <si>
    <t>Truncated Spending + Dollars Excluded = Total Spending before Truncation is Applied?</t>
  </si>
  <si>
    <t>Age/Sex Factors Template - 2024</t>
  </si>
  <si>
    <t>Connecticut Insurer TME Data Specifications
Mandatory Questions</t>
  </si>
  <si>
    <t>I verify that the information in this workbook is accurate.</t>
  </si>
  <si>
    <t>Contact Name:</t>
  </si>
  <si>
    <t>[Input Required]</t>
  </si>
  <si>
    <t>Contact Email:</t>
  </si>
  <si>
    <t>All questions in this tab must be answered.</t>
  </si>
  <si>
    <t>Questions</t>
  </si>
  <si>
    <t>Response - 2023 Reporting</t>
  </si>
  <si>
    <t>Response - 2024 Reporting</t>
  </si>
  <si>
    <t>Comments</t>
  </si>
  <si>
    <t>Is spending reported in a manner consistent with the service category definitions outlined in Version 5.0 of the Implementation Manual?</t>
  </si>
  <si>
    <t>Does the TME data include Connecticut residents only?</t>
  </si>
  <si>
    <t>Do the data represent members who receive, at a minimum, medical benefits?</t>
  </si>
  <si>
    <t>Are the data limited only to members for whom the insurer is primary on the claim?</t>
  </si>
  <si>
    <t>Are members attributed to Advanced Networks consistent with each contract?</t>
  </si>
  <si>
    <t>Were members attributed using the Taxpayer Identification Numbers (TINs) provided by OHS?</t>
  </si>
  <si>
    <t>Do the TME data include allowed amounts?</t>
  </si>
  <si>
    <t>Does the TME include services provided by providers, regardless of location of provider?</t>
  </si>
  <si>
    <t>Does the TME include services provided by providers, regardless of the situs of the member's plan?</t>
  </si>
  <si>
    <t>Do the TME data include all data for all attributed members for each month a member was attributed?</t>
  </si>
  <si>
    <t>Are TME data submitted based on the incurred date/date of service?</t>
  </si>
  <si>
    <t xml:space="preserve">How long was the claims runout period for claims payments (e.g., "at least 180 days")? </t>
  </si>
  <si>
    <t xml:space="preserve">How long was the runout period for non-claims payments (e.g., "at least 180 days")? </t>
  </si>
  <si>
    <t>Are IBNR/IBNP factors applied to the TME data?</t>
  </si>
  <si>
    <t xml:space="preserve">Do the spending in the age/sex bands contain non-claims data? </t>
  </si>
  <si>
    <t xml:space="preserve">Is truncation applied at the member level? </t>
  </si>
  <si>
    <t>Are members attributed to an Advanced Network less than annually? If yes, did you apply the "reset the clock" approach to truncate spending for members who switch Advanced Networks mid-year?</t>
  </si>
  <si>
    <t xml:space="preserve">If reporting ICC 4, was the spending adjusted prior to truncation? </t>
  </si>
  <si>
    <t>Are pharmacy rebate data estimated? If yes, how?</t>
  </si>
  <si>
    <t>What carved-out services are estimated? If estimations were made, did OHS approve your methodology for estimating?</t>
  </si>
  <si>
    <t>Is the standard deviation calculated using the formula for population standard deviation?</t>
  </si>
  <si>
    <t>In calculating standard deviation, is spending included for every month the member was attributed, regardless of whether the member has paid claims?</t>
  </si>
  <si>
    <t>Does the standard deviation data exclude non-claims spending?</t>
  </si>
  <si>
    <t>Is standard deviation calculated by market, which combines certain Insurance Category codes?</t>
  </si>
  <si>
    <t>Did you review the "Validation by Market," "Validation by Provider", and "Data Validation" tabs to ensure the consistency and accuracy of the data being submitted?</t>
  </si>
  <si>
    <t>For delegated payment arrangements reported under "Non-Claim: Capitation and Full Risk Payments," were administrative expenses included in the reported payments? If not applicable, select "Not Applicable."</t>
  </si>
  <si>
    <t>Is there anything else you would like us to know about the data you submitted?</t>
  </si>
  <si>
    <t>This tab uses the data you submitted in the Advanced Network and Rx Rebates tabs to calculate member month and per member per month (PMPM) spend and trend by market and spending category. Please review the data in this tab prior to submission to ensure that you are comfortable with the 2023 and 2024 PMPM values and trends reflected in the tables below.</t>
  </si>
  <si>
    <t>Table 1: Member Months by Market</t>
  </si>
  <si>
    <t>Market</t>
  </si>
  <si>
    <t>2023</t>
  </si>
  <si>
    <t>2024</t>
  </si>
  <si>
    <t>2023-2024 Trend</t>
  </si>
  <si>
    <t>Medicaid - Total</t>
  </si>
  <si>
    <t>Medicaid - Medicaid including CHIP (excluding Medicare/Medicaid Dual Eligibles)</t>
  </si>
  <si>
    <t>Medicaid - Expenditures for Medicare/Medicaid Dual Eligibles</t>
  </si>
  <si>
    <t>Total</t>
  </si>
  <si>
    <t>Table 2: Total Medical Expense (TME) Trends by Market, Net of Rebates (Non-Truncated, Unadjusted)</t>
  </si>
  <si>
    <t>Table 3: Per Member Per Month (PMPM) TME Trends by Market, Net of Rebates (Non-Truncated, Unadjusted)</t>
  </si>
  <si>
    <t>Total (Unadjusted, Net of Total Rebates)</t>
  </si>
  <si>
    <t>Table 4: Total Medical Expense (TME) Trends by Market, Net of Rebates (Truncated, Unadjusted)</t>
  </si>
  <si>
    <t>Table 5: Per Member Per Month (PMPM) TME Trends by Market, Net of Rebates (Truncated, Unadjusted)</t>
  </si>
  <si>
    <t>Table 6: Medicaid - Total TME Trends PMPM</t>
  </si>
  <si>
    <t>Table 7: Medicaid - Medicaid including CHIP (excluding Medicare/Medicaid Dual Eligibles) (ICC 2) TME Trends PMPM</t>
  </si>
  <si>
    <t>Table 8: Medicaid - Medicaid Expenditures for Medicare/Medicaid Dual Eligibles (ICC 6) TME Trends PMPM</t>
  </si>
  <si>
    <t>Note: PMPMs are not risk adjusted.</t>
  </si>
  <si>
    <t>Service Category</t>
  </si>
  <si>
    <t>Claims: Pharmacy (Gross of Total Pharmacy Rebates)</t>
  </si>
  <si>
    <t>Claims: Pharmacy (Net of Total Pharmacy Rebates)</t>
  </si>
  <si>
    <t>Total Non-Truncated Claims Spending</t>
  </si>
  <si>
    <t>Total Truncated Claims Spending</t>
  </si>
  <si>
    <t>Total Non-claims Spending</t>
  </si>
  <si>
    <t>Total Non-Truncated Spending, Gross of Total Rebates</t>
  </si>
  <si>
    <t>Total Non-Truncated Spending, Net of Total Rebates</t>
  </si>
  <si>
    <t>Total Truncated Spending, Gross of Total Rebates</t>
  </si>
  <si>
    <t>Total Truncated Spending, Net of Total Rebates</t>
  </si>
  <si>
    <t>Validation by Advanced Network</t>
  </si>
  <si>
    <t>This tab uses the data you submitted in the Advanced Network and Rx Rebates tabs to calculate member month and per member per month (PMPM) spend and trends by Advanced Network and spending category. Please review the data in this tab prior to submission to ensure that you are comfortable with the 2023 and 2024 PMPM values and trend reflected in the tables below.</t>
  </si>
  <si>
    <t>Table 1: Medicaid - Medicaid including CHIP (excluding Medicare/Medicaid Dual Eligibles) (ICC 2) TME Service Category Trends PMPM</t>
  </si>
  <si>
    <t>Advanced Network</t>
  </si>
  <si>
    <t>Org ID</t>
  </si>
  <si>
    <t>Name</t>
  </si>
  <si>
    <t>Claims: Professional, Primary Care (Monitoring)</t>
  </si>
  <si>
    <t>Claims: Pharmacy (Gross of Rebates)</t>
  </si>
  <si>
    <t>Claims: Long-term Care</t>
  </si>
  <si>
    <t>TOTAL Non-Truncated Claims Expenses</t>
  </si>
  <si>
    <t>TOTAL Truncated Claims Expenses</t>
  </si>
  <si>
    <t>TOTAL Non-Truncated Total Expenses</t>
  </si>
  <si>
    <t>TOTAL Truncated Total Expenses</t>
  </si>
  <si>
    <t>Total, Gross of Rebates</t>
  </si>
  <si>
    <t>Total, Net of Rebates</t>
  </si>
  <si>
    <t>Table of Contents &amp; Summary Report</t>
  </si>
  <si>
    <t>Issue for 2023?</t>
  </si>
  <si>
    <t>Issue for 2024?</t>
  </si>
  <si>
    <t>Check for DSS Overall: Alignment of member months across the Advanced Network, Age/Sex, and Line of Business Tabs</t>
  </si>
  <si>
    <t>ICC2</t>
  </si>
  <si>
    <t>ICC6</t>
  </si>
  <si>
    <t>Check by Advanced Network: Alignment of truncated and non-truncated spending by Advanced Network Across the AN and Age/Sex tabs</t>
  </si>
  <si>
    <t>Advanced Networks With No Spending Attributed</t>
  </si>
  <si>
    <t>Is truncated spending at the AN level greater than or equal to truncated spending for DSS Overall?</t>
  </si>
  <si>
    <t>For how many Advanced Networks was there a significant (&gt;10%) increase or decrease in member months attributed from 2023 to 2024 (for ICC2)?</t>
  </si>
  <si>
    <t>Reporting Period</t>
  </si>
  <si>
    <t>Reported Dates</t>
  </si>
  <si>
    <t>Notes: May need to manually add more rows if payer is submitting more than one reporting period for some reason.</t>
  </si>
  <si>
    <t>Expected Insurance Category Codes for DSS</t>
  </si>
  <si>
    <t>Red highlighting indicates that there is no data where we would expected reported values.</t>
  </si>
  <si>
    <t>Expected in 2023?</t>
  </si>
  <si>
    <t>Reported in Advanced Network tab for 2023?</t>
  </si>
  <si>
    <t>Expected in 2024?</t>
  </si>
  <si>
    <t>Reported in Advanced Network tab for 2024?</t>
  </si>
  <si>
    <t>Consistent across 2023 and 2024?</t>
  </si>
  <si>
    <t>Consistency of Member Months Across Advanced Network, Line of Business, and Age/Sex tabs for 2023 for DSS Overall by Market</t>
  </si>
  <si>
    <t>Red highlighting indicates member months do not match across tabs.</t>
  </si>
  <si>
    <t>Category</t>
  </si>
  <si>
    <t>Line of Business</t>
  </si>
  <si>
    <t>Consistent? If not, what is the variation between the Advanced Network and LOB tabs?</t>
  </si>
  <si>
    <t>Age/Sex</t>
  </si>
  <si>
    <t>Consistent? If not, what is the variation between the Advanced Network and Age/Sex tabs?</t>
  </si>
  <si>
    <t>Medicaid (ICC2)</t>
  </si>
  <si>
    <t>Duals (ICC 6)</t>
  </si>
  <si>
    <t>Consistency of Member Months Across Advanced Network, Line of Business, and Age/Sex tabs for 2024 for DSS Overall by Market</t>
  </si>
  <si>
    <t>Duals (ICCs 6)</t>
  </si>
  <si>
    <t>Check that members were attributed to all Advanced Networks</t>
  </si>
  <si>
    <t>Insurance Category Code 2</t>
  </si>
  <si>
    <t>Insurnace Category Code 6</t>
  </si>
  <si>
    <t>Consistency of Truncated Spending and Members with Truncated Spending and Age/Sex tabs for 2023 by Advanced Network</t>
  </si>
  <si>
    <t>Data from 2023 Age/Sex tab</t>
  </si>
  <si>
    <t>Do data in the Age/Sex tabs match data in the TME tab for 2023?</t>
  </si>
  <si>
    <t>Extra Checks</t>
  </si>
  <si>
    <t>Data from 2024 Age/Sex tab</t>
  </si>
  <si>
    <t>Do data in the Age/Sex tabs match data in the TME tab for 2024?</t>
  </si>
  <si>
    <t>Count of members whose spending was truncated</t>
  </si>
  <si>
    <t>Total Dollars excluded?</t>
  </si>
  <si>
    <t>Count of members whose spending was truncated?</t>
  </si>
  <si>
    <t>Total Spending before Truncation is Applied?</t>
  </si>
  <si>
    <t>Total Spending After Applying Truncation at the Member Level?</t>
  </si>
  <si>
    <t>Total Members greater than Count of Members with Claims Truncated?
If not, what is the variation?</t>
  </si>
  <si>
    <t>TME Tab: Spending before Truncation greater than (or equal to) Spending after Truncation?</t>
  </si>
  <si>
    <t>TME Tab: 
Truncated Spending + Amount of Claims Truncated = Total Spending before Truncation?</t>
  </si>
  <si>
    <t>Change in Member Months between 2023 and 2024 by AN</t>
  </si>
  <si>
    <t>Insurance Category Code 6</t>
  </si>
  <si>
    <t>Reasonableness of PMPMs for 2023</t>
  </si>
  <si>
    <t>Red highlighting indicates the reported PMPM is less than &lt;$10, potentially indicating an error.</t>
  </si>
  <si>
    <t>Unadjusted TME</t>
  </si>
  <si>
    <t>Total Non-Claims</t>
  </si>
  <si>
    <t>Reasonableness of PMPMs for 2024</t>
  </si>
  <si>
    <t>Responses to Mandatory Questions</t>
  </si>
  <si>
    <t>Red highlighting indicates a response that deviates from the answer we would expect to receive.</t>
  </si>
  <si>
    <t>Question</t>
  </si>
  <si>
    <t>2023 Answer</t>
  </si>
  <si>
    <t>Expected?</t>
  </si>
  <si>
    <t>2024 Answer</t>
  </si>
  <si>
    <t>Expected Insurance Category Codes</t>
  </si>
  <si>
    <t>Medicaid Managed Care</t>
  </si>
  <si>
    <t>Commercial Full Claims</t>
  </si>
  <si>
    <t>Commercial Partial Claims</t>
  </si>
  <si>
    <t>Medicare Exp. Duals</t>
  </si>
  <si>
    <t>Medicaid Exp. Duals</t>
  </si>
  <si>
    <t>X</t>
  </si>
  <si>
    <t>Connecticut Office of the State Comptroller</t>
  </si>
  <si>
    <t>Medicare Managed Care Enrollment by State/County/Contract 
X 12</t>
  </si>
  <si>
    <t>Expected Answer</t>
  </si>
  <si>
    <t>At least 120 days</t>
  </si>
  <si>
    <t>At least 180 days</t>
  </si>
  <si>
    <t>Not Applicable</t>
  </si>
  <si>
    <t>Senior Care Network of CT (dba Advantage Plus Network)</t>
  </si>
  <si>
    <t>The definitions below are pulled directly from Version 5.1 of the Implementation Manual.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</si>
</sst>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409]mmmm\ d\,\ yyyy;@"/>
    <numFmt numFmtId="167" formatCode="0.0%"/>
    <numFmt numFmtId="168" formatCode="_([$$-409]* #,##0.00_);_([$$-409]* \(#,##0.00\);_([$$-409]* &quot;-&quot;??_);_(@_)"/>
    <numFmt numFmtId="169" formatCode="&quot;$&quot;#,##0.00"/>
  </numFmts>
  <fonts count="27" x14ac:knownFonts="1">
    <font>
      <sz val="11"/>
      <color theme="1"/>
      <name val="Calibri"/>
      <family val="2"/>
      <scheme val="minor"/>
    </font>
    <font>
      <b/>
      <sz val="11"/>
      <color theme="1"/>
      <name val="Calibri"/>
      <family val="2"/>
      <scheme val="minor"/>
    </font>
    <font>
      <b/>
      <u/>
      <sz val="11"/>
      <color theme="1"/>
      <name val="Calibri"/>
      <family val="2"/>
      <scheme val="minor"/>
    </font>
    <font>
      <sz val="10"/>
      <name val="Calibri"/>
      <family val="2"/>
    </font>
    <font>
      <sz val="11"/>
      <color rgb="FF0070C0"/>
      <name val="Calibri"/>
      <family val="2"/>
      <scheme val="minor"/>
    </font>
    <font>
      <sz val="11"/>
      <color theme="1"/>
      <name val="Calibri"/>
      <family val="2"/>
      <scheme val="minor"/>
    </font>
    <font>
      <i/>
      <sz val="11"/>
      <color theme="1"/>
      <name val="Calibri"/>
      <family val="2"/>
      <scheme val="minor"/>
    </font>
    <font>
      <sz val="11"/>
      <color rgb="FFFF0000"/>
      <name val="Calibri"/>
      <family val="2"/>
      <scheme val="minor"/>
    </font>
    <font>
      <b/>
      <sz val="11"/>
      <name val="Calibri"/>
      <family val="2"/>
      <scheme val="minor"/>
    </font>
    <font>
      <b/>
      <u/>
      <sz val="11"/>
      <color rgb="FFFF0000"/>
      <name val="Calibri"/>
      <family val="2"/>
      <scheme val="minor"/>
    </font>
    <font>
      <sz val="11"/>
      <name val="Calibri"/>
      <family val="2"/>
      <scheme val="minor"/>
    </font>
    <font>
      <sz val="11"/>
      <color rgb="FFC00000"/>
      <name val="Calibri"/>
      <family val="2"/>
      <scheme val="minor"/>
    </font>
    <font>
      <b/>
      <sz val="11"/>
      <color theme="0"/>
      <name val="Calibri"/>
      <family val="2"/>
      <scheme val="minor"/>
    </font>
    <font>
      <i/>
      <sz val="11"/>
      <color rgb="FFC00000"/>
      <name val="Calibri"/>
      <family val="2"/>
      <scheme val="minor"/>
    </font>
    <font>
      <i/>
      <sz val="11"/>
      <name val="Calibri"/>
      <family val="2"/>
      <scheme val="minor"/>
    </font>
    <font>
      <b/>
      <sz val="12"/>
      <color theme="1"/>
      <name val="Calibri"/>
      <family val="2"/>
      <scheme val="minor"/>
    </font>
    <font>
      <sz val="11"/>
      <color theme="5"/>
      <name val="Calibri"/>
      <family val="2"/>
      <scheme val="minor"/>
    </font>
    <font>
      <b/>
      <sz val="14"/>
      <color theme="1"/>
      <name val="Calibri"/>
      <family val="2"/>
      <scheme val="minor"/>
    </font>
    <font>
      <sz val="12"/>
      <color theme="1"/>
      <name val="Calibri"/>
      <family val="2"/>
      <scheme val="minor"/>
    </font>
    <font>
      <sz val="8"/>
      <name val="Calibri"/>
      <family val="2"/>
      <scheme val="minor"/>
    </font>
    <font>
      <sz val="11"/>
      <color theme="0"/>
      <name val="Calibri"/>
      <family val="2"/>
      <scheme val="minor"/>
    </font>
    <font>
      <b/>
      <sz val="18"/>
      <name val="Calibri"/>
      <family val="2"/>
      <scheme val="minor"/>
    </font>
    <font>
      <u/>
      <sz val="11"/>
      <color theme="10"/>
      <name val="Calibri"/>
      <family val="2"/>
      <scheme val="minor"/>
    </font>
    <font>
      <sz val="11"/>
      <color rgb="FF0070C0"/>
      <name val="Calibri"/>
      <family val="2"/>
    </font>
    <font>
      <b/>
      <u/>
      <sz val="18"/>
      <color theme="0"/>
      <name val="Calibri"/>
      <family val="2"/>
      <scheme val="minor"/>
    </font>
    <font>
      <b/>
      <sz val="18"/>
      <color theme="0"/>
      <name val="Calibri"/>
      <family val="2"/>
      <scheme val="minor"/>
    </font>
    <font>
      <u/>
      <sz val="11"/>
      <color theme="1"/>
      <name val="Calibri"/>
      <family val="2"/>
      <scheme val="minor"/>
    </font>
  </fonts>
  <fills count="20">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4"/>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1"/>
        <bgColor indexed="64"/>
      </patternFill>
    </fill>
    <fill>
      <patternFill patternType="solid">
        <fgColor theme="3"/>
        <bgColor indexed="64"/>
      </patternFill>
    </fill>
    <fill>
      <patternFill patternType="solid">
        <fgColor theme="8"/>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rgb="FFFFFFCC"/>
        <bgColor indexed="64"/>
      </patternFill>
    </fill>
    <fill>
      <patternFill patternType="solid">
        <fgColor rgb="FF00B050"/>
        <bgColor indexed="64"/>
      </patternFill>
    </fill>
    <fill>
      <patternFill patternType="solid">
        <fgColor theme="4" tint="0.79998168889431442"/>
        <bgColor theme="4" tint="0.79998168889431442"/>
      </patternFill>
    </fill>
    <fill>
      <patternFill patternType="solid">
        <fgColor rgb="FF0000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theme="0" tint="-0.14999847407452621"/>
      </left>
      <right/>
      <top/>
      <bottom style="thin">
        <color indexed="64"/>
      </bottom>
      <diagonal/>
    </border>
    <border>
      <left/>
      <right/>
      <top style="thin">
        <color theme="4"/>
      </top>
      <bottom/>
      <diagonal/>
    </border>
    <border>
      <left style="thin">
        <color theme="4"/>
      </left>
      <right/>
      <top/>
      <bottom/>
      <diagonal/>
    </border>
    <border>
      <left style="thin">
        <color indexed="64"/>
      </left>
      <right style="thin">
        <color indexed="64"/>
      </right>
      <top/>
      <bottom style="thin">
        <color rgb="FF000000"/>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medium">
        <color indexed="64"/>
      </right>
      <top style="thin">
        <color indexed="64"/>
      </top>
      <bottom/>
      <diagonal/>
    </border>
    <border>
      <left/>
      <right style="thin">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7">
    <xf numFmtId="0" fontId="0" fillId="0" borderId="0"/>
    <xf numFmtId="0" fontId="3" fillId="0" borderId="0"/>
    <xf numFmtId="43" fontId="3"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22" fillId="0" borderId="0" applyNumberFormat="0" applyFill="0" applyBorder="0" applyAlignment="0" applyProtection="0"/>
  </cellStyleXfs>
  <cellXfs count="371">
    <xf numFmtId="0" fontId="0" fillId="0" borderId="0" xfId="0"/>
    <xf numFmtId="0" fontId="1" fillId="0" borderId="0" xfId="0" applyFont="1"/>
    <xf numFmtId="0" fontId="0" fillId="0" borderId="0" xfId="0" applyAlignment="1">
      <alignment horizontal="center"/>
    </xf>
    <xf numFmtId="3" fontId="0" fillId="0" borderId="0" xfId="0" applyNumberFormat="1"/>
    <xf numFmtId="0" fontId="0" fillId="0" borderId="1" xfId="0" applyBorder="1" applyAlignment="1">
      <alignment horizontal="center"/>
    </xf>
    <xf numFmtId="0" fontId="1" fillId="0" borderId="1" xfId="0" applyFont="1" applyBorder="1" applyAlignment="1">
      <alignment horizontal="center"/>
    </xf>
    <xf numFmtId="0" fontId="0" fillId="3" borderId="1" xfId="0" applyFill="1" applyBorder="1" applyAlignment="1" applyProtection="1">
      <alignment horizontal="center" vertical="center"/>
      <protection locked="0"/>
    </xf>
    <xf numFmtId="0" fontId="7" fillId="0" borderId="0" xfId="0" applyFont="1"/>
    <xf numFmtId="0" fontId="1" fillId="0" borderId="1" xfId="0" applyFont="1" applyBorder="1"/>
    <xf numFmtId="0" fontId="0" fillId="0" borderId="1" xfId="0" applyBorder="1"/>
    <xf numFmtId="0" fontId="0" fillId="0" borderId="1" xfId="0" applyBorder="1" applyAlignment="1">
      <alignment wrapText="1"/>
    </xf>
    <xf numFmtId="0" fontId="0" fillId="0" borderId="1" xfId="0" applyBorder="1" applyProtection="1">
      <protection locked="0"/>
    </xf>
    <xf numFmtId="0" fontId="0" fillId="0" borderId="0" xfId="0" applyProtection="1">
      <protection locked="0"/>
    </xf>
    <xf numFmtId="0" fontId="0" fillId="0" borderId="0" xfId="0" applyAlignment="1">
      <alignment horizontal="center" wrapText="1"/>
    </xf>
    <xf numFmtId="0" fontId="11" fillId="0" borderId="0" xfId="0" applyFont="1"/>
    <xf numFmtId="0" fontId="2" fillId="0" borderId="0" xfId="0" applyFont="1"/>
    <xf numFmtId="3" fontId="0" fillId="0" borderId="1" xfId="0" applyNumberFormat="1" applyBorder="1" applyAlignment="1">
      <alignment horizontal="center"/>
    </xf>
    <xf numFmtId="0" fontId="8" fillId="0" borderId="0" xfId="0" applyFont="1"/>
    <xf numFmtId="1" fontId="0" fillId="0" borderId="0" xfId="0" applyNumberFormat="1" applyAlignment="1">
      <alignment horizontal="center"/>
    </xf>
    <xf numFmtId="0" fontId="0" fillId="0" borderId="0" xfId="0" applyAlignment="1">
      <alignment horizontal="center" vertical="center"/>
    </xf>
    <xf numFmtId="0" fontId="1" fillId="4" borderId="0" xfId="0" applyFont="1" applyFill="1" applyAlignment="1">
      <alignment horizontal="center" vertical="center"/>
    </xf>
    <xf numFmtId="0" fontId="1" fillId="4" borderId="0" xfId="0" applyFont="1" applyFill="1" applyAlignment="1">
      <alignment horizontal="center"/>
    </xf>
    <xf numFmtId="1" fontId="0" fillId="0" borderId="0" xfId="0" applyNumberFormat="1" applyAlignment="1">
      <alignment horizontal="center" wrapText="1"/>
    </xf>
    <xf numFmtId="1" fontId="1" fillId="4" borderId="0" xfId="0" applyNumberFormat="1" applyFont="1" applyFill="1" applyAlignment="1">
      <alignment horizontal="center"/>
    </xf>
    <xf numFmtId="0" fontId="0" fillId="5" borderId="0" xfId="0" applyFill="1"/>
    <xf numFmtId="49" fontId="0" fillId="0" borderId="0" xfId="0" applyNumberFormat="1"/>
    <xf numFmtId="0" fontId="6" fillId="0" borderId="0" xfId="0" applyFont="1"/>
    <xf numFmtId="0" fontId="1" fillId="0" borderId="0" xfId="0" applyFont="1" applyAlignment="1">
      <alignment horizontal="center"/>
    </xf>
    <xf numFmtId="0" fontId="10" fillId="0" borderId="1" xfId="0" applyFont="1" applyBorder="1" applyAlignment="1">
      <alignment horizontal="center"/>
    </xf>
    <xf numFmtId="0" fontId="10" fillId="0" borderId="0" xfId="0" applyFont="1"/>
    <xf numFmtId="0" fontId="0" fillId="0" borderId="0" xfId="0" applyAlignment="1">
      <alignment wrapText="1"/>
    </xf>
    <xf numFmtId="0" fontId="1" fillId="0" borderId="0" xfId="0" applyFont="1" applyAlignment="1">
      <alignment horizontal="right"/>
    </xf>
    <xf numFmtId="0" fontId="1" fillId="0" borderId="0" xfId="0" applyFont="1" applyAlignment="1">
      <alignment horizontal="left" vertical="top"/>
    </xf>
    <xf numFmtId="0" fontId="1" fillId="0" borderId="1" xfId="0" applyFont="1" applyBorder="1" applyAlignment="1">
      <alignment horizontal="center" vertical="top" wrapText="1"/>
    </xf>
    <xf numFmtId="0" fontId="0" fillId="0" borderId="0" xfId="0" applyAlignment="1">
      <alignment horizontal="left" vertical="top" wrapText="1"/>
    </xf>
    <xf numFmtId="0" fontId="0" fillId="0" borderId="0" xfId="0" applyAlignment="1">
      <alignment horizontal="left" vertical="top"/>
    </xf>
    <xf numFmtId="0" fontId="6" fillId="0" borderId="0" xfId="0" applyFont="1" applyAlignment="1">
      <alignment horizontal="left" vertical="top"/>
    </xf>
    <xf numFmtId="0" fontId="0" fillId="0" borderId="0" xfId="0" applyProtection="1">
      <protection hidden="1"/>
    </xf>
    <xf numFmtId="0" fontId="2" fillId="0" borderId="0" xfId="0" applyFont="1" applyProtection="1">
      <protection hidden="1"/>
    </xf>
    <xf numFmtId="0" fontId="1" fillId="0" borderId="1" xfId="0" applyFont="1" applyBorder="1" applyAlignment="1" applyProtection="1">
      <alignment horizontal="center"/>
      <protection hidden="1"/>
    </xf>
    <xf numFmtId="0" fontId="1" fillId="0" borderId="8" xfId="0" applyFont="1" applyBorder="1" applyAlignment="1" applyProtection="1">
      <alignment horizontal="center" wrapText="1"/>
      <protection hidden="1"/>
    </xf>
    <xf numFmtId="0" fontId="1" fillId="0" borderId="13" xfId="0" applyFont="1" applyBorder="1" applyAlignment="1" applyProtection="1">
      <alignment horizontal="center" wrapText="1"/>
      <protection hidden="1"/>
    </xf>
    <xf numFmtId="0" fontId="1" fillId="0" borderId="1" xfId="0" applyFont="1" applyBorder="1" applyAlignment="1" applyProtection="1">
      <alignment horizontal="center" wrapText="1"/>
      <protection hidden="1"/>
    </xf>
    <xf numFmtId="0" fontId="0" fillId="0" borderId="1" xfId="0" applyBorder="1" applyProtection="1">
      <protection hidden="1"/>
    </xf>
    <xf numFmtId="0" fontId="0" fillId="0" borderId="12" xfId="0" applyBorder="1" applyAlignment="1" applyProtection="1">
      <alignment horizontal="center"/>
      <protection hidden="1"/>
    </xf>
    <xf numFmtId="0" fontId="0" fillId="0" borderId="5" xfId="0" applyBorder="1" applyAlignment="1" applyProtection="1">
      <alignment horizontal="center"/>
      <protection hidden="1"/>
    </xf>
    <xf numFmtId="0" fontId="13" fillId="0" borderId="0" xfId="0" applyFont="1" applyProtection="1">
      <protection hidden="1"/>
    </xf>
    <xf numFmtId="0" fontId="15" fillId="0" borderId="0" xfId="0" applyFont="1"/>
    <xf numFmtId="44" fontId="0" fillId="0" borderId="1" xfId="3" applyFont="1" applyBorder="1" applyAlignment="1">
      <alignment horizontal="center" vertical="center"/>
    </xf>
    <xf numFmtId="44" fontId="0" fillId="0" borderId="1" xfId="3" applyFont="1" applyBorder="1" applyAlignment="1">
      <alignment horizontal="center"/>
    </xf>
    <xf numFmtId="44" fontId="0" fillId="0" borderId="1" xfId="0" applyNumberFormat="1" applyBorder="1" applyAlignment="1">
      <alignment horizontal="center"/>
    </xf>
    <xf numFmtId="0" fontId="6" fillId="0" borderId="0" xfId="0" applyFont="1" applyAlignment="1">
      <alignment horizontal="left" indent="7"/>
    </xf>
    <xf numFmtId="0" fontId="0" fillId="0" borderId="12" xfId="0" applyBorder="1" applyAlignment="1">
      <alignment wrapText="1"/>
    </xf>
    <xf numFmtId="0" fontId="0" fillId="0" borderId="12" xfId="0" applyBorder="1" applyAlignment="1">
      <alignment horizontal="left" wrapText="1" indent="1"/>
    </xf>
    <xf numFmtId="0" fontId="0" fillId="7" borderId="12" xfId="0" applyFill="1" applyBorder="1" applyAlignment="1">
      <alignment wrapText="1"/>
    </xf>
    <xf numFmtId="0" fontId="12" fillId="6" borderId="8" xfId="0" applyFont="1" applyFill="1" applyBorder="1" applyAlignment="1">
      <alignment horizontal="center"/>
    </xf>
    <xf numFmtId="0" fontId="12" fillId="6" borderId="13" xfId="0" applyFont="1" applyFill="1" applyBorder="1" applyAlignment="1">
      <alignment horizontal="center"/>
    </xf>
    <xf numFmtId="0" fontId="12" fillId="6" borderId="6" xfId="0" applyFont="1" applyFill="1" applyBorder="1" applyAlignment="1">
      <alignment horizontal="center"/>
    </xf>
    <xf numFmtId="0" fontId="0" fillId="7" borderId="5" xfId="0" applyFill="1" applyBorder="1" applyAlignment="1">
      <alignment wrapText="1"/>
    </xf>
    <xf numFmtId="44" fontId="0" fillId="0" borderId="1" xfId="3" applyFont="1" applyBorder="1"/>
    <xf numFmtId="44" fontId="0" fillId="7" borderId="1" xfId="3" applyFont="1" applyFill="1" applyBorder="1"/>
    <xf numFmtId="10" fontId="0" fillId="0" borderId="2" xfId="5" applyNumberFormat="1" applyFont="1" applyBorder="1"/>
    <xf numFmtId="0" fontId="9" fillId="0" borderId="0" xfId="0" applyFont="1"/>
    <xf numFmtId="0" fontId="2" fillId="0" borderId="15" xfId="0" applyFont="1" applyBorder="1"/>
    <xf numFmtId="0" fontId="16" fillId="0" borderId="0" xfId="0" applyFont="1"/>
    <xf numFmtId="0" fontId="0" fillId="0" borderId="6" xfId="0" applyBorder="1"/>
    <xf numFmtId="0" fontId="0" fillId="0" borderId="8" xfId="0" applyBorder="1"/>
    <xf numFmtId="44" fontId="0" fillId="0" borderId="1" xfId="3" applyFont="1" applyFill="1" applyBorder="1"/>
    <xf numFmtId="10" fontId="0" fillId="0" borderId="2" xfId="5" applyNumberFormat="1" applyFont="1" applyFill="1" applyBorder="1"/>
    <xf numFmtId="0" fontId="1" fillId="7" borderId="12" xfId="0" applyFont="1" applyFill="1" applyBorder="1" applyAlignment="1">
      <alignment wrapText="1"/>
    </xf>
    <xf numFmtId="44" fontId="1" fillId="7" borderId="1" xfId="3" applyFont="1" applyFill="1" applyBorder="1"/>
    <xf numFmtId="10" fontId="1" fillId="7" borderId="2" xfId="5" applyNumberFormat="1" applyFont="1" applyFill="1" applyBorder="1"/>
    <xf numFmtId="10" fontId="12" fillId="9" borderId="2" xfId="5" applyNumberFormat="1" applyFont="1" applyFill="1" applyBorder="1"/>
    <xf numFmtId="0" fontId="12" fillId="10" borderId="12" xfId="0" applyFont="1" applyFill="1" applyBorder="1" applyAlignment="1">
      <alignment wrapText="1"/>
    </xf>
    <xf numFmtId="44" fontId="12" fillId="10" borderId="1" xfId="3" applyFont="1" applyFill="1" applyBorder="1"/>
    <xf numFmtId="10" fontId="12" fillId="10" borderId="2" xfId="5" applyNumberFormat="1" applyFont="1" applyFill="1" applyBorder="1"/>
    <xf numFmtId="0" fontId="12" fillId="6" borderId="1" xfId="0" applyFont="1" applyFill="1" applyBorder="1"/>
    <xf numFmtId="14" fontId="0" fillId="0" borderId="1" xfId="0" applyNumberFormat="1" applyBorder="1"/>
    <xf numFmtId="0" fontId="14" fillId="0" borderId="0" xfId="0" applyFont="1"/>
    <xf numFmtId="0" fontId="1" fillId="0" borderId="1" xfId="0" applyFont="1" applyBorder="1" applyAlignment="1">
      <alignment vertical="top"/>
    </xf>
    <xf numFmtId="0" fontId="0" fillId="0" borderId="1" xfId="0" applyBorder="1" applyAlignment="1">
      <alignment vertical="top"/>
    </xf>
    <xf numFmtId="0" fontId="17" fillId="0" borderId="0" xfId="0" applyFont="1"/>
    <xf numFmtId="0" fontId="4" fillId="0" borderId="0" xfId="0" applyFont="1"/>
    <xf numFmtId="0" fontId="0" fillId="0" borderId="2" xfId="0" applyBorder="1" applyAlignment="1">
      <alignment horizontal="center"/>
    </xf>
    <xf numFmtId="0" fontId="12" fillId="8" borderId="8"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wrapText="1"/>
    </xf>
    <xf numFmtId="0" fontId="1" fillId="8" borderId="13" xfId="0" applyFont="1" applyFill="1" applyBorder="1" applyAlignment="1">
      <alignment horizontal="center" vertical="center" wrapText="1"/>
    </xf>
    <xf numFmtId="2" fontId="0" fillId="0" borderId="0" xfId="0" applyNumberFormat="1" applyAlignment="1">
      <alignment horizontal="center"/>
    </xf>
    <xf numFmtId="1" fontId="0" fillId="0" borderId="0" xfId="0" applyNumberFormat="1"/>
    <xf numFmtId="0" fontId="0" fillId="11" borderId="1" xfId="0" applyFill="1" applyBorder="1" applyAlignment="1" applyProtection="1">
      <alignment horizontal="center"/>
      <protection hidden="1"/>
    </xf>
    <xf numFmtId="0" fontId="0" fillId="11" borderId="2" xfId="0" applyFill="1" applyBorder="1"/>
    <xf numFmtId="0" fontId="0" fillId="11" borderId="3" xfId="0" applyFill="1" applyBorder="1"/>
    <xf numFmtId="0" fontId="10" fillId="0" borderId="1" xfId="0" applyFont="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12" fillId="6" borderId="1" xfId="0" applyFont="1" applyFill="1" applyBorder="1" applyAlignment="1">
      <alignment horizontal="left" vertical="top"/>
    </xf>
    <xf numFmtId="0" fontId="12" fillId="6" borderId="1" xfId="0" applyFont="1" applyFill="1" applyBorder="1" applyAlignment="1">
      <alignment horizontal="left" vertical="top" wrapText="1"/>
    </xf>
    <xf numFmtId="0" fontId="0" fillId="0" borderId="12" xfId="0" applyBorder="1" applyAlignment="1" applyProtection="1">
      <alignment horizontal="center"/>
      <protection locked="0"/>
    </xf>
    <xf numFmtId="14" fontId="0" fillId="0" borderId="1" xfId="0" applyNumberFormat="1" applyBorder="1" applyProtection="1">
      <protection locked="0"/>
    </xf>
    <xf numFmtId="49"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3" fontId="0" fillId="0" borderId="1" xfId="0" applyNumberFormat="1" applyBorder="1" applyAlignment="1" applyProtection="1">
      <alignment horizontal="center"/>
      <protection locked="0"/>
    </xf>
    <xf numFmtId="2" fontId="0" fillId="0" borderId="1" xfId="0" applyNumberFormat="1" applyBorder="1" applyAlignment="1" applyProtection="1">
      <alignment horizontal="center"/>
      <protection locked="0"/>
    </xf>
    <xf numFmtId="164" fontId="5" fillId="0" borderId="1" xfId="3" applyNumberFormat="1" applyFont="1" applyFill="1" applyBorder="1" applyAlignment="1" applyProtection="1">
      <alignment horizontal="center"/>
      <protection locked="0"/>
    </xf>
    <xf numFmtId="164" fontId="4" fillId="0" borderId="1" xfId="3" applyNumberFormat="1" applyFont="1" applyFill="1" applyBorder="1" applyAlignment="1" applyProtection="1">
      <alignment horizontal="center"/>
    </xf>
    <xf numFmtId="164" fontId="4" fillId="0" borderId="2" xfId="3" applyNumberFormat="1" applyFont="1" applyFill="1" applyBorder="1" applyAlignment="1" applyProtection="1">
      <alignment horizontal="center"/>
    </xf>
    <xf numFmtId="164" fontId="0" fillId="0" borderId="1" xfId="3" applyNumberFormat="1" applyFont="1" applyFill="1" applyBorder="1" applyAlignment="1" applyProtection="1">
      <alignment horizontal="center"/>
      <protection locked="0"/>
    </xf>
    <xf numFmtId="166" fontId="0" fillId="0" borderId="0" xfId="0" applyNumberFormat="1" applyAlignment="1">
      <alignment horizontal="center" vertical="center"/>
    </xf>
    <xf numFmtId="1" fontId="12" fillId="4" borderId="17" xfId="0" applyNumberFormat="1" applyFont="1" applyFill="1" applyBorder="1" applyAlignment="1">
      <alignment horizontal="center"/>
    </xf>
    <xf numFmtId="0" fontId="12" fillId="4" borderId="0" xfId="0" applyFont="1" applyFill="1" applyAlignment="1">
      <alignment horizontal="center"/>
    </xf>
    <xf numFmtId="1" fontId="0" fillId="0" borderId="16" xfId="0" applyNumberFormat="1" applyBorder="1" applyAlignment="1">
      <alignment horizontal="center"/>
    </xf>
    <xf numFmtId="1" fontId="12" fillId="4" borderId="0" xfId="0" applyNumberFormat="1" applyFont="1" applyFill="1" applyAlignment="1">
      <alignment horizontal="center"/>
    </xf>
    <xf numFmtId="0" fontId="1" fillId="0" borderId="1" xfId="0" applyFont="1" applyBorder="1" applyAlignment="1">
      <alignment vertical="top" wrapText="1"/>
    </xf>
    <xf numFmtId="0" fontId="1" fillId="8" borderId="18" xfId="0" applyFont="1" applyFill="1" applyBorder="1" applyAlignment="1">
      <alignment horizontal="center" vertical="center" wrapText="1"/>
    </xf>
    <xf numFmtId="0" fontId="1" fillId="8" borderId="19" xfId="0" applyFont="1" applyFill="1" applyBorder="1" applyAlignment="1">
      <alignment horizontal="center" vertical="center" wrapText="1"/>
    </xf>
    <xf numFmtId="3" fontId="0" fillId="0" borderId="13" xfId="0" applyNumberFormat="1" applyBorder="1" applyProtection="1">
      <protection locked="0"/>
    </xf>
    <xf numFmtId="3" fontId="0" fillId="0" borderId="9" xfId="0" applyNumberFormat="1" applyBorder="1" applyProtection="1">
      <protection locked="0"/>
    </xf>
    <xf numFmtId="0" fontId="1" fillId="8" borderId="20" xfId="0" applyFont="1" applyFill="1" applyBorder="1" applyAlignment="1">
      <alignment horizontal="center" vertical="center" wrapText="1"/>
    </xf>
    <xf numFmtId="0" fontId="0" fillId="0" borderId="12" xfId="0" applyBorder="1" applyProtection="1">
      <protection locked="0"/>
    </xf>
    <xf numFmtId="164" fontId="6" fillId="0" borderId="2" xfId="3" applyNumberFormat="1" applyFont="1" applyBorder="1" applyProtection="1">
      <protection locked="0"/>
    </xf>
    <xf numFmtId="0" fontId="10" fillId="0" borderId="2" xfId="0" applyFont="1" applyBorder="1" applyAlignment="1" applyProtection="1">
      <alignment horizontal="center"/>
      <protection locked="0"/>
    </xf>
    <xf numFmtId="0" fontId="1" fillId="0" borderId="8" xfId="0" applyFont="1" applyBorder="1" applyAlignment="1" applyProtection="1">
      <alignment horizontal="center"/>
      <protection hidden="1"/>
    </xf>
    <xf numFmtId="0" fontId="0" fillId="11" borderId="1" xfId="0" applyFill="1" applyBorder="1" applyProtection="1">
      <protection hidden="1"/>
    </xf>
    <xf numFmtId="0" fontId="0" fillId="11" borderId="9" xfId="0" applyFill="1" applyBorder="1" applyProtection="1">
      <protection hidden="1"/>
    </xf>
    <xf numFmtId="3" fontId="1" fillId="0" borderId="1" xfId="0" applyNumberFormat="1" applyFont="1" applyBorder="1" applyAlignment="1">
      <alignment horizontal="center" wrapText="1"/>
    </xf>
    <xf numFmtId="0" fontId="8" fillId="0" borderId="1" xfId="0" applyFont="1" applyBorder="1" applyAlignment="1">
      <alignment horizontal="center" wrapText="1"/>
    </xf>
    <xf numFmtId="0" fontId="1" fillId="2" borderId="1" xfId="0" applyFont="1" applyFill="1" applyBorder="1" applyAlignment="1">
      <alignment horizontal="center"/>
    </xf>
    <xf numFmtId="0" fontId="10" fillId="0" borderId="1" xfId="0" applyFont="1" applyBorder="1" applyAlignment="1" applyProtection="1">
      <alignment wrapText="1"/>
      <protection locked="0"/>
    </xf>
    <xf numFmtId="0" fontId="10" fillId="0" borderId="1" xfId="0" applyFont="1" applyBorder="1" applyAlignment="1">
      <alignment wrapText="1"/>
    </xf>
    <xf numFmtId="0" fontId="10" fillId="3" borderId="1" xfId="0" applyFont="1" applyFill="1" applyBorder="1" applyAlignment="1" applyProtection="1">
      <alignment wrapText="1"/>
      <protection locked="0"/>
    </xf>
    <xf numFmtId="0" fontId="10" fillId="11" borderId="2" xfId="0" applyFont="1" applyFill="1" applyBorder="1"/>
    <xf numFmtId="0" fontId="10" fillId="11" borderId="2" xfId="0" applyFont="1" applyFill="1" applyBorder="1" applyProtection="1">
      <protection hidden="1"/>
    </xf>
    <xf numFmtId="0" fontId="8" fillId="0" borderId="1" xfId="0" applyFont="1" applyBorder="1"/>
    <xf numFmtId="0" fontId="10" fillId="3" borderId="1" xfId="0" applyFont="1" applyFill="1" applyBorder="1" applyAlignment="1">
      <alignment wrapText="1"/>
    </xf>
    <xf numFmtId="43" fontId="0" fillId="0" borderId="1" xfId="4" applyFont="1" applyBorder="1"/>
    <xf numFmtId="43" fontId="0" fillId="7" borderId="9" xfId="4" applyFont="1" applyFill="1" applyBorder="1"/>
    <xf numFmtId="0" fontId="12" fillId="12" borderId="8" xfId="0" applyFont="1" applyFill="1" applyBorder="1" applyAlignment="1">
      <alignment horizontal="center"/>
    </xf>
    <xf numFmtId="0" fontId="12" fillId="12" borderId="13" xfId="0" applyFont="1" applyFill="1" applyBorder="1" applyAlignment="1">
      <alignment horizontal="center"/>
    </xf>
    <xf numFmtId="0" fontId="12" fillId="12" borderId="6" xfId="0" applyFont="1" applyFill="1" applyBorder="1" applyAlignment="1">
      <alignment horizontal="center"/>
    </xf>
    <xf numFmtId="0" fontId="12" fillId="8" borderId="8" xfId="0" applyFont="1" applyFill="1" applyBorder="1" applyAlignment="1">
      <alignment horizontal="center"/>
    </xf>
    <xf numFmtId="0" fontId="12" fillId="8" borderId="13" xfId="0" applyFont="1" applyFill="1" applyBorder="1" applyAlignment="1">
      <alignment horizontal="center"/>
    </xf>
    <xf numFmtId="0" fontId="12" fillId="8" borderId="6" xfId="0" applyFont="1" applyFill="1" applyBorder="1" applyAlignment="1">
      <alignment horizontal="center"/>
    </xf>
    <xf numFmtId="0" fontId="12" fillId="13" borderId="8" xfId="0" applyFont="1" applyFill="1" applyBorder="1" applyAlignment="1">
      <alignment horizontal="center"/>
    </xf>
    <xf numFmtId="0" fontId="12" fillId="13" borderId="13" xfId="0" applyFont="1" applyFill="1" applyBorder="1" applyAlignment="1">
      <alignment horizontal="center"/>
    </xf>
    <xf numFmtId="0" fontId="12" fillId="13" borderId="6" xfId="0" applyFont="1" applyFill="1" applyBorder="1" applyAlignment="1">
      <alignment horizontal="center"/>
    </xf>
    <xf numFmtId="43" fontId="0" fillId="0" borderId="1" xfId="4" applyFont="1" applyFill="1" applyBorder="1"/>
    <xf numFmtId="0" fontId="0" fillId="0" borderId="12" xfId="0" applyBorder="1" applyAlignment="1">
      <alignment horizontal="left" wrapText="1" indent="2"/>
    </xf>
    <xf numFmtId="0" fontId="16" fillId="0" borderId="0" xfId="0" applyFont="1" applyAlignment="1">
      <alignment horizontal="right"/>
    </xf>
    <xf numFmtId="0" fontId="12" fillId="10" borderId="5" xfId="0" applyFont="1" applyFill="1" applyBorder="1" applyAlignment="1">
      <alignment wrapText="1"/>
    </xf>
    <xf numFmtId="44" fontId="12" fillId="10" borderId="9" xfId="3" applyFont="1" applyFill="1" applyBorder="1"/>
    <xf numFmtId="10" fontId="12" fillId="10" borderId="3" xfId="5" applyNumberFormat="1" applyFont="1" applyFill="1" applyBorder="1"/>
    <xf numFmtId="0" fontId="0" fillId="0" borderId="31" xfId="0" applyBorder="1" applyAlignment="1">
      <alignment wrapText="1"/>
    </xf>
    <xf numFmtId="44" fontId="0" fillId="0" borderId="12" xfId="3" applyFont="1" applyBorder="1"/>
    <xf numFmtId="44" fontId="0" fillId="0" borderId="31" xfId="3" applyFont="1" applyBorder="1"/>
    <xf numFmtId="44" fontId="0" fillId="0" borderId="2" xfId="3" applyFont="1" applyBorder="1"/>
    <xf numFmtId="0" fontId="0" fillId="7" borderId="32" xfId="0" applyFill="1" applyBorder="1" applyAlignment="1">
      <alignment wrapText="1"/>
    </xf>
    <xf numFmtId="0" fontId="0" fillId="7" borderId="31" xfId="0" applyFill="1" applyBorder="1" applyAlignment="1">
      <alignment wrapText="1"/>
    </xf>
    <xf numFmtId="44" fontId="0" fillId="7" borderId="12" xfId="3" applyFont="1" applyFill="1" applyBorder="1"/>
    <xf numFmtId="44" fontId="0" fillId="7" borderId="2" xfId="3" applyFont="1" applyFill="1" applyBorder="1"/>
    <xf numFmtId="44" fontId="0" fillId="7" borderId="31" xfId="3" applyFont="1" applyFill="1" applyBorder="1"/>
    <xf numFmtId="0" fontId="0" fillId="7" borderId="33" xfId="0" applyFill="1" applyBorder="1" applyAlignment="1">
      <alignment wrapText="1"/>
    </xf>
    <xf numFmtId="0" fontId="0" fillId="7" borderId="34" xfId="0" applyFill="1" applyBorder="1" applyAlignment="1">
      <alignment wrapText="1"/>
    </xf>
    <xf numFmtId="44" fontId="0" fillId="7" borderId="35" xfId="3" applyFont="1" applyFill="1" applyBorder="1"/>
    <xf numFmtId="44" fontId="0" fillId="7" borderId="36" xfId="3" applyFont="1" applyFill="1" applyBorder="1"/>
    <xf numFmtId="44" fontId="0" fillId="7" borderId="37" xfId="3" applyFont="1" applyFill="1" applyBorder="1"/>
    <xf numFmtId="44" fontId="0" fillId="7" borderId="34" xfId="3" applyFont="1" applyFill="1" applyBorder="1"/>
    <xf numFmtId="0" fontId="12" fillId="8" borderId="30" xfId="0" applyFont="1" applyFill="1" applyBorder="1" applyAlignment="1">
      <alignment wrapText="1"/>
    </xf>
    <xf numFmtId="0" fontId="12" fillId="8" borderId="12" xfId="0" applyFont="1" applyFill="1" applyBorder="1" applyAlignment="1">
      <alignment wrapText="1"/>
    </xf>
    <xf numFmtId="0" fontId="12" fillId="8" borderId="1" xfId="0" applyFont="1" applyFill="1" applyBorder="1" applyAlignment="1">
      <alignment wrapText="1"/>
    </xf>
    <xf numFmtId="0" fontId="12" fillId="8" borderId="2" xfId="0" applyFont="1" applyFill="1" applyBorder="1" applyAlignment="1">
      <alignment wrapText="1"/>
    </xf>
    <xf numFmtId="0" fontId="12" fillId="8" borderId="31" xfId="0" applyFont="1" applyFill="1" applyBorder="1" applyAlignment="1">
      <alignment wrapText="1"/>
    </xf>
    <xf numFmtId="0" fontId="20" fillId="0" borderId="0" xfId="0" applyFont="1"/>
    <xf numFmtId="0" fontId="14" fillId="0" borderId="0" xfId="0" applyFont="1" applyAlignment="1">
      <alignment horizontal="left" vertical="top"/>
    </xf>
    <xf numFmtId="0" fontId="1" fillId="4" borderId="0" xfId="0" applyFont="1" applyFill="1" applyAlignment="1">
      <alignment horizontal="center" wrapText="1"/>
    </xf>
    <xf numFmtId="0" fontId="0" fillId="0" borderId="16" xfId="0" applyBorder="1" applyAlignment="1">
      <alignment horizontal="center"/>
    </xf>
    <xf numFmtId="1" fontId="0" fillId="0" borderId="16" xfId="0" applyNumberFormat="1" applyBorder="1" applyAlignment="1">
      <alignment horizontal="center" wrapText="1"/>
    </xf>
    <xf numFmtId="164" fontId="6" fillId="0" borderId="2" xfId="3" applyNumberFormat="1" applyFont="1" applyBorder="1" applyAlignment="1" applyProtection="1">
      <alignment horizontal="center"/>
      <protection locked="0"/>
    </xf>
    <xf numFmtId="0" fontId="0" fillId="0" borderId="32" xfId="0" applyBorder="1" applyAlignment="1">
      <alignment horizontal="left" wrapText="1"/>
    </xf>
    <xf numFmtId="2" fontId="0" fillId="0" borderId="1" xfId="3" applyNumberFormat="1" applyFont="1" applyFill="1" applyBorder="1" applyAlignment="1" applyProtection="1">
      <alignment horizontal="center"/>
      <protection locked="0"/>
    </xf>
    <xf numFmtId="0" fontId="10" fillId="0" borderId="0" xfId="0" applyFont="1" applyAlignment="1">
      <alignment horizontal="center"/>
    </xf>
    <xf numFmtId="0" fontId="0" fillId="0" borderId="39" xfId="0" applyBorder="1" applyAlignment="1">
      <alignment horizontal="right"/>
    </xf>
    <xf numFmtId="0" fontId="0" fillId="0" borderId="40" xfId="0" applyBorder="1" applyAlignment="1">
      <alignment horizontal="right"/>
    </xf>
    <xf numFmtId="0" fontId="8" fillId="15" borderId="41" xfId="0" applyFont="1" applyFill="1" applyBorder="1" applyAlignment="1">
      <alignment horizontal="center" vertical="center" wrapText="1"/>
    </xf>
    <xf numFmtId="0" fontId="8" fillId="15" borderId="13" xfId="0" applyFont="1" applyFill="1" applyBorder="1" applyAlignment="1">
      <alignment horizontal="center" vertical="center" wrapText="1"/>
    </xf>
    <xf numFmtId="0" fontId="8" fillId="15" borderId="42" xfId="0" applyFont="1" applyFill="1" applyBorder="1" applyAlignment="1">
      <alignment horizontal="center" vertical="center" wrapText="1"/>
    </xf>
    <xf numFmtId="165" fontId="0" fillId="0" borderId="1" xfId="4" applyNumberFormat="1" applyFont="1" applyBorder="1"/>
    <xf numFmtId="0" fontId="0" fillId="0" borderId="32" xfId="0" applyBorder="1" applyAlignment="1">
      <alignment horizontal="right"/>
    </xf>
    <xf numFmtId="0" fontId="0" fillId="0" borderId="33" xfId="0" applyBorder="1" applyAlignment="1">
      <alignment horizontal="right"/>
    </xf>
    <xf numFmtId="0" fontId="1" fillId="14" borderId="22" xfId="0" applyFont="1" applyFill="1" applyBorder="1" applyAlignment="1">
      <alignment horizontal="center" vertical="center" wrapText="1"/>
    </xf>
    <xf numFmtId="0" fontId="8" fillId="14" borderId="28" xfId="0" applyFont="1" applyFill="1" applyBorder="1" applyAlignment="1">
      <alignment horizontal="center" vertical="center" wrapText="1"/>
    </xf>
    <xf numFmtId="0" fontId="8" fillId="14" borderId="23" xfId="0" applyFont="1" applyFill="1" applyBorder="1" applyAlignment="1">
      <alignment horizontal="center" vertical="center" wrapText="1"/>
    </xf>
    <xf numFmtId="0" fontId="0" fillId="0" borderId="36" xfId="0" applyBorder="1"/>
    <xf numFmtId="0" fontId="8" fillId="15" borderId="22" xfId="0" applyFont="1" applyFill="1" applyBorder="1" applyAlignment="1">
      <alignment horizontal="center" vertical="center" wrapText="1"/>
    </xf>
    <xf numFmtId="0" fontId="8" fillId="15" borderId="28" xfId="0" applyFont="1" applyFill="1" applyBorder="1" applyAlignment="1">
      <alignment horizontal="center" vertical="center" wrapText="1"/>
    </xf>
    <xf numFmtId="0" fontId="8" fillId="15" borderId="23" xfId="0" applyFont="1" applyFill="1" applyBorder="1" applyAlignment="1">
      <alignment horizontal="center" vertical="center" wrapText="1"/>
    </xf>
    <xf numFmtId="0" fontId="8" fillId="16" borderId="22" xfId="0" applyFont="1" applyFill="1" applyBorder="1" applyAlignment="1">
      <alignment horizontal="center" vertical="center" wrapText="1"/>
    </xf>
    <xf numFmtId="0" fontId="8" fillId="16" borderId="28" xfId="0" applyFont="1" applyFill="1" applyBorder="1" applyAlignment="1">
      <alignment horizontal="center" vertical="center" wrapText="1"/>
    </xf>
    <xf numFmtId="0" fontId="8" fillId="16" borderId="23" xfId="0" applyFont="1" applyFill="1" applyBorder="1" applyAlignment="1">
      <alignment horizontal="center" vertical="center" wrapText="1"/>
    </xf>
    <xf numFmtId="164" fontId="0" fillId="0" borderId="1" xfId="3" applyNumberFormat="1" applyFont="1" applyBorder="1"/>
    <xf numFmtId="164" fontId="0" fillId="0" borderId="31" xfId="3" applyNumberFormat="1" applyFont="1" applyBorder="1"/>
    <xf numFmtId="165" fontId="0" fillId="0" borderId="30" xfId="4" applyNumberFormat="1" applyFont="1" applyBorder="1"/>
    <xf numFmtId="165" fontId="0" fillId="0" borderId="38" xfId="4" applyNumberFormat="1" applyFont="1" applyBorder="1"/>
    <xf numFmtId="164" fontId="0" fillId="0" borderId="36" xfId="3" applyNumberFormat="1" applyFont="1" applyBorder="1"/>
    <xf numFmtId="165" fontId="0" fillId="0" borderId="36" xfId="4" applyNumberFormat="1" applyFont="1" applyBorder="1"/>
    <xf numFmtId="164" fontId="0" fillId="0" borderId="34" xfId="3" applyNumberFormat="1" applyFont="1" applyBorder="1"/>
    <xf numFmtId="0" fontId="8" fillId="0" borderId="46" xfId="0" applyFont="1" applyBorder="1" applyAlignment="1">
      <alignment wrapText="1"/>
    </xf>
    <xf numFmtId="0" fontId="8" fillId="0" borderId="39" xfId="0" applyFont="1" applyBorder="1" applyAlignment="1">
      <alignment wrapText="1"/>
    </xf>
    <xf numFmtId="0" fontId="0" fillId="0" borderId="0" xfId="0" applyAlignment="1">
      <alignment horizontal="left" wrapText="1" indent="2"/>
    </xf>
    <xf numFmtId="0" fontId="8" fillId="16" borderId="46" xfId="0" applyFont="1" applyFill="1" applyBorder="1" applyAlignment="1">
      <alignment horizontal="center" vertical="center" wrapText="1"/>
    </xf>
    <xf numFmtId="167" fontId="0" fillId="0" borderId="39" xfId="5" applyNumberFormat="1" applyFont="1" applyBorder="1"/>
    <xf numFmtId="167" fontId="0" fillId="0" borderId="40" xfId="5" applyNumberFormat="1" applyFont="1" applyBorder="1"/>
    <xf numFmtId="0" fontId="0" fillId="11" borderId="0" xfId="0" applyFill="1"/>
    <xf numFmtId="0" fontId="17" fillId="0" borderId="0" xfId="0" applyFont="1" applyAlignment="1">
      <alignment wrapText="1"/>
    </xf>
    <xf numFmtId="1" fontId="0" fillId="0" borderId="47" xfId="0" applyNumberFormat="1" applyBorder="1"/>
    <xf numFmtId="1" fontId="0" fillId="0" borderId="48" xfId="0" applyNumberFormat="1" applyBorder="1"/>
    <xf numFmtId="49" fontId="17" fillId="0" borderId="10" xfId="0" applyNumberFormat="1" applyFont="1" applyBorder="1"/>
    <xf numFmtId="49" fontId="17" fillId="0" borderId="14" xfId="0" applyNumberFormat="1" applyFont="1" applyBorder="1"/>
    <xf numFmtId="1" fontId="15" fillId="0" borderId="30" xfId="0" applyNumberFormat="1" applyFont="1" applyBorder="1"/>
    <xf numFmtId="1" fontId="15" fillId="0" borderId="31" xfId="0" applyNumberFormat="1" applyFont="1" applyBorder="1"/>
    <xf numFmtId="1" fontId="0" fillId="11" borderId="34" xfId="0" applyNumberFormat="1" applyFill="1" applyBorder="1"/>
    <xf numFmtId="0" fontId="0" fillId="11" borderId="38" xfId="0" applyFill="1" applyBorder="1"/>
    <xf numFmtId="0" fontId="0" fillId="11" borderId="34" xfId="0" applyFill="1" applyBorder="1"/>
    <xf numFmtId="0" fontId="22" fillId="0" borderId="0" xfId="6" applyAlignment="1">
      <alignment wrapText="1"/>
    </xf>
    <xf numFmtId="0" fontId="22" fillId="0" borderId="0" xfId="6" applyAlignment="1">
      <alignment horizontal="left" wrapText="1" indent="2"/>
    </xf>
    <xf numFmtId="1" fontId="0" fillId="0" borderId="49" xfId="0" applyNumberFormat="1" applyBorder="1"/>
    <xf numFmtId="0" fontId="12" fillId="17" borderId="13" xfId="0" applyFont="1" applyFill="1" applyBorder="1" applyAlignment="1">
      <alignment horizontal="center" vertical="center" wrapText="1"/>
    </xf>
    <xf numFmtId="0" fontId="1" fillId="0" borderId="50" xfId="0" applyFont="1" applyBorder="1" applyAlignment="1">
      <alignment vertical="top"/>
    </xf>
    <xf numFmtId="0" fontId="0" fillId="0" borderId="50" xfId="0" applyBorder="1" applyAlignment="1">
      <alignment vertical="top"/>
    </xf>
    <xf numFmtId="0" fontId="0" fillId="0" borderId="50" xfId="0" applyBorder="1" applyAlignment="1">
      <alignment horizontal="left" vertical="top" wrapText="1"/>
    </xf>
    <xf numFmtId="164" fontId="4" fillId="18" borderId="1" xfId="3" applyNumberFormat="1" applyFont="1" applyFill="1" applyBorder="1" applyAlignment="1">
      <alignment horizontal="center"/>
    </xf>
    <xf numFmtId="0" fontId="12" fillId="17" borderId="6" xfId="0" applyFont="1" applyFill="1" applyBorder="1" applyAlignment="1">
      <alignment horizontal="center" vertical="center" wrapText="1"/>
    </xf>
    <xf numFmtId="44" fontId="4" fillId="0" borderId="2" xfId="4" applyNumberFormat="1" applyFont="1" applyFill="1" applyBorder="1" applyAlignment="1" applyProtection="1">
      <alignment horizontal="center"/>
    </xf>
    <xf numFmtId="168" fontId="4" fillId="18" borderId="51" xfId="4" applyNumberFormat="1" applyFont="1" applyFill="1" applyBorder="1" applyAlignment="1">
      <alignment horizontal="center"/>
    </xf>
    <xf numFmtId="164" fontId="23" fillId="0" borderId="1" xfId="3" applyNumberFormat="1" applyFont="1" applyFill="1" applyBorder="1" applyAlignment="1" applyProtection="1">
      <alignment horizontal="center"/>
    </xf>
    <xf numFmtId="167" fontId="23" fillId="0" borderId="1" xfId="5" applyNumberFormat="1" applyFont="1" applyFill="1" applyBorder="1" applyAlignment="1" applyProtection="1">
      <alignment horizontal="center"/>
    </xf>
    <xf numFmtId="44" fontId="12" fillId="9" borderId="1" xfId="3" applyFont="1" applyFill="1" applyBorder="1"/>
    <xf numFmtId="44" fontId="12" fillId="9" borderId="9" xfId="3" applyFont="1" applyFill="1" applyBorder="1"/>
    <xf numFmtId="44" fontId="0" fillId="0" borderId="1" xfId="4" applyNumberFormat="1" applyFont="1" applyBorder="1"/>
    <xf numFmtId="0" fontId="0" fillId="0" borderId="30" xfId="4" applyNumberFormat="1" applyFont="1" applyBorder="1"/>
    <xf numFmtId="0" fontId="0" fillId="7" borderId="30" xfId="4" applyNumberFormat="1" applyFont="1" applyFill="1" applyBorder="1"/>
    <xf numFmtId="0" fontId="0" fillId="7" borderId="38" xfId="4" applyNumberFormat="1" applyFont="1" applyFill="1" applyBorder="1"/>
    <xf numFmtId="9" fontId="0" fillId="0" borderId="30" xfId="5" applyFont="1" applyBorder="1"/>
    <xf numFmtId="9" fontId="0" fillId="0" borderId="12" xfId="5" applyFont="1" applyBorder="1"/>
    <xf numFmtId="9" fontId="0" fillId="0" borderId="1" xfId="5" applyFont="1" applyBorder="1"/>
    <xf numFmtId="9" fontId="0" fillId="0" borderId="2" xfId="5" applyFont="1" applyBorder="1"/>
    <xf numFmtId="9" fontId="0" fillId="0" borderId="31" xfId="5" applyFont="1" applyBorder="1"/>
    <xf numFmtId="9" fontId="0" fillId="7" borderId="30" xfId="5" applyFont="1" applyFill="1" applyBorder="1"/>
    <xf numFmtId="9" fontId="0" fillId="7" borderId="12" xfId="5" applyFont="1" applyFill="1" applyBorder="1"/>
    <xf numFmtId="9" fontId="0" fillId="7" borderId="1" xfId="5" applyFont="1" applyFill="1" applyBorder="1"/>
    <xf numFmtId="9" fontId="0" fillId="7" borderId="2" xfId="5" applyFont="1" applyFill="1" applyBorder="1"/>
    <xf numFmtId="9" fontId="0" fillId="7" borderId="31" xfId="5" applyFont="1" applyFill="1" applyBorder="1"/>
    <xf numFmtId="9" fontId="0" fillId="7" borderId="38" xfId="5" applyFont="1" applyFill="1" applyBorder="1"/>
    <xf numFmtId="9" fontId="0" fillId="7" borderId="35" xfId="5" applyFont="1" applyFill="1" applyBorder="1"/>
    <xf numFmtId="9" fontId="0" fillId="7" borderId="36" xfId="5" applyFont="1" applyFill="1" applyBorder="1"/>
    <xf numFmtId="9" fontId="0" fillId="7" borderId="37" xfId="5" applyFont="1" applyFill="1" applyBorder="1"/>
    <xf numFmtId="9" fontId="0" fillId="7" borderId="34" xfId="5" applyFont="1" applyFill="1" applyBorder="1"/>
    <xf numFmtId="0" fontId="0" fillId="19" borderId="9" xfId="0" applyFill="1" applyBorder="1" applyProtection="1">
      <protection hidden="1"/>
    </xf>
    <xf numFmtId="44" fontId="4" fillId="18" borderId="50" xfId="4" applyNumberFormat="1" applyFont="1" applyFill="1" applyBorder="1" applyAlignment="1">
      <alignment horizontal="center"/>
    </xf>
    <xf numFmtId="37" fontId="5" fillId="0" borderId="1" xfId="3" applyNumberFormat="1" applyFont="1" applyFill="1" applyBorder="1" applyAlignment="1" applyProtection="1">
      <alignment horizontal="center"/>
      <protection locked="0"/>
    </xf>
    <xf numFmtId="37" fontId="0" fillId="0" borderId="1" xfId="3" applyNumberFormat="1" applyFont="1" applyFill="1" applyBorder="1" applyAlignment="1" applyProtection="1">
      <alignment horizontal="center"/>
      <protection locked="0"/>
    </xf>
    <xf numFmtId="0" fontId="0" fillId="0" borderId="0" xfId="0" applyAlignment="1">
      <alignment horizontal="center" vertical="center" wrapText="1"/>
    </xf>
    <xf numFmtId="164" fontId="23" fillId="0" borderId="13" xfId="3" applyNumberFormat="1" applyFont="1" applyFill="1" applyBorder="1" applyAlignment="1" applyProtection="1">
      <alignment horizontal="center"/>
    </xf>
    <xf numFmtId="164" fontId="23" fillId="0" borderId="9" xfId="3" applyNumberFormat="1" applyFont="1" applyFill="1" applyBorder="1" applyAlignment="1" applyProtection="1">
      <alignment horizontal="center"/>
    </xf>
    <xf numFmtId="0" fontId="0" fillId="0" borderId="50" xfId="0" applyBorder="1" applyAlignment="1">
      <alignment horizontal="center"/>
    </xf>
    <xf numFmtId="0" fontId="12" fillId="17" borderId="18" xfId="0" applyFont="1" applyFill="1" applyBorder="1" applyAlignment="1">
      <alignment horizontal="center" vertical="center" wrapText="1"/>
    </xf>
    <xf numFmtId="0" fontId="0" fillId="0" borderId="50" xfId="0" applyBorder="1" applyAlignment="1">
      <alignment horizontal="center" vertical="center"/>
    </xf>
    <xf numFmtId="0" fontId="0" fillId="18" borderId="50" xfId="0" applyFill="1" applyBorder="1" applyAlignment="1">
      <alignment horizontal="center"/>
    </xf>
    <xf numFmtId="168" fontId="4" fillId="0" borderId="2" xfId="3" applyNumberFormat="1" applyFont="1" applyFill="1" applyBorder="1" applyAlignment="1" applyProtection="1">
      <alignment horizontal="center"/>
    </xf>
    <xf numFmtId="164" fontId="4" fillId="0" borderId="21" xfId="3" applyNumberFormat="1" applyFont="1" applyFill="1" applyBorder="1" applyAlignment="1" applyProtection="1">
      <alignment horizontal="center"/>
    </xf>
    <xf numFmtId="1" fontId="0" fillId="0" borderId="1" xfId="0" applyNumberFormat="1" applyBorder="1" applyAlignment="1" applyProtection="1">
      <alignment horizontal="center"/>
      <protection locked="0"/>
    </xf>
    <xf numFmtId="1" fontId="0" fillId="0" borderId="1" xfId="3" applyNumberFormat="1" applyFont="1" applyFill="1" applyBorder="1" applyAlignment="1" applyProtection="1">
      <alignment horizontal="center"/>
      <protection locked="0"/>
    </xf>
    <xf numFmtId="1" fontId="5" fillId="0" borderId="1" xfId="3" applyNumberFormat="1" applyFont="1" applyFill="1" applyBorder="1" applyAlignment="1" applyProtection="1">
      <alignment horizontal="center"/>
      <protection locked="0"/>
    </xf>
    <xf numFmtId="0" fontId="15" fillId="0" borderId="0" xfId="0" applyFont="1" applyAlignment="1">
      <alignment wrapText="1"/>
    </xf>
    <xf numFmtId="0" fontId="0" fillId="0" borderId="52" xfId="0" applyBorder="1" applyAlignment="1">
      <alignment horizontal="right"/>
    </xf>
    <xf numFmtId="10" fontId="0" fillId="0" borderId="2" xfId="5" applyNumberFormat="1" applyFont="1" applyBorder="1" applyAlignment="1">
      <alignment horizontal="right"/>
    </xf>
    <xf numFmtId="10" fontId="0" fillId="7" borderId="3" xfId="5" applyNumberFormat="1" applyFont="1" applyFill="1" applyBorder="1" applyAlignment="1">
      <alignment horizontal="right"/>
    </xf>
    <xf numFmtId="10" fontId="0" fillId="7" borderId="2" xfId="5" applyNumberFormat="1" applyFont="1" applyFill="1" applyBorder="1" applyAlignment="1">
      <alignment horizontal="right"/>
    </xf>
    <xf numFmtId="44" fontId="0" fillId="0" borderId="1" xfId="3" applyFont="1" applyBorder="1" applyAlignment="1">
      <alignment horizontal="right"/>
    </xf>
    <xf numFmtId="44" fontId="0" fillId="7" borderId="1" xfId="3" applyFont="1" applyFill="1" applyBorder="1" applyAlignment="1">
      <alignment horizontal="right"/>
    </xf>
    <xf numFmtId="0" fontId="8" fillId="0" borderId="22" xfId="0" applyFont="1" applyBorder="1" applyAlignment="1">
      <alignment wrapText="1"/>
    </xf>
    <xf numFmtId="0" fontId="8" fillId="0" borderId="30" xfId="0" applyFont="1" applyBorder="1" applyAlignment="1">
      <alignment wrapText="1"/>
    </xf>
    <xf numFmtId="0" fontId="8" fillId="0" borderId="32" xfId="0" applyFont="1" applyBorder="1" applyAlignment="1">
      <alignment wrapText="1"/>
    </xf>
    <xf numFmtId="0" fontId="8" fillId="11" borderId="28" xfId="0" applyFont="1" applyFill="1" applyBorder="1"/>
    <xf numFmtId="0" fontId="0" fillId="0" borderId="30" xfId="0" applyBorder="1" applyAlignment="1">
      <alignment horizontal="left"/>
    </xf>
    <xf numFmtId="0" fontId="0" fillId="0" borderId="38" xfId="0" applyBorder="1" applyAlignment="1">
      <alignment horizontal="left"/>
    </xf>
    <xf numFmtId="0" fontId="8" fillId="8" borderId="22" xfId="0" applyFont="1" applyFill="1" applyBorder="1" applyAlignment="1">
      <alignment horizontal="left"/>
    </xf>
    <xf numFmtId="0" fontId="8" fillId="8" borderId="28" xfId="0" applyFont="1" applyFill="1" applyBorder="1"/>
    <xf numFmtId="0" fontId="8" fillId="8" borderId="23" xfId="0" applyFont="1" applyFill="1" applyBorder="1"/>
    <xf numFmtId="0" fontId="10" fillId="0" borderId="1" xfId="0" applyFont="1" applyBorder="1"/>
    <xf numFmtId="3" fontId="5" fillId="0" borderId="1" xfId="4" applyNumberFormat="1" applyFont="1" applyFill="1" applyBorder="1" applyAlignment="1" applyProtection="1">
      <alignment horizontal="center"/>
      <protection locked="0"/>
    </xf>
    <xf numFmtId="3" fontId="0" fillId="0" borderId="1" xfId="4" applyNumberFormat="1" applyFont="1" applyFill="1" applyBorder="1" applyAlignment="1" applyProtection="1">
      <alignment horizontal="center"/>
      <protection locked="0"/>
    </xf>
    <xf numFmtId="0" fontId="10" fillId="11" borderId="1" xfId="0" applyFont="1" applyFill="1" applyBorder="1"/>
    <xf numFmtId="0" fontId="10" fillId="0" borderId="31" xfId="0" applyFont="1" applyBorder="1"/>
    <xf numFmtId="0" fontId="10" fillId="0" borderId="36" xfId="0" applyFont="1" applyBorder="1"/>
    <xf numFmtId="0" fontId="10" fillId="11" borderId="36" xfId="0" applyFont="1" applyFill="1" applyBorder="1"/>
    <xf numFmtId="0" fontId="10" fillId="0" borderId="34" xfId="0" applyFont="1" applyBorder="1"/>
    <xf numFmtId="1" fontId="0" fillId="0" borderId="55" xfId="0" applyNumberFormat="1" applyBorder="1"/>
    <xf numFmtId="1" fontId="0" fillId="0" borderId="56" xfId="0" applyNumberFormat="1" applyBorder="1"/>
    <xf numFmtId="1" fontId="0" fillId="11" borderId="41" xfId="0" applyNumberFormat="1" applyFill="1" applyBorder="1"/>
    <xf numFmtId="1" fontId="0" fillId="11" borderId="42" xfId="0" applyNumberFormat="1" applyFill="1" applyBorder="1"/>
    <xf numFmtId="0" fontId="0" fillId="11" borderId="41" xfId="0" applyFill="1" applyBorder="1"/>
    <xf numFmtId="0" fontId="0" fillId="11" borderId="42" xfId="0" applyFill="1" applyBorder="1"/>
    <xf numFmtId="1" fontId="0" fillId="0" borderId="30" xfId="0" applyNumberFormat="1" applyBorder="1"/>
    <xf numFmtId="1" fontId="0" fillId="0" borderId="31" xfId="0" applyNumberFormat="1" applyBorder="1"/>
    <xf numFmtId="1" fontId="0" fillId="0" borderId="38" xfId="0" applyNumberFormat="1" applyBorder="1" applyAlignment="1">
      <alignment horizontal="right"/>
    </xf>
    <xf numFmtId="1" fontId="0" fillId="0" borderId="34" xfId="0" applyNumberFormat="1" applyBorder="1" applyAlignment="1">
      <alignment horizontal="right"/>
    </xf>
    <xf numFmtId="0" fontId="0" fillId="0" borderId="34" xfId="0" applyBorder="1" applyAlignment="1">
      <alignment horizontal="right"/>
    </xf>
    <xf numFmtId="1" fontId="15" fillId="0" borderId="12" xfId="0" applyNumberFormat="1" applyFont="1" applyBorder="1"/>
    <xf numFmtId="1" fontId="0" fillId="0" borderId="53" xfId="0" applyNumberFormat="1" applyBorder="1"/>
    <xf numFmtId="1" fontId="0" fillId="0" borderId="12" xfId="0" applyNumberFormat="1" applyBorder="1"/>
    <xf numFmtId="0" fontId="0" fillId="0" borderId="35" xfId="0" applyBorder="1" applyAlignment="1">
      <alignment horizontal="right"/>
    </xf>
    <xf numFmtId="0" fontId="10" fillId="11" borderId="31" xfId="0" applyFont="1" applyFill="1" applyBorder="1"/>
    <xf numFmtId="0" fontId="22" fillId="0" borderId="10" xfId="6" applyBorder="1" applyAlignment="1">
      <alignment horizontal="left" wrapText="1"/>
    </xf>
    <xf numFmtId="0" fontId="22" fillId="0" borderId="14" xfId="6" applyBorder="1" applyAlignment="1">
      <alignment wrapText="1"/>
    </xf>
    <xf numFmtId="0" fontId="0" fillId="0" borderId="47" xfId="0" applyBorder="1" applyAlignment="1">
      <alignment horizontal="center"/>
    </xf>
    <xf numFmtId="1" fontId="0" fillId="0" borderId="54" xfId="0" applyNumberFormat="1" applyBorder="1"/>
    <xf numFmtId="0" fontId="12" fillId="4" borderId="0" xfId="0" applyFont="1" applyFill="1" applyAlignment="1">
      <alignment horizontal="center" wrapText="1"/>
    </xf>
    <xf numFmtId="0" fontId="24" fillId="8" borderId="0" xfId="0" applyFont="1" applyFill="1" applyAlignment="1">
      <alignment horizontal="center" vertical="center"/>
    </xf>
    <xf numFmtId="0" fontId="26" fillId="8" borderId="0" xfId="0" applyFont="1" applyFill="1" applyAlignment="1">
      <alignment horizontal="center" vertical="center"/>
    </xf>
    <xf numFmtId="0" fontId="24" fillId="12" borderId="0" xfId="0" applyFont="1" applyFill="1" applyAlignment="1">
      <alignment horizontal="center" vertical="center"/>
    </xf>
    <xf numFmtId="0" fontId="26" fillId="12" borderId="0" xfId="0" applyFont="1" applyFill="1" applyAlignment="1">
      <alignment horizontal="center" vertical="center"/>
    </xf>
    <xf numFmtId="0" fontId="1" fillId="0" borderId="0" xfId="0" applyFont="1" applyAlignment="1">
      <alignment horizontal="center" vertical="center" wrapText="1"/>
    </xf>
    <xf numFmtId="0" fontId="22" fillId="0" borderId="0" xfId="6" applyAlignment="1">
      <alignment horizontal="center" wrapText="1"/>
    </xf>
    <xf numFmtId="0" fontId="1" fillId="0" borderId="0" xfId="0" applyFont="1" applyAlignment="1">
      <alignment horizontal="center" vertical="center"/>
    </xf>
    <xf numFmtId="0" fontId="22" fillId="0" borderId="0" xfId="6" applyAlignment="1">
      <alignment horizontal="center"/>
    </xf>
    <xf numFmtId="0" fontId="24" fillId="13" borderId="0" xfId="0" applyFont="1" applyFill="1" applyAlignment="1">
      <alignment horizontal="center" vertical="center"/>
    </xf>
    <xf numFmtId="0" fontId="8" fillId="2" borderId="3" xfId="0" applyFont="1" applyFill="1" applyBorder="1" applyAlignment="1">
      <alignment horizontal="center" wrapText="1"/>
    </xf>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6" xfId="0" applyFont="1" applyFill="1" applyBorder="1" applyAlignment="1">
      <alignment horizontal="center"/>
    </xf>
    <xf numFmtId="0" fontId="8" fillId="2" borderId="7" xfId="0" applyFont="1" applyFill="1" applyBorder="1" applyAlignment="1">
      <alignment horizontal="center"/>
    </xf>
    <xf numFmtId="0" fontId="8" fillId="2" borderId="8" xfId="0" applyFont="1" applyFill="1" applyBorder="1" applyAlignment="1">
      <alignment horizontal="center"/>
    </xf>
    <xf numFmtId="0" fontId="1" fillId="2" borderId="2" xfId="0" applyFont="1" applyFill="1" applyBorder="1" applyAlignment="1">
      <alignment horizontal="center"/>
    </xf>
    <xf numFmtId="0" fontId="1" fillId="2" borderId="21" xfId="0" applyFont="1" applyFill="1" applyBorder="1" applyAlignment="1">
      <alignment horizontal="center"/>
    </xf>
    <xf numFmtId="0" fontId="1" fillId="2" borderId="12" xfId="0" applyFont="1" applyFill="1" applyBorder="1" applyAlignment="1">
      <alignment horizontal="center"/>
    </xf>
    <xf numFmtId="0" fontId="18" fillId="0" borderId="0" xfId="0" applyFont="1" applyAlignment="1">
      <alignment horizontal="left" vertical="top" wrapText="1"/>
    </xf>
    <xf numFmtId="0" fontId="12" fillId="8" borderId="22" xfId="0" applyFont="1" applyFill="1" applyBorder="1" applyAlignment="1">
      <alignment horizontal="center"/>
    </xf>
    <xf numFmtId="0" fontId="12" fillId="8" borderId="27" xfId="0" applyFont="1" applyFill="1" applyBorder="1" applyAlignment="1">
      <alignment horizontal="center"/>
    </xf>
    <xf numFmtId="0" fontId="12" fillId="8" borderId="28" xfId="0" applyFont="1" applyFill="1" applyBorder="1" applyAlignment="1">
      <alignment horizontal="center"/>
    </xf>
    <xf numFmtId="0" fontId="12" fillId="8" borderId="29" xfId="0" applyFont="1" applyFill="1" applyBorder="1" applyAlignment="1">
      <alignment horizontal="center"/>
    </xf>
    <xf numFmtId="0" fontId="12" fillId="8" borderId="23" xfId="0" applyFont="1" applyFill="1" applyBorder="1" applyAlignment="1">
      <alignment horizontal="center"/>
    </xf>
    <xf numFmtId="0" fontId="12" fillId="8" borderId="22" xfId="0" applyFont="1" applyFill="1" applyBorder="1" applyAlignment="1">
      <alignment horizontal="center" wrapText="1"/>
    </xf>
    <xf numFmtId="0" fontId="12" fillId="8" borderId="23" xfId="0" applyFont="1" applyFill="1" applyBorder="1" applyAlignment="1">
      <alignment horizontal="center" wrapText="1"/>
    </xf>
    <xf numFmtId="0" fontId="12" fillId="8" borderId="26" xfId="0" applyFont="1" applyFill="1" applyBorder="1" applyAlignment="1">
      <alignment horizontal="center"/>
    </xf>
    <xf numFmtId="0" fontId="12" fillId="8" borderId="24" xfId="0" applyFont="1" applyFill="1" applyBorder="1" applyAlignment="1">
      <alignment horizontal="center"/>
    </xf>
    <xf numFmtId="0" fontId="12" fillId="8" borderId="25" xfId="0" applyFont="1" applyFill="1" applyBorder="1" applyAlignment="1">
      <alignment horizontal="center"/>
    </xf>
    <xf numFmtId="1" fontId="17" fillId="0" borderId="22" xfId="0" applyNumberFormat="1" applyFont="1" applyBorder="1" applyAlignment="1">
      <alignment horizontal="center"/>
    </xf>
    <xf numFmtId="1" fontId="17" fillId="0" borderId="23" xfId="0" applyNumberFormat="1" applyFont="1" applyBorder="1" applyAlignment="1">
      <alignment horizontal="center"/>
    </xf>
    <xf numFmtId="1" fontId="17" fillId="0" borderId="27" xfId="0" applyNumberFormat="1" applyFont="1" applyBorder="1" applyAlignment="1">
      <alignment horizontal="center"/>
    </xf>
    <xf numFmtId="0" fontId="21" fillId="16" borderId="43" xfId="0" applyFont="1" applyFill="1" applyBorder="1" applyAlignment="1">
      <alignment horizontal="center"/>
    </xf>
    <xf numFmtId="0" fontId="21" fillId="16" borderId="44" xfId="0" applyFont="1" applyFill="1" applyBorder="1" applyAlignment="1">
      <alignment horizontal="center"/>
    </xf>
    <xf numFmtId="0" fontId="21" fillId="16" borderId="45" xfId="0" applyFont="1" applyFill="1" applyBorder="1" applyAlignment="1">
      <alignment horizontal="center"/>
    </xf>
    <xf numFmtId="0" fontId="21" fillId="14" borderId="10" xfId="0" applyFont="1" applyFill="1" applyBorder="1" applyAlignment="1">
      <alignment horizontal="center"/>
    </xf>
    <xf numFmtId="0" fontId="21" fillId="14" borderId="11" xfId="0" applyFont="1" applyFill="1" applyBorder="1" applyAlignment="1">
      <alignment horizontal="center"/>
    </xf>
    <xf numFmtId="0" fontId="21" fillId="14" borderId="14" xfId="0" applyFont="1" applyFill="1" applyBorder="1" applyAlignment="1">
      <alignment horizontal="center"/>
    </xf>
    <xf numFmtId="0" fontId="21" fillId="15" borderId="10" xfId="0" applyFont="1" applyFill="1" applyBorder="1" applyAlignment="1">
      <alignment horizontal="center"/>
    </xf>
    <xf numFmtId="0" fontId="21" fillId="15" borderId="11" xfId="0" applyFont="1" applyFill="1" applyBorder="1" applyAlignment="1">
      <alignment horizontal="center"/>
    </xf>
    <xf numFmtId="0" fontId="21" fillId="15" borderId="14" xfId="0" applyFont="1" applyFill="1" applyBorder="1" applyAlignment="1">
      <alignment horizontal="center"/>
    </xf>
    <xf numFmtId="43" fontId="0" fillId="0" borderId="30" xfId="4" applyFont="1" applyBorder="1"/>
    <xf numFmtId="43" fontId="0" fillId="0" borderId="38" xfId="4" applyFont="1" applyBorder="1"/>
    <xf numFmtId="43" fontId="0" fillId="0" borderId="36" xfId="4" applyFont="1" applyBorder="1"/>
    <xf numFmtId="169" fontId="0" fillId="0" borderId="1" xfId="0" applyNumberFormat="1" applyBorder="1"/>
    <xf numFmtId="169" fontId="0" fillId="0" borderId="36" xfId="0" applyNumberFormat="1" applyBorder="1"/>
    <xf numFmtId="169" fontId="0" fillId="0" borderId="31" xfId="0" applyNumberFormat="1" applyBorder="1"/>
    <xf numFmtId="169" fontId="0" fillId="0" borderId="34" xfId="0" applyNumberFormat="1" applyBorder="1"/>
    <xf numFmtId="169" fontId="0" fillId="0" borderId="1" xfId="3" applyNumberFormat="1" applyFont="1" applyBorder="1"/>
    <xf numFmtId="169" fontId="0" fillId="0" borderId="36" xfId="3" applyNumberFormat="1" applyFont="1" applyBorder="1"/>
  </cellXfs>
  <cellStyles count="7">
    <cellStyle name="Comma" xfId="4" builtinId="3"/>
    <cellStyle name="Comma 2" xfId="2" xr:uid="{00000000-0005-0000-0000-000001000000}"/>
    <cellStyle name="Currency" xfId="3" builtinId="4"/>
    <cellStyle name="Hyperlink" xfId="6" builtinId="8"/>
    <cellStyle name="Normal" xfId="0" builtinId="0"/>
    <cellStyle name="Normal 2" xfId="1" xr:uid="{00000000-0005-0000-0000-000004000000}"/>
    <cellStyle name="Percent" xfId="5" builtinId="5"/>
  </cellStyles>
  <dxfs count="367">
    <dxf>
      <fill>
        <patternFill>
          <bgColor theme="6"/>
        </patternFill>
      </fill>
    </dxf>
    <dxf>
      <fill>
        <patternFill>
          <bgColor rgb="FFC00000"/>
        </patternFill>
      </fill>
    </dxf>
    <dxf>
      <fill>
        <patternFill>
          <bgColor theme="6"/>
        </patternFill>
      </fill>
    </dxf>
    <dxf>
      <fill>
        <patternFill>
          <bgColor rgb="FFC00000"/>
        </patternFill>
      </fill>
    </dxf>
    <dxf>
      <fill>
        <patternFill>
          <bgColor theme="6"/>
        </patternFill>
      </fill>
    </dxf>
    <dxf>
      <fill>
        <patternFill>
          <bgColor rgb="FFC00000"/>
        </patternFill>
      </fill>
    </dxf>
    <dxf>
      <fill>
        <patternFill>
          <bgColor theme="6"/>
        </patternFill>
      </fill>
    </dxf>
    <dxf>
      <fill>
        <patternFill>
          <bgColor rgb="FFC00000"/>
        </patternFill>
      </fill>
    </dxf>
    <dxf>
      <fill>
        <patternFill>
          <bgColor rgb="FF9BBB59"/>
        </patternFill>
      </fill>
    </dxf>
    <dxf>
      <fill>
        <patternFill>
          <bgColor rgb="FFE6B8B7"/>
        </patternFill>
      </fill>
    </dxf>
    <dxf>
      <fill>
        <patternFill>
          <bgColor theme="6"/>
        </patternFill>
      </fill>
    </dxf>
    <dxf>
      <font>
        <color rgb="FF9C0006"/>
      </font>
      <fill>
        <patternFill>
          <bgColor rgb="FFFF9999"/>
        </patternFill>
      </fill>
    </dxf>
    <dxf>
      <fill>
        <patternFill>
          <bgColor theme="6"/>
        </patternFill>
      </fill>
    </dxf>
    <dxf>
      <fill>
        <patternFill>
          <bgColor rgb="FFFFC7CE"/>
        </patternFill>
      </fill>
    </dxf>
    <dxf>
      <fill>
        <patternFill>
          <bgColor theme="5" tint="0.59996337778862885"/>
        </patternFill>
      </fill>
    </dxf>
    <dxf>
      <font>
        <color rgb="FF006100"/>
      </font>
      <fill>
        <patternFill>
          <bgColor theme="6"/>
        </patternFill>
      </fill>
    </dxf>
    <dxf>
      <fill>
        <patternFill>
          <bgColor rgb="FF92D050"/>
        </patternFill>
      </fill>
    </dxf>
    <dxf>
      <fill>
        <patternFill>
          <bgColor theme="5" tint="0.59996337778862885"/>
        </patternFill>
      </fill>
    </dxf>
    <dxf>
      <fill>
        <patternFill>
          <bgColor theme="5" tint="0.59996337778862885"/>
        </patternFill>
      </fill>
    </dxf>
    <dxf>
      <font>
        <color rgb="FF006100"/>
      </font>
      <fill>
        <patternFill>
          <bgColor theme="6"/>
        </patternFill>
      </fill>
    </dxf>
    <dxf>
      <font>
        <color rgb="FF006100"/>
      </font>
      <fill>
        <patternFill>
          <bgColor theme="6"/>
        </patternFill>
      </fill>
    </dxf>
    <dxf>
      <fill>
        <patternFill>
          <bgColor theme="5" tint="0.59996337778862885"/>
        </patternFill>
      </fill>
    </dxf>
    <dxf>
      <font>
        <color rgb="FF9C0006"/>
      </font>
      <fill>
        <patternFill>
          <bgColor rgb="FFFF9999"/>
        </patternFill>
      </fill>
    </dxf>
    <dxf>
      <fill>
        <patternFill>
          <bgColor rgb="FF9BBB59"/>
        </patternFill>
      </fill>
    </dxf>
    <dxf>
      <fill>
        <patternFill>
          <bgColor theme="6"/>
        </patternFill>
      </fill>
    </dxf>
    <dxf>
      <font>
        <color rgb="FF9C0006"/>
      </font>
      <fill>
        <patternFill>
          <bgColor rgb="FFFF9999"/>
        </patternFill>
      </fill>
    </dxf>
    <dxf>
      <fill>
        <patternFill>
          <bgColor rgb="FF9BBB59"/>
        </patternFill>
      </fill>
    </dxf>
    <dxf>
      <fill>
        <patternFill>
          <bgColor rgb="FFE6B8B7"/>
        </patternFill>
      </fill>
    </dxf>
    <dxf>
      <fill>
        <patternFill>
          <bgColor rgb="FFE6B8B7"/>
        </patternFill>
      </fill>
    </dxf>
    <dxf>
      <fill>
        <patternFill>
          <bgColor theme="5" tint="0.59996337778862885"/>
        </patternFill>
      </fill>
    </dxf>
    <dxf>
      <fill>
        <patternFill>
          <bgColor rgb="FF92D050"/>
        </patternFill>
      </fill>
    </dxf>
    <dxf>
      <font>
        <color rgb="FF006100"/>
      </font>
      <fill>
        <patternFill>
          <bgColor theme="6"/>
        </patternFill>
      </fill>
    </dxf>
    <dxf>
      <fill>
        <patternFill>
          <bgColor theme="5" tint="0.59996337778862885"/>
        </patternFill>
      </fill>
    </dxf>
    <dxf>
      <font>
        <color rgb="FF006100"/>
      </font>
      <fill>
        <patternFill>
          <bgColor theme="6"/>
        </patternFill>
      </fill>
    </dxf>
    <dxf>
      <fill>
        <patternFill>
          <bgColor theme="5" tint="0.59996337778862885"/>
        </patternFill>
      </fill>
    </dxf>
    <dxf>
      <font>
        <color rgb="FF006100"/>
      </font>
      <fill>
        <patternFill>
          <bgColor theme="6"/>
        </patternFill>
      </fill>
    </dxf>
    <dxf>
      <font>
        <color rgb="FF9C0006"/>
      </font>
      <fill>
        <patternFill>
          <bgColor rgb="FFFF9999"/>
        </patternFill>
      </fill>
    </dxf>
    <dxf>
      <fill>
        <patternFill>
          <bgColor theme="6"/>
        </patternFill>
      </fill>
    </dxf>
    <dxf>
      <fill>
        <patternFill>
          <bgColor rgb="FFC00000"/>
        </patternFill>
      </fill>
    </dxf>
    <dxf>
      <fill>
        <patternFill>
          <bgColor rgb="FFC00000"/>
        </patternFill>
      </fill>
    </dxf>
    <dxf>
      <fill>
        <patternFill>
          <bgColor theme="6"/>
        </patternFill>
      </fill>
    </dxf>
    <dxf>
      <fill>
        <patternFill>
          <bgColor theme="6"/>
        </patternFill>
      </fill>
    </dxf>
    <dxf>
      <fill>
        <patternFill>
          <bgColor rgb="FFC00000"/>
        </patternFill>
      </fill>
    </dxf>
    <dxf>
      <fill>
        <patternFill>
          <bgColor theme="0"/>
        </patternFill>
      </fill>
    </dxf>
    <dxf>
      <fill>
        <patternFill>
          <bgColor theme="5" tint="0.39994506668294322"/>
        </patternFill>
      </fill>
    </dxf>
    <dxf>
      <fill>
        <patternFill>
          <bgColor theme="6" tint="0.39994506668294322"/>
        </patternFill>
      </fill>
    </dxf>
    <dxf>
      <fill>
        <patternFill>
          <bgColor rgb="FF9BBB59"/>
        </patternFill>
      </fill>
    </dxf>
    <dxf>
      <fill>
        <patternFill>
          <bgColor rgb="FFE6B8B7"/>
        </patternFill>
      </fill>
    </dxf>
    <dxf>
      <fill>
        <patternFill>
          <bgColor rgb="FFC00000"/>
        </patternFill>
      </fill>
    </dxf>
    <dxf>
      <fill>
        <patternFill>
          <bgColor theme="6"/>
        </patternFill>
      </fill>
    </dxf>
    <dxf>
      <font>
        <color theme="0"/>
      </font>
    </dxf>
    <dxf>
      <font>
        <b val="0"/>
        <i val="0"/>
        <color theme="0"/>
      </font>
    </dxf>
    <dxf>
      <fill>
        <patternFill>
          <bgColor rgb="FFFFC7CE"/>
        </patternFill>
      </fill>
    </dxf>
    <dxf>
      <fill>
        <patternFill>
          <bgColor rgb="FFFFC7CE"/>
        </patternFill>
      </fill>
    </dxf>
    <dxf>
      <fill>
        <patternFill>
          <bgColor rgb="FF92D050"/>
        </patternFill>
      </fill>
    </dxf>
    <dxf>
      <fill>
        <patternFill>
          <bgColor rgb="FFC00000"/>
        </patternFill>
      </fill>
    </dxf>
    <dxf>
      <fill>
        <patternFill>
          <bgColor rgb="FF92D050"/>
        </patternFill>
      </fill>
    </dxf>
    <dxf>
      <fill>
        <patternFill>
          <bgColor rgb="FFC00000"/>
        </patternFill>
      </fill>
    </dxf>
    <dxf>
      <fill>
        <patternFill>
          <bgColor rgb="FF92D050"/>
        </patternFill>
      </fill>
    </dxf>
    <dxf>
      <fill>
        <patternFill>
          <bgColor rgb="FFC00000"/>
        </patternFill>
      </fill>
    </dxf>
    <dxf>
      <fill>
        <patternFill>
          <bgColor theme="5" tint="0.79998168889431442"/>
        </patternFill>
      </fill>
    </dxf>
    <dxf>
      <fill>
        <patternFill>
          <bgColor theme="6" tint="0.79998168889431442"/>
        </patternFill>
      </fill>
    </dxf>
    <dxf>
      <fill>
        <patternFill>
          <bgColor rgb="FFFFC7CE"/>
        </patternFill>
      </fill>
    </dxf>
    <dxf>
      <fill>
        <patternFill>
          <bgColor rgb="FFFFC7CE"/>
        </patternFill>
      </fill>
    </dxf>
    <dxf>
      <fill>
        <patternFill>
          <bgColor rgb="FF92D050"/>
        </patternFill>
      </fill>
    </dxf>
    <dxf>
      <fill>
        <patternFill>
          <bgColor rgb="FFC00000"/>
        </patternFill>
      </fill>
    </dxf>
    <dxf>
      <fill>
        <patternFill>
          <bgColor rgb="FF92D050"/>
        </patternFill>
      </fill>
    </dxf>
    <dxf>
      <fill>
        <patternFill>
          <bgColor rgb="FFC00000"/>
        </patternFill>
      </fill>
    </dxf>
    <dxf>
      <fill>
        <patternFill>
          <bgColor rgb="FF92D050"/>
        </patternFill>
      </fill>
    </dxf>
    <dxf>
      <fill>
        <patternFill>
          <bgColor rgb="FFC00000"/>
        </patternFill>
      </fill>
    </dxf>
    <dxf>
      <fill>
        <patternFill>
          <bgColor theme="5" tint="0.79998168889431442"/>
        </patternFill>
      </fill>
    </dxf>
    <dxf>
      <fill>
        <patternFill>
          <bgColor theme="6" tint="0.79998168889431442"/>
        </patternFill>
      </fill>
    </dxf>
    <dxf>
      <fill>
        <patternFill patternType="solid">
          <fgColor indexed="64"/>
          <bgColor theme="1"/>
        </patternFill>
      </fill>
      <border diagonalUp="0" diagonalDown="0" outline="0">
        <left style="thin">
          <color indexed="64"/>
        </left>
        <right/>
        <top style="thin">
          <color indexed="64"/>
        </top>
        <bottom style="thin">
          <color indexed="64"/>
        </bottom>
      </border>
    </dxf>
    <dxf>
      <font>
        <color auto="1"/>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outline="0">
        <left style="thin">
          <color indexed="64"/>
        </left>
        <right style="thin">
          <color indexed="64"/>
        </right>
        <top/>
        <bottom/>
      </border>
    </dxf>
    <dxf>
      <fill>
        <patternFill patternType="solid">
          <fgColor indexed="64"/>
          <bgColor theme="1"/>
        </patternFill>
      </fill>
      <border diagonalUp="0" diagonalDown="0" outline="0">
        <left style="thin">
          <color indexed="64"/>
        </left>
        <right style="thin">
          <color indexed="64"/>
        </right>
        <top style="thin">
          <color indexed="64"/>
        </top>
        <bottom style="thin">
          <color indexed="64"/>
        </bottom>
      </border>
      <protection locked="1" hidden="1"/>
    </dxf>
    <dxf>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protection locked="1" hidden="1"/>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bottom/>
      </border>
      <protection locked="1" hidden="1"/>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1" hidden="1"/>
    </dxf>
    <dxf>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protection locked="1" hidden="1"/>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bottom/>
      </border>
      <protection locked="1" hidden="1"/>
    </dxf>
    <dxf>
      <fill>
        <patternFill patternType="solid">
          <fgColor indexed="64"/>
          <bgColor theme="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ill>
        <patternFill patternType="solid">
          <fgColor indexed="64"/>
          <bgColor theme="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ill>
        <patternFill patternType="solid">
          <fgColor indexed="64"/>
          <bgColor theme="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ill>
        <patternFill patternType="solid">
          <fgColor indexed="64"/>
          <bgColor theme="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ill>
        <patternFill patternType="solid">
          <fgColor indexed="64"/>
          <bgColor theme="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ill>
        <patternFill patternType="solid">
          <fgColor indexed="64"/>
          <bgColor theme="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ill>
        <patternFill patternType="solid">
          <fgColor indexed="64"/>
          <bgColor theme="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1" indent="0" justifyLastLine="0" shrinkToFit="0" readingOrder="0"/>
      <border diagonalUp="0" diagonalDown="0">
        <left style="thin">
          <color indexed="64"/>
        </left>
        <right style="thin">
          <color indexed="64"/>
        </right>
        <top/>
        <bottom/>
      </border>
      <protection locked="1" hidden="1"/>
    </dxf>
    <dxf>
      <numFmt numFmtId="14" formatCode="0.00%"/>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4" formatCode="_(&quot;$&quot;* #,##0.00_);_(&quot;$&quot;* \(#,##0.00\);_(&quot;$&quot;* &quot;-&quot;??_);_(@_)"/>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14" formatCode="0.00%"/>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14" formatCode="0.00%"/>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4" formatCode="_(&quot;$&quot;* #,##0.00_);_(&quot;$&quot;* \(#,##0.00\);_(&quot;$&quot;* &quot;-&quot;??_);_(@_)"/>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4" formatCode="_(&quot;$&quot;* #,##0.00_);_(&quot;$&quot;* \(#,##0.00\);_(&quot;$&quot;* &quot;-&quot;??_);_(@_)"/>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color theme="0"/>
      </font>
      <numFmt numFmtId="14" formatCode="0.00%"/>
      <fill>
        <patternFill patternType="solid">
          <fgColor indexed="64"/>
          <bgColor theme="0" tint="-0.499984740745262"/>
        </patternFill>
      </fill>
      <border diagonalUp="0" diagonalDown="0">
        <left style="thin">
          <color indexed="64"/>
        </left>
        <right/>
        <top style="thin">
          <color indexed="64"/>
        </top>
        <bottom style="thin">
          <color indexed="64"/>
        </bottom>
      </border>
    </dxf>
    <dxf>
      <font>
        <b/>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1" tint="0.499984740745262"/>
        </patternFill>
      </fill>
      <border diagonalUp="0" diagonalDown="0" outline="0">
        <left style="thin">
          <color indexed="64"/>
        </left>
        <right style="thin">
          <color indexed="64"/>
        </right>
        <top style="thin">
          <color indexed="64"/>
        </top>
        <bottom style="thin">
          <color indexed="64"/>
        </bottom>
      </border>
    </dxf>
    <dxf>
      <font>
        <b/>
        <color theme="0"/>
      </font>
      <numFmt numFmtId="34" formatCode="_(&quot;$&quot;* #,##0.00_);_(&quot;$&quot;* \(#,##0.00\);_(&quot;$&quot;* &quot;-&quot;??_);_(@_)"/>
      <fill>
        <patternFill patternType="solid">
          <fgColor indexed="64"/>
          <bgColor theme="1" tint="0.499984740745262"/>
        </patternFill>
      </fill>
      <border diagonalUp="0" diagonalDown="0" outline="0">
        <left style="thin">
          <color indexed="64"/>
        </left>
        <right style="thin">
          <color indexed="64"/>
        </right>
        <top style="thin">
          <color indexed="64"/>
        </top>
        <bottom style="thin">
          <color indexed="64"/>
        </bottom>
      </border>
    </dxf>
    <dxf>
      <font>
        <b/>
        <color theme="0"/>
      </font>
      <fill>
        <patternFill patternType="solid">
          <fgColor indexed="64"/>
          <bgColor theme="0" tint="-0.499984740745262"/>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8"/>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color theme="0"/>
      </font>
      <numFmt numFmtId="14" formatCode="0.00%"/>
      <fill>
        <patternFill patternType="solid">
          <fgColor indexed="64"/>
          <bgColor theme="1" tint="0.499984740745262"/>
        </patternFill>
      </fill>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numFmt numFmtId="0" formatCode="General"/>
      <fill>
        <patternFill patternType="solid">
          <fgColor indexed="64"/>
          <bgColor theme="1" tint="0.499984740745262"/>
        </patternFill>
      </fill>
      <border diagonalUp="0" diagonalDown="0">
        <left style="thin">
          <color indexed="64"/>
        </left>
        <right style="thin">
          <color indexed="64"/>
        </right>
        <top style="thin">
          <color indexed="64"/>
        </top>
        <bottom style="thin">
          <color indexed="64"/>
        </bottom>
        <vertical/>
        <horizontal/>
      </border>
    </dxf>
    <dxf>
      <font>
        <b/>
        <color theme="0"/>
      </font>
      <numFmt numFmtId="0" formatCode="General"/>
      <fill>
        <patternFill patternType="solid">
          <fgColor indexed="64"/>
          <bgColor theme="1" tint="0.499984740745262"/>
        </patternFill>
      </fill>
      <border diagonalUp="0" diagonalDown="0">
        <left style="thin">
          <color indexed="64"/>
        </left>
        <right style="thin">
          <color indexed="64"/>
        </right>
        <top style="thin">
          <color indexed="64"/>
        </top>
        <bottom style="thin">
          <color indexed="64"/>
        </bottom>
        <vertical/>
        <horizontal/>
      </border>
    </dxf>
    <dxf>
      <font>
        <b/>
        <color theme="0"/>
      </font>
      <fill>
        <patternFill patternType="solid">
          <fgColor indexed="64"/>
          <bgColor theme="0" tint="-0.499984740745262"/>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color theme="0"/>
      </font>
      <numFmt numFmtId="14" formatCode="0.00%"/>
      <fill>
        <patternFill patternType="solid">
          <fgColor indexed="64"/>
          <bgColor theme="0" tint="-0.499984740745262"/>
        </patternFill>
      </fill>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0" tint="-0.499984740745262"/>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3"/>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14" formatCode="0.00%"/>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14" formatCode="0.0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70C0"/>
        <name val="Calibri"/>
        <family val="2"/>
        <scheme val="none"/>
      </font>
      <numFmt numFmtId="164" formatCode="_(&quot;$&quot;* #,##0_);_(&quot;$&quot;* \(#,##0\);_(&quot;$&quot;* &quot;-&quot;??_);_(@_)"/>
      <fill>
        <patternFill patternType="none">
          <fgColor rgb="FF000000"/>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70C0"/>
        <name val="Calibri"/>
        <family val="2"/>
        <scheme val="none"/>
      </font>
      <fill>
        <patternFill patternType="none">
          <fgColor rgb="FF000000"/>
          <bgColor rgb="FFFFFFFF"/>
        </patternFill>
      </fill>
      <alignment horizontal="center" vertical="bottom" textRotation="0" wrapText="0" indent="0" justifyLastLine="0" shrinkToFit="0" readingOrder="0"/>
      <protection locked="1" hidden="0"/>
    </dxf>
    <dxf>
      <border>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rgb="FF0070C0"/>
        <name val="Calibri"/>
        <family val="2"/>
        <scheme val="none"/>
      </font>
      <numFmt numFmtId="164" formatCode="_(&quot;$&quot;* #,##0_);_(&quot;$&quot;* \(#,##0\);_(&quot;$&quot;* &quot;-&quot;??_);_(@_)"/>
      <fill>
        <patternFill patternType="none">
          <fgColor rgb="FF000000"/>
          <bgColor rgb="FFFFFFFF"/>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70C0"/>
        <name val="Calibri"/>
        <family val="2"/>
        <scheme val="none"/>
      </font>
      <fill>
        <patternFill patternType="none">
          <fgColor rgb="FF000000"/>
          <bgColor rgb="FFFFFFFF"/>
        </patternFill>
      </fill>
      <alignment horizontal="center" vertical="bottom" textRotation="0" wrapText="0" indent="0" justifyLastLine="0" shrinkToFit="0" readingOrder="0"/>
      <protection locked="1" hidden="0"/>
    </dxf>
    <dxf>
      <border>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70C0"/>
        <name val="Calibri"/>
        <family val="2"/>
        <scheme val="none"/>
      </font>
      <fill>
        <patternFill patternType="none">
          <fgColor rgb="FF000000"/>
          <bgColor rgb="FFFFFFFF"/>
        </patternFill>
      </fill>
      <alignment horizontal="center" vertical="bottom" textRotation="0" wrapText="0" indent="0" justifyLastLine="0" shrinkToFit="0" readingOrder="0"/>
      <protection locked="1" hidden="0"/>
    </dxf>
    <dxf>
      <border>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70C0"/>
        <name val="Calibri"/>
        <family val="2"/>
        <scheme val="none"/>
      </font>
      <fill>
        <patternFill patternType="none">
          <fgColor rgb="FF000000"/>
          <bgColor rgb="FFFFFFFF"/>
        </patternFill>
      </fill>
      <alignment horizontal="center" vertical="bottom" textRotation="0" wrapText="0" indent="0" justifyLastLine="0" shrinkToFit="0" readingOrder="0"/>
      <protection locked="1" hidden="0"/>
    </dxf>
    <dxf>
      <border>
        <bottom style="thin">
          <color rgb="FF000000"/>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3" formatCode="#,##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font>
        <i val="0"/>
      </font>
      <protection locked="0" hidden="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i/>
      </font>
      <numFmt numFmtId="164" formatCode="_(&quot;$&quot;* #,##0_);_(&quot;$&quot;* \(#,##0\);_(&quot;$&quot;* &quot;-&quot;??_);_(@_)"/>
      <border diagonalUp="0" diagonalDown="0">
        <left style="thin">
          <color indexed="64"/>
        </left>
        <right/>
        <top style="thin">
          <color indexed="64"/>
        </top>
        <bottom style="thin">
          <color indexed="64"/>
        </bottom>
        <vertical/>
        <horizontal/>
      </border>
      <protection locked="0" hidden="0"/>
    </dxf>
    <dxf>
      <font>
        <b val="0"/>
        <i/>
        <strike val="0"/>
        <condense val="0"/>
        <extend val="0"/>
        <outline val="0"/>
        <shadow val="0"/>
        <u val="none"/>
        <vertAlign val="baseline"/>
        <sz val="11"/>
        <color theme="1"/>
        <name val="Calibri"/>
        <family val="2"/>
        <scheme val="minor"/>
      </font>
      <numFmt numFmtId="164" formatCode="_(&quot;$&quot;* #,##0_);_(&quot;$&quot;* \(#,##0\);_(&quot;$&quot;* &quot;-&quot;??_);_(@_)"/>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i/>
      </font>
      <numFmt numFmtId="164" formatCode="_(&quot;$&quot;* #,##0_);_(&quot;$&quot;* \(#,##0\);_(&quot;$&quot;* &quot;-&quot;??_);_(@_)"/>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i val="0"/>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font>
        <i val="0"/>
      </font>
      <protection locked="0" hidden="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i/>
      </font>
      <numFmt numFmtId="164" formatCode="_(&quot;$&quot;* #,##0_);_(&quot;$&quot;* \(#,##0\);_(&quot;$&quot;* &quot;-&quot;??_);_(@_)"/>
      <border diagonalUp="0" diagonalDown="0">
        <left style="thin">
          <color indexed="64"/>
        </left>
        <right/>
        <top style="thin">
          <color indexed="64"/>
        </top>
        <bottom style="thin">
          <color indexed="64"/>
        </bottom>
        <vertical/>
        <horizontal/>
      </border>
      <protection locked="0" hidden="0"/>
    </dxf>
    <dxf>
      <font>
        <b val="0"/>
        <i/>
        <strike val="0"/>
        <condense val="0"/>
        <extend val="0"/>
        <outline val="0"/>
        <shadow val="0"/>
        <u val="none"/>
        <vertAlign val="baseline"/>
        <sz val="11"/>
        <color theme="1"/>
        <name val="Calibri"/>
        <family val="2"/>
        <scheme val="minor"/>
      </font>
      <numFmt numFmtId="164" formatCode="_(&quot;$&quot;* #,##0_);_(&quot;$&quot;* \(#,##0\);_(&quot;$&quot;* &quot;-&quot;??_);_(@_)"/>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i/>
      </font>
      <numFmt numFmtId="164" formatCode="_(&quot;$&quot;* #,##0_);_(&quot;$&quot;* \(#,##0\);_(&quot;$&quot;* &quot;-&quot;??_);_(@_)"/>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i val="0"/>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font>
        <i val="0"/>
      </font>
      <protection locked="0" hidden="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rgb="FF0070C0"/>
        <name val="Calibri"/>
        <family val="2"/>
        <scheme val="none"/>
      </font>
      <numFmt numFmtId="167" formatCode="0.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rgb="FF0070C0"/>
        <name val="Calibri"/>
        <family val="2"/>
        <scheme val="none"/>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1"/>
        <color rgb="FF0070C0"/>
        <name val="Calibri"/>
        <family val="2"/>
        <scheme val="minor"/>
      </font>
      <numFmt numFmtId="34" formatCode="_(&quot;$&quot;* #,##0.00_);_(&quot;$&quot;* \(#,##0.0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5" formatCode="#,##0_);\(#,##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theme="4" tint="0.79998168889431442"/>
          <bgColor theme="4" tint="0.79998168889431442"/>
        </patternFill>
      </fill>
      <alignment horizontal="center" vertical="bottom" textRotation="0" wrapText="0" indent="0" justifyLastLine="0" shrinkToFit="0" readingOrder="0"/>
      <border diagonalUp="0" diagonalDown="0" outline="0">
        <left style="thin">
          <color rgb="FF000000"/>
        </left>
        <right style="thin">
          <color indexed="64"/>
        </right>
        <top style="thin">
          <color rgb="FF000000"/>
        </top>
        <bottom style="thin">
          <color rgb="FF000000"/>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70C0"/>
        <name val="Calibri"/>
        <family val="2"/>
        <scheme val="none"/>
      </font>
      <fill>
        <patternFill patternType="none">
          <fgColor rgb="FF000000"/>
          <bgColor rgb="FFFFFFFF"/>
        </patternFill>
      </fill>
      <alignment horizontal="center" vertical="bottom" textRotation="0" wrapText="0" indent="0" justifyLastLine="0" shrinkToFit="0" readingOrder="0"/>
      <protection locked="1" hidden="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70C0"/>
        <name val="Calibri"/>
        <family val="2"/>
        <scheme val="none"/>
      </font>
      <numFmt numFmtId="167" formatCode="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rgb="FF0070C0"/>
        <name val="Calibri"/>
        <family val="2"/>
        <scheme val="none"/>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rgb="FF0070C0"/>
        <name val="Calibri"/>
        <family val="2"/>
        <scheme val="minor"/>
      </font>
      <numFmt numFmtId="168" formatCode="_([$$-409]* #,##0.00_);_([$$-409]* \(#,##0.00\);_([$$-409]*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rgb="FF0070C0"/>
        <name val="Calibri"/>
        <family val="2"/>
        <scheme val="minor"/>
      </font>
      <numFmt numFmtId="34" formatCode="_(&quot;$&quot;* #,##0.00_);_(&quot;$&quot;* \(#,##0.0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rgb="FF0070C0"/>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5" formatCode="#,##0_);\(#,##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theme="4" tint="0.79998168889431442"/>
          <bgColor theme="4" tint="0.79998168889431442"/>
        </patternFill>
      </fill>
      <alignment horizontal="center" vertical="bottom" textRotation="0" wrapText="0" indent="0" justifyLastLine="0" shrinkToFit="0" readingOrder="0"/>
      <border diagonalUp="0" diagonalDown="0" outline="0">
        <left style="thin">
          <color rgb="FF000000"/>
        </left>
        <right style="thin">
          <color indexed="64"/>
        </right>
        <top style="thin">
          <color rgb="FF000000"/>
        </top>
        <bottom style="thin">
          <color rgb="FF000000"/>
        </bottom>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70C0"/>
        <name val="Calibri"/>
        <family val="2"/>
        <scheme val="none"/>
      </font>
      <fill>
        <patternFill patternType="none">
          <fgColor rgb="FF000000"/>
          <bgColor rgb="FFFFFFFF"/>
        </patternFill>
      </fill>
      <alignment horizontal="center" vertical="bottom" textRotation="0" wrapText="0" indent="0" justifyLastLine="0" shrinkToFit="0" readingOrder="0"/>
      <protection locked="1" hidden="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30" formatCode="@"/>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9" formatCode="m/d/yyyy"/>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9" formatCode="m/d/yyyy"/>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alignment horizontal="center" vertical="bottom" textRotation="0" wrapText="0" indent="0" justifyLastLine="0" shrinkToFit="0" readingOrder="0"/>
      <protection locked="0" hidden="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auto="1"/>
        <name val="Calibri"/>
        <family val="2"/>
        <scheme val="none"/>
      </font>
      <numFmt numFmtId="30" formatCode="@"/>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9" formatCode="m/d/yyyy"/>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9" formatCode="m/d/yyyy"/>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alignment horizontal="center" vertical="bottom" textRotation="0" wrapText="0" indent="0" justifyLastLine="0" shrinkToFit="0" readingOrder="0"/>
      <protection locked="0" hidden="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alignment horizontal="center" vertical="center" textRotation="0" wrapText="1" indent="0" justifyLastLine="0" shrinkToFit="0" readingOrder="0"/>
    </dxf>
    <dxf>
      <numFmt numFmtId="166" formatCode="[$-409]mmmm\ d\,\ yyyy;@"/>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solid">
          <fgColor indexed="64"/>
          <bgColor theme="4" tint="-0.249977111117893"/>
        </patternFill>
      </fill>
      <alignment horizontal="center" vertical="center" textRotation="0" wrapText="0" indent="0" justifyLastLine="0" shrinkToFit="0" readingOrder="0"/>
    </dxf>
    <dxf>
      <numFmt numFmtId="1" formatCode="0"/>
      <alignment horizontal="center" vertical="bottom" textRotation="0" wrapText="1" indent="0" justifyLastLine="0" shrinkToFit="0" readingOrder="0"/>
      <border diagonalUp="0" diagonalDown="0">
        <left/>
        <right/>
        <top style="thin">
          <color theme="4"/>
        </top>
        <bottom/>
        <vertical/>
        <horizontal/>
      </border>
    </dxf>
    <dxf>
      <numFmt numFmtId="1" formatCode="0"/>
      <alignment horizontal="center" vertical="bottom" textRotation="0" wrapText="0" indent="0" justifyLastLine="0" shrinkToFit="0" readingOrder="0"/>
      <border diagonalUp="0" diagonalDown="0">
        <left/>
        <right/>
        <top style="thin">
          <color theme="4"/>
        </top>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4" tint="-0.249977111117893"/>
        </patternFill>
      </fill>
      <alignment horizontal="center" vertical="bottom" textRotation="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color auto="1"/>
      </font>
      <numFmt numFmtId="1" formatCode="0"/>
      <alignment horizontal="center" vertical="bottom" textRotation="0" wrapText="0" indent="0" justifyLastLine="0" shrinkToFit="0" readingOrder="0"/>
    </dxf>
    <dxf>
      <border outline="0">
        <right style="thin">
          <color theme="4"/>
        </right>
        <top style="thin">
          <color theme="4"/>
        </top>
        <bottom style="thin">
          <color theme="4"/>
        </bottom>
      </border>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border outline="0">
        <right style="thin">
          <color theme="4"/>
        </right>
        <top style="thin">
          <color theme="4"/>
        </top>
        <bottom style="thin">
          <color theme="4"/>
        </bottom>
      </border>
    </dxf>
    <dxf>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solid">
          <fgColor indexed="64"/>
          <bgColor theme="4" tint="-0.249977111117893"/>
        </patternFill>
      </fill>
      <alignment horizontal="center" vertical="bottom" textRotation="0" wrapText="0" indent="0" justifyLastLine="0" shrinkToFit="0" readingOrder="0"/>
    </dxf>
    <dxf>
      <alignment horizontal="center" vertical="bottom" textRotation="0" wrapText="1" indent="0" justifyLastLine="0" shrinkToFit="0" readingOrder="0"/>
    </dxf>
    <dxf>
      <numFmt numFmtId="1" formatCode="0"/>
      <alignment horizontal="center" vertical="bottom" textRotation="0" wrapText="0" indent="0" justifyLastLine="0" shrinkToFit="0" readingOrder="0"/>
    </dxf>
    <dxf>
      <alignment horizontal="center" vertical="bottom" textRotation="0" indent="0" justifyLastLine="0" shrinkToFit="0" readingOrder="0"/>
    </dxf>
    <dxf>
      <fill>
        <patternFill patternType="solid">
          <fgColor indexed="64"/>
          <bgColor theme="4" tint="-0.249977111117893"/>
        </patternFill>
      </fill>
      <alignment horizontal="center" vertical="bottom" textRotation="0" indent="0" justifyLastLine="0" shrinkToFit="0" readingOrder="0"/>
    </dxf>
    <dxf>
      <numFmt numFmtId="1" formatCode="0"/>
      <fill>
        <patternFill patternType="none">
          <fgColor indexed="64"/>
          <bgColor indexed="65"/>
        </patternFill>
      </fill>
      <alignment horizontal="center" vertical="bottom" textRotation="0" wrapText="1" indent="0" justifyLastLine="0" shrinkToFit="0" readingOrder="0"/>
    </dxf>
    <dxf>
      <numFmt numFmtId="1" formatCode="0"/>
      <fill>
        <patternFill patternType="none">
          <fgColor indexed="64"/>
          <bgColor indexed="65"/>
        </patternFill>
      </fill>
      <alignment horizontal="center" vertical="bottom" textRotation="0" wrapText="0" indent="0" justifyLastLine="0" shrinkToFit="0" readingOrder="0"/>
    </dxf>
    <dxf>
      <alignment horizontal="center" vertical="bottom" textRotation="0" indent="0" justifyLastLine="0" shrinkToFit="0" readingOrder="0"/>
    </dxf>
    <dxf>
      <fill>
        <patternFill patternType="solid">
          <fgColor indexed="64"/>
          <bgColor theme="4" tint="-0.249977111117893"/>
        </patternFill>
      </fill>
      <alignment horizontal="center" vertical="bottom" textRotation="0" indent="0" justifyLastLine="0" shrinkToFit="0" readingOrder="0"/>
    </dxf>
    <dxf>
      <alignment horizontal="center" vertical="center" textRotation="0" wrapText="0" indent="0" justifyLastLine="0" shrinkToFit="0" readingOrder="0"/>
    </dxf>
    <dxf>
      <numFmt numFmtId="166" formatCode="[$-409]mmmm\ d\,\ yyyy;@"/>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solid">
          <fgColor indexed="64"/>
          <bgColor theme="4" tint="-0.249977111117893"/>
        </patternFill>
      </fill>
      <alignment horizontal="center" vertical="center" textRotation="0" wrapText="0" indent="0" justifyLastLine="0" shrinkToFit="0" readingOrder="0"/>
    </dxf>
  </dxfs>
  <tableStyles count="0" defaultTableStyle="TableStyleMedium2" defaultPivotStyle="PivotStyleLight16"/>
  <colors>
    <mruColors>
      <color rgb="FF9BBB59"/>
      <color rgb="FFE6B8B7"/>
      <color rgb="FFF2DCDB"/>
      <color rgb="FFF79646"/>
      <color rgb="FFFFC7CE"/>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2893219</xdr:colOff>
      <xdr:row>36</xdr:row>
      <xdr:rowOff>952500</xdr:rowOff>
    </xdr:from>
    <xdr:to>
      <xdr:col>1</xdr:col>
      <xdr:colOff>4498499</xdr:colOff>
      <xdr:row>37</xdr:row>
      <xdr:rowOff>33866</xdr:rowOff>
    </xdr:to>
    <xdr:pic>
      <xdr:nvPicPr>
        <xdr:cNvPr id="7" name="Picture 6" descr="Text&#10;&#10;Description automatically generated">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5845969" y="41183719"/>
          <a:ext cx="1605280" cy="825500"/>
        </a:xfrm>
        <a:prstGeom prst="rect">
          <a:avLst/>
        </a:prstGeom>
      </xdr:spPr>
    </xdr:pic>
    <xdr:clientData/>
  </xdr:twoCellAnchor>
  <xdr:twoCellAnchor editAs="oneCell">
    <xdr:from>
      <xdr:col>1</xdr:col>
      <xdr:colOff>2041072</xdr:colOff>
      <xdr:row>43</xdr:row>
      <xdr:rowOff>1215572</xdr:rowOff>
    </xdr:from>
    <xdr:to>
      <xdr:col>1</xdr:col>
      <xdr:colOff>3655877</xdr:colOff>
      <xdr:row>43</xdr:row>
      <xdr:rowOff>2053772</xdr:rowOff>
    </xdr:to>
    <xdr:pic>
      <xdr:nvPicPr>
        <xdr:cNvPr id="6" name="Picture 5" descr="Text&#10;&#10;Description automatically generated">
          <a:extLst>
            <a:ext uri="{FF2B5EF4-FFF2-40B4-BE49-F238E27FC236}">
              <a16:creationId xmlns:a16="http://schemas.microsoft.com/office/drawing/2014/main" id="{2CD29E2B-CD94-4D44-900A-190A77E28930}"/>
            </a:ext>
          </a:extLst>
        </xdr:cNvPr>
        <xdr:cNvPicPr>
          <a:picLocks noChangeAspect="1"/>
        </xdr:cNvPicPr>
      </xdr:nvPicPr>
      <xdr:blipFill>
        <a:blip xmlns:r="http://schemas.openxmlformats.org/officeDocument/2006/relationships" r:embed="rId1"/>
        <a:stretch>
          <a:fillRect/>
        </a:stretch>
      </xdr:blipFill>
      <xdr:spPr>
        <a:xfrm>
          <a:off x="4993822" y="48516722"/>
          <a:ext cx="1614805" cy="838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bailit.sharepoint.com/Megan/RI%20Governor/MA%20TME%20APM%202019%20Template%20with%20calculations.xlsm" TargetMode="External"/><Relationship Id="rId1" Type="http://schemas.openxmlformats.org/officeDocument/2006/relationships/externalLinkPath" Target="/Megan/RI%20Governor/MA%20TME%20APM%202019%20Template%20with%20calculatio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EafGo8Zh5UKynTOQLzvznZyqeBz4Sv1OhyBQULY9lIsG-Yxob63XQ5y40XtgQkaX" itemId="01EAYU7ECS4BIVFCCLRZDJOQAIGEOQEQFR">
      <xxl21:absoluteUrl r:id="rId2"/>
    </xxl21:alternateUrls>
    <sheetNames>
      <sheetName val="System Data"/>
      <sheetName val="Contents"/>
      <sheetName val="A. Front Page"/>
      <sheetName val="B. Zip Code"/>
      <sheetName val="C. Physician Group"/>
      <sheetName val="D.1 Summary"/>
      <sheetName val="D.2 Summary Trends"/>
      <sheetName val="Reference Tables"/>
      <sheetName val="Payer Names"/>
    </sheetNames>
    <sheetDataSet>
      <sheetData sheetId="0"/>
      <sheetData sheetId="1"/>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7E84299-F9EF-4868-9F09-A2C590F8840F}" name="InsurerFilingSchedule" displayName="InsurerFilingSchedule" ref="A4:B9" totalsRowShown="0" headerRowDxfId="366" dataDxfId="365">
  <autoFilter ref="A4:B9" xr:uid="{8B86219A-D80A-4537-937F-4E9F3EF6919E}"/>
  <tableColumns count="2">
    <tableColumn id="1" xr3:uid="{3370217B-A4B3-48B7-A19A-C883EC32629F}" name="Insurers' TME Filing Schedule Date" dataDxfId="364"/>
    <tableColumn id="2" xr3:uid="{6F847357-AB38-462F-82E4-3701AF91DB40}" name="Files Due" dataDxfId="363"/>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FCBB731-DA72-47FB-94C4-18CF002A9347}" name="HDTME_BY" displayName="HDTME_BY" ref="A10:E11" totalsRowShown="0" headerRowDxfId="333" dataDxfId="331" headerRowBorderDxfId="332" tableBorderDxfId="330" totalsRowBorderDxfId="329">
  <tableColumns count="5">
    <tableColumn id="1" xr3:uid="{7F6D7062-5F9E-460B-B670-7EC97A53E375}" name="Insurer Carrier Org ID" dataDxfId="328"/>
    <tableColumn id="2" xr3:uid="{1D20D6F2-7AE3-4837-ABEC-7A35B1782BE2}" name="Period Beginning Date" dataDxfId="327"/>
    <tableColumn id="3" xr3:uid="{1500ABAA-1F35-4507-93EE-B04E1A7E87DB}" name="Period Ending Date" dataDxfId="326"/>
    <tableColumn id="4" xr3:uid="{11571611-48A6-4AC4-B462-684E48F81EA0}" name="Insurer Comments" dataDxfId="325"/>
    <tableColumn id="7" xr3:uid="{7319F92F-2BBE-4D32-8A12-BD3FA1868E1E}" name="&quot;Doing Business As&quot;" dataDxfId="324"/>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A6BA335-9EB5-4374-867F-3C879815D951}" name="HDTME_PY" displayName="HDTME_PY" ref="A10:E11" totalsRowShown="0" headerRowDxfId="323" dataDxfId="321" headerRowBorderDxfId="322" tableBorderDxfId="320" totalsRowBorderDxfId="319">
  <tableColumns count="5">
    <tableColumn id="1" xr3:uid="{1F00A7FB-1C8E-4C57-AEB9-F003ED7A33D9}" name="Insurer Carrier Org ID" dataDxfId="318"/>
    <tableColumn id="2" xr3:uid="{046C6B6E-DBFA-4B8D-8617-1CE4D45BB983}" name="Period Beginning Date" dataDxfId="317"/>
    <tableColumn id="3" xr3:uid="{F122E6CC-F783-4A95-BB83-99F3FF366461}" name="Period Ending Date" dataDxfId="316"/>
    <tableColumn id="4" xr3:uid="{3E8D56D4-194A-4C35-A344-EF5D32EEC8B0}" name="Insurer Comments" dataDxfId="315"/>
    <tableColumn id="5" xr3:uid="{7F7709E1-2C46-4FC1-B237-77578E84BDF9}" name="&quot;Doing Business As&quot;" dataDxfId="314"/>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E85E2C8-B73B-4AD6-8F82-C22F3E4641CC}" name="AN_TME_BY" displayName="AN_TME_BY" ref="A10:AD200" totalsRowShown="0" headerRowDxfId="313" dataDxfId="311" headerRowBorderDxfId="312" tableBorderDxfId="310" totalsRowBorderDxfId="309" dataCellStyle="Currency">
  <autoFilter ref="A10:AD200" xr:uid="{AE85E2C8-B73B-4AD6-8F82-C22F3E4641CC}"/>
  <tableColumns count="30">
    <tableColumn id="1" xr3:uid="{5D311E7A-C6CF-4C72-AEB9-EAE090311F0E}" name="Advanced Network/Insurance Carrier Org ID" dataDxfId="308"/>
    <tableColumn id="2" xr3:uid="{33D1C9EB-079A-4C4D-B732-394BA64A6720}" name="Insurance Category Code" dataDxfId="307"/>
    <tableColumn id="30" xr3:uid="{C5B33307-8B09-47F6-A771-5DCA23474272}" name="Attribution Hierarchy Code" dataDxfId="306"/>
    <tableColumn id="3" xr3:uid="{B095D664-6457-430C-9F0B-0B6E7A90DDD9}" name="Member Months" dataDxfId="305" dataCellStyle="Comma"/>
    <tableColumn id="5" xr3:uid="{E11DEAFF-7685-47B5-BB0B-258E3707C5DB}" name="Claims: Hospital Inpatient" dataDxfId="304" dataCellStyle="Currency"/>
    <tableColumn id="6" xr3:uid="{99360C9C-F2B1-4E73-A217-B7FA39450806}" name="Claims: Hospital Outpatient" dataDxfId="303" dataCellStyle="Currency"/>
    <tableColumn id="7" xr3:uid="{CF538803-D59A-4B0D-B551-E7AEDA9DAAC4}" name="Claims: Professional, Primary Care" dataDxfId="302" dataCellStyle="Currency"/>
    <tableColumn id="8" xr3:uid="{F9A2DC7F-8C7A-4AB2-8E1C-DE07C55FD699}" name="Claims: Professional, Primary Care (for Monitoring Purposes)" dataDxfId="301" dataCellStyle="Currency"/>
    <tableColumn id="9" xr3:uid="{ECEE785C-E845-423F-A944-8C30D2B66D22}" name="Claims: Professional, Specialty" dataDxfId="300" dataCellStyle="Currency"/>
    <tableColumn id="10" xr3:uid="{DEC294C1-3B46-409F-A577-5AA8F4024518}" name="Claims: Professional Other" dataDxfId="299" dataCellStyle="Currency"/>
    <tableColumn id="11" xr3:uid="{6C63CE7C-AA6E-4F89-9F9F-90B2D7728B78}" name="Claims: Pharmacy" dataDxfId="298" dataCellStyle="Currency"/>
    <tableColumn id="12" xr3:uid="{9C3B6955-B4B1-46B4-8774-1AE37A857A73}" name="Claims: Long-Term Care" dataDxfId="297" dataCellStyle="Currency"/>
    <tableColumn id="13" xr3:uid="{7B3AE113-B116-4EF5-8849-CCDF29E3ED36}" name="Claims: Other" dataDxfId="296" dataCellStyle="Currency"/>
    <tableColumn id="14" xr3:uid="{B7FCF59A-7FD9-4DA8-A25E-27423710F954}" name="Non-Claims: Payments to Support Population Health and Practice Infrastructure" dataDxfId="295" dataCellStyle="Currency"/>
    <tableColumn id="15" xr3:uid="{F3F64909-D4C1-45BA-A4B8-E5129916958C}" name="Non-Claims: Performance Payments" dataDxfId="294" dataCellStyle="Currency"/>
    <tableColumn id="16" xr3:uid="{0568E9A0-D376-4CF5-9B17-40BE703DBF06}" name="Non-Claims: Shared Savings and Shared Risk Settlements" dataDxfId="293" dataCellStyle="Currency"/>
    <tableColumn id="17" xr3:uid="{53488B99-B7E5-487D-B251-54ED61D9AC29}" name="Non-Claims: Capitation and Full Risk Payments" dataDxfId="292" dataCellStyle="Currency"/>
    <tableColumn id="27" xr3:uid="{030C8984-DB53-4EDE-905D-F1F142135381}" name="Non-Claims: Other" dataDxfId="291" dataCellStyle="Currency"/>
    <tableColumn id="19" xr3:uid="{D6494722-0567-4BC4-92E3-8570B3CD1670}" name="Non-Claims: Total Primary Care Non-Claims-Based Payments" dataDxfId="290" dataCellStyle="Currency"/>
    <tableColumn id="29" xr3:uid="{123AB225-490A-42B1-8340-8B31C5BBA3D8}" name="Total Claims Excluded because of Truncation" dataDxfId="289" dataCellStyle="Currency"/>
    <tableColumn id="28" xr3:uid="{5BC13736-071F-417A-9447-6C5CD82FEAFB}" name="Count of Members with Claims Truncated" dataDxfId="288" dataCellStyle="Currency"/>
    <tableColumn id="20" xr3:uid="{79AE88F5-3D46-4F0B-A904-196F52455A78}" name="TOTAL Non-Truncated Unadjusted Claims Expenses" dataDxfId="287" dataCellStyle="Currency">
      <calculatedColumnFormula>SUM(E11:G11)+SUM(I11:M11)</calculatedColumnFormula>
    </tableColumn>
    <tableColumn id="32" xr3:uid="{ABED39A6-CD11-450F-BADD-CC6AD759E1A2}" name="TOTAL Truncated Unadjusted Claims Expenses (A21 -A19)" dataDxfId="286" dataCellStyle="Currency">
      <calculatedColumnFormula>AN_TME_BY[[#This Row],[TOTAL Non-Truncated Unadjusted Claims Expenses]]-AN_TME_BY[[#This Row],[Total Claims Excluded because of Truncation]]</calculatedColumnFormula>
    </tableColumn>
    <tableColumn id="21" xr3:uid="{2C844EDD-CBC7-4C45-96B3-BC8CE052A200}" name="TOTAL Non-Claims Expenses" dataDxfId="285" dataCellStyle="Currency">
      <calculatedColumnFormula>SUM(N11:R11)</calculatedColumnFormula>
    </tableColumn>
    <tableColumn id="22" xr3:uid="{0E72EAA8-E194-4FF9-947B-1DD18CA86271}" name="TOTAL Non-Truncated Unadjusted Expenses (A21 + A23)" dataDxfId="284" dataCellStyle="Currency">
      <calculatedColumnFormula>AN_TME_BY[[#This Row],[TOTAL Non-Truncated Unadjusted Claims Expenses]]+AN_TME_BY[[#This Row],[TOTAL Non-Claims Expenses]]</calculatedColumnFormula>
    </tableColumn>
    <tableColumn id="33" xr3:uid="{DDE90CA3-94C5-4A56-BE61-69477C41DCAE}" name="TOTAL Truncated Unadjusted Expenses (A22 + A23)" dataDxfId="283" dataCellStyle="Currency">
      <calculatedColumnFormula>AN_TME_BY[[#This Row],[TOTAL Truncated Unadjusted Claims Expenses (A21 -A19)]]+AN_TME_BY[[#This Row],[TOTAL Non-Claims Expenses]]</calculatedColumnFormula>
    </tableColumn>
    <tableColumn id="26" xr3:uid="{E21E2132-0557-4533-92BE-BF62DBB6B978}" name="Non-Truncated Unadjusted TME (PMPM) (A24 / A1)" dataDxfId="282" dataCellStyle="Comma">
      <calculatedColumnFormula>IFERROR(AN_TME_BY[[#This Row],[TOTAL Non-Truncated Unadjusted Expenses (A21 + A23)]]/AN_TME_BY[[#This Row],[Member Months]],0)</calculatedColumnFormula>
    </tableColumn>
    <tableColumn id="24" xr3:uid="{90C29341-BE6F-4C60-ABBF-EB8586814E4B}" name="Truncated Unadjusted TME (PMPM) (A25 / A1)" dataDxfId="281" dataCellStyle="Currency">
      <calculatedColumnFormula>IFERROR(AN_TME_BY[[#This Row],[TOTAL Truncated Unadjusted Expenses (A22 + A23)]]/AN_TME_BY[[#This Row],[Member Months]],0)</calculatedColumnFormula>
    </tableColumn>
    <tableColumn id="23" xr3:uid="{FC59015A-6F61-4D3D-8FB9-6BE56343B0D3}" name="Average Claims Truncated Per Member" dataDxfId="280" dataCellStyle="Currency">
      <calculatedColumnFormula>IFERROR(AN_TME_BY[[#This Row],[Total Claims Excluded because of Truncation]]/AN_TME_BY[[#This Row],[Count of Members with Claims Truncated]], 0)</calculatedColumnFormula>
    </tableColumn>
    <tableColumn id="25" xr3:uid="{7EBA4EFD-CEA3-4189-A1CF-8FBCA8C3F3EE}" name="Total Claims Excluded (A19)/Total Non-Truncated Claims Expenses (A21)" dataDxfId="279" dataCellStyle="Percent">
      <calculatedColumnFormula>IFERROR(AN_TME_BY[[#This Row],[Total Claims Excluded because of Truncation]]/AN_TME_BY[[#This Row],[TOTAL Non-Truncated Unadjusted Claims Expenses]], 0)</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A8D7644-9C2E-4796-A0DF-27900820D396}" name="AN_TME_PY" displayName="AN_TME_PY" ref="A10:AD200" totalsRowShown="0" headerRowDxfId="278" dataDxfId="276" headerRowBorderDxfId="277" tableBorderDxfId="275" totalsRowBorderDxfId="274" dataCellStyle="Currency">
  <autoFilter ref="A10:AD200" xr:uid="{7EAEA293-1E72-499F-9FE1-477D513A5A8A}"/>
  <tableColumns count="30">
    <tableColumn id="1" xr3:uid="{746309C4-5453-41A4-B306-4068C4E18C51}" name="Advanced Network/Insurance Carrier Org ID" dataDxfId="273"/>
    <tableColumn id="2" xr3:uid="{38B9E8BC-A2EA-4675-817D-F9FE346483AF}" name="Insurance Category Code" dataDxfId="272"/>
    <tableColumn id="30" xr3:uid="{894A27E2-1F7B-4FE6-AACB-4231F1D98C8D}" name="Attribution Hierarchy Code" dataDxfId="271"/>
    <tableColumn id="3" xr3:uid="{E25F0A1D-32FD-4238-BE47-27FC51585A72}" name="Member Months" dataDxfId="270"/>
    <tableColumn id="5" xr3:uid="{D08CE912-8792-4398-8F15-4B78E48CB2E1}" name="Claims: Hospital Inpatient" dataDxfId="269" dataCellStyle="Currency"/>
    <tableColumn id="6" xr3:uid="{2883D8CF-215B-4C49-A0F6-D75EDD0A1837}" name="Claims: Hospital Outpatient" dataDxfId="268" dataCellStyle="Currency"/>
    <tableColumn id="7" xr3:uid="{1C3FA9CE-D42E-4E8A-B351-80F257D4D33F}" name="Claims: Professional, Primary Care" dataDxfId="267" dataCellStyle="Currency"/>
    <tableColumn id="8" xr3:uid="{68DC9874-7458-4E4B-ABDD-1D2E65C3D3B3}" name="Claims: Professional, Primary Care (for Monitoring Purposes)" dataDxfId="266" dataCellStyle="Currency"/>
    <tableColumn id="9" xr3:uid="{A2D79BF7-8F05-414A-A84B-DF7891A44E23}" name="Claims: Professional, Specialty" dataDxfId="265" dataCellStyle="Currency"/>
    <tableColumn id="10" xr3:uid="{853891E0-6CD3-4327-AE08-56B6AD623176}" name="Claims: Professional Other" dataDxfId="264" dataCellStyle="Currency"/>
    <tableColumn id="11" xr3:uid="{C3351AFA-2B27-4C4D-BE56-24FC8021580A}" name="Claims: Pharmacy" dataDxfId="263" dataCellStyle="Currency"/>
    <tableColumn id="12" xr3:uid="{4A40DC8C-A561-478A-87F1-1A5B9BC65EFF}" name="Claims: Long-Term Care" dataDxfId="262" dataCellStyle="Currency"/>
    <tableColumn id="13" xr3:uid="{2051C4D7-AFCB-4106-B206-FA58B05E155F}" name="Claims: Other" dataDxfId="261" dataCellStyle="Currency"/>
    <tableColumn id="14" xr3:uid="{299430F0-17D9-4A51-AC10-EC2DF658BA02}" name="Non-Claims: Payments to Support Population Health and Practice Infrastructure" dataDxfId="260" dataCellStyle="Currency"/>
    <tableColumn id="15" xr3:uid="{293F9A08-9A73-4861-9052-A8849B394C2C}" name="Non-Claims: Performance Payments" dataDxfId="259" dataCellStyle="Currency"/>
    <tableColumn id="16" xr3:uid="{55974D54-62D6-4CFD-BE7B-EA942E0F1C71}" name="Non-Claims: Shared Savings and Shared Risk Settlements" dataDxfId="258" dataCellStyle="Currency"/>
    <tableColumn id="17" xr3:uid="{A405021E-B936-44D0-B093-D53E740420E9}" name="Non-Claims: Capitation and Full Risk Payments" dataDxfId="257" dataCellStyle="Currency"/>
    <tableColumn id="27" xr3:uid="{E21F578D-DF86-4C75-AA96-30ACD9390FEE}" name="Non-Claims: Other" dataDxfId="256" dataCellStyle="Currency"/>
    <tableColumn id="19" xr3:uid="{FC4AFA1B-B03F-4114-9C6E-AD9F78A9A486}" name="Non-Claims: Total Primary Care Non-Claims-Based Payments" dataDxfId="255" dataCellStyle="Currency"/>
    <tableColumn id="29" xr3:uid="{D18F174B-A543-4325-94E3-3F297A4E135A}" name="Total Claims Excluded because of Truncation" dataDxfId="254" dataCellStyle="Currency"/>
    <tableColumn id="28" xr3:uid="{07EE2526-D20F-482A-8C8F-675E4691B1D9}" name="Count of Members with Claims Truncated" dataDxfId="253" dataCellStyle="Currency"/>
    <tableColumn id="20" xr3:uid="{597B5F45-4A56-4377-8B0C-33DB3279E202}" name="TOTAL Non-Truncated Unadjusted Claims Expenses" dataDxfId="252" dataCellStyle="Currency">
      <calculatedColumnFormula>SUM(E11:G11)+SUM(I11:M11)</calculatedColumnFormula>
    </tableColumn>
    <tableColumn id="32" xr3:uid="{F193C5B4-11F7-4045-93D7-AD3C3E8A1BFC}" name="TOTAL Truncated Unadjusted Claims Expenses (A21 -A19)" dataDxfId="251" dataCellStyle="Currency">
      <calculatedColumnFormula>AN_TME_PY[[#This Row],[TOTAL Non-Truncated Unadjusted Claims Expenses]]-AN_TME_PY[[#This Row],[Total Claims Excluded because of Truncation]]</calculatedColumnFormula>
    </tableColumn>
    <tableColumn id="21" xr3:uid="{D0429805-1709-4FAF-BD7C-C4BCDF765819}" name="TOTAL Non-Claims Expenses" dataDxfId="250" dataCellStyle="Currency">
      <calculatedColumnFormula>SUM(N11:R11)</calculatedColumnFormula>
    </tableColumn>
    <tableColumn id="22" xr3:uid="{53996036-A237-401E-9556-CF225D39B16D}" name="TOTAL Non-Truncated Unadjusted Expenses (A21 + A23)" dataDxfId="249" dataCellStyle="Currency">
      <calculatedColumnFormula>AN_TME_PY[[#This Row],[TOTAL Non-Truncated Unadjusted Claims Expenses]]+AN_TME_PY[[#This Row],[TOTAL Non-Claims Expenses]]</calculatedColumnFormula>
    </tableColumn>
    <tableColumn id="33" xr3:uid="{C78906AB-0E20-4424-8CA3-58DAB9E3E0FF}" name="TOTAL Truncated Unadjusted Expenses (A22 + A23)" dataDxfId="248" dataCellStyle="Currency">
      <calculatedColumnFormula>AN_TME_PY[[#This Row],[TOTAL Truncated Unadjusted Claims Expenses (A21 -A19)]]+AN_TME_PY[[#This Row],[TOTAL Non-Claims Expenses]]</calculatedColumnFormula>
    </tableColumn>
    <tableColumn id="26" xr3:uid="{9C2729AA-4231-400E-9F32-5A578F4441F8}" name="Non-Truncated Unadjusted TME (PMPM) (A24 / A1)" dataDxfId="247" dataCellStyle="Comma">
      <calculatedColumnFormula>IFERROR(AN_TME_PY[[#This Row],[TOTAL Non-Truncated Unadjusted Expenses (A21 + A23)]]/AN_TME_PY[[#This Row],[Member Months]],0)</calculatedColumnFormula>
    </tableColumn>
    <tableColumn id="24" xr3:uid="{27D9400A-DB7E-49FB-93DD-C0F2BC8E1011}" name="Truncated Unadjusted TME (PMPM) (A25 / A1)" dataDxfId="246" dataCellStyle="Currency">
      <calculatedColumnFormula>IFERROR(AN_TME_PY[[#This Row],[TOTAL Truncated Unadjusted Expenses (A22 + A23)]]/AN_TME_PY[[#This Row],[Member Months]],0)</calculatedColumnFormula>
    </tableColumn>
    <tableColumn id="23" xr3:uid="{DB84A30A-3922-4866-B8E8-8269950FF637}" name="Average Claims Truncated Per Member" dataDxfId="245" dataCellStyle="Currency">
      <calculatedColumnFormula>IFERROR(AN_TME_PY[[#This Row],[Total Claims Excluded because of Truncation]]/AN_TME_PY[[#This Row],[Count of Members with Claims Truncated]], 0)</calculatedColumnFormula>
    </tableColumn>
    <tableColumn id="25" xr3:uid="{B735543D-AD84-48E5-B00C-E12DEA303550}" name="Total Claims Excluded (A19)/Total Non-Truncated Claims Expenses (A21)" dataDxfId="244" dataCellStyle="Percent">
      <calculatedColumnFormula>IFERROR(AN_TME_PY[[#This Row],[Total Claims Excluded because of Truncation]]/AN_TME_PY[[#This Row],[TOTAL Non-Truncated Unadjusted Claims Expenses]], 0)</calculatedColumnFormula>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0AFCF6-E6F9-4E09-864B-4EC82BFB2BB2}" name="RX_REBATES_BY" displayName="RX_REBATES_BY" ref="A10:D12" totalsRowShown="0" headerRowDxfId="243" dataDxfId="241" headerRowBorderDxfId="242" tableBorderDxfId="240" totalsRowBorderDxfId="239">
  <autoFilter ref="A10:D12" xr:uid="{09306306-9EC2-4D64-899F-4177F3C275C5}"/>
  <tableColumns count="4">
    <tableColumn id="1" xr3:uid="{A4B29D0C-1BEA-47E3-AB6E-2F00CBF5A95A}" name="Insurance Category Code" dataDxfId="238"/>
    <tableColumn id="2" xr3:uid="{A5D33CA4-F288-4730-B8EC-1C13F29D939B}" name="Retail Pharmacy Rebates" dataDxfId="237" dataCellStyle="Currency"/>
    <tableColumn id="4" xr3:uid="{C60C41F3-3ABD-4589-BF70-D75E0C1FA26F}" name="Medical Pharmacy Rebates" dataDxfId="236" dataCellStyle="Currency"/>
    <tableColumn id="3" xr3:uid="{0CD2EFF4-40AB-409A-B29E-F87D0A0BF4CD}" name="Total Pharmacy Rebates" dataDxfId="235" dataCellStyle="Currency"/>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13EC617-31DA-4F8F-A33E-FDEE5DD0A6C2}" name="RX_REBATES_PY" displayName="RX_REBATES_PY" ref="A10:D12" totalsRowShown="0" headerRowDxfId="234" dataDxfId="232" headerRowBorderDxfId="233" tableBorderDxfId="231" totalsRowBorderDxfId="230">
  <autoFilter ref="A10:D12" xr:uid="{09306306-9EC2-4D64-899F-4177F3C275C5}"/>
  <tableColumns count="4">
    <tableColumn id="1" xr3:uid="{CB865EED-2CC8-4DC8-BCF0-A83D15B6CDE3}" name="Insurance Category Code" dataDxfId="229"/>
    <tableColumn id="2" xr3:uid="{EBEDE7EF-74FE-40E5-BA42-2E3E47A751B0}" name="Retail Pharmacy Rebates" dataDxfId="228" dataCellStyle="Currency"/>
    <tableColumn id="4" xr3:uid="{E8D685A4-D7BE-409F-B675-0697B1EBAB0F}" name="Medical Pharmacy Rebates" dataDxfId="227" dataCellStyle="Currency"/>
    <tableColumn id="3" xr3:uid="{CB5C5341-2A87-4B55-903F-D5FCC562E4BB}" name="Total Pharmacy Rebates" dataDxfId="226" dataCellStyle="Currency"/>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4E49CA30-E944-4A43-9A35-E1626426C94E}" name="LOBEnroll" displayName="LOBEnroll" ref="A10:C12" totalsRowShown="0" headerRowDxfId="225" dataDxfId="223" headerRowBorderDxfId="224" tableBorderDxfId="222" totalsRowBorderDxfId="221">
  <autoFilter ref="A10:C12" xr:uid="{4C069C62-AC96-4B6C-A8D5-7D0C27B03B1A}"/>
  <tableColumns count="3">
    <tableColumn id="1" xr3:uid="{5C2445ED-F04D-4C42-B898-CD0A7460BD39}" name="Line of Business Category Code" dataDxfId="220"/>
    <tableColumn id="4" xr3:uid="{0AF52A68-687E-48A1-ADFC-2198CAE4A791}" name="2023 Member Months" dataDxfId="219"/>
    <tableColumn id="3" xr3:uid="{A0EA199B-E0D6-4986-BB86-5D2C4F95432D}" name="2024 Member Months" dataDxfId="218"/>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60C4807-7036-4DA1-9C84-DDE33D5BAA9B}" name="StandardDeviation_BY" displayName="StandardDeviation_BY" ref="A10:E40" totalsRowShown="0" headerRowDxfId="217" dataDxfId="215" headerRowBorderDxfId="216" tableBorderDxfId="214" totalsRowBorderDxfId="213" dataCellStyle="Currency">
  <autoFilter ref="A10:E40" xr:uid="{7EAEA293-1E72-499F-9FE1-477D513A5A8A}"/>
  <tableColumns count="5">
    <tableColumn id="1" xr3:uid="{B9B44052-CDA1-4A05-8063-97C2A8CA6DCF}" name="Advanced Network/Insurance Carrier Org ID" dataDxfId="212"/>
    <tableColumn id="2" xr3:uid="{1FD73615-8A9E-498D-B5F5-3405C2CE348A}" name="Market Code" dataDxfId="211"/>
    <tableColumn id="3" xr3:uid="{3D1973E9-1554-4C14-93DA-6819761D9B33}" name="Member Months " dataDxfId="210"/>
    <tableColumn id="4" xr3:uid="{9C9A472A-ABD9-4D5E-BE8D-C02CD8E358BF}" name="Total Truncated Spending" dataDxfId="209" dataCellStyle="Currency"/>
    <tableColumn id="5" xr3:uid="{D217151D-437F-4355-8FC1-E593909B5DB0}" name="Standard Deviation PMPM" dataDxfId="208" dataCellStyle="Currency"/>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F601C9E-FFA3-4E04-AE5D-46505D4B1F8F}" name="StandardDeviation_PY" displayName="StandardDeviation_PY" ref="A10:E40" totalsRowShown="0" headerRowDxfId="207" dataDxfId="205" headerRowBorderDxfId="206" tableBorderDxfId="204" totalsRowBorderDxfId="203" dataCellStyle="Currency">
  <autoFilter ref="A10:E40" xr:uid="{7EAEA293-1E72-499F-9FE1-477D513A5A8A}"/>
  <tableColumns count="5">
    <tableColumn id="1" xr3:uid="{E6E561F9-D83D-4A80-9941-179864BDD612}" name="Advanced Network/Insurance Carrier Org ID" dataDxfId="202"/>
    <tableColumn id="2" xr3:uid="{7D6D4312-F885-469B-8AE8-E09C2D8B81CC}" name="Market Code" dataDxfId="201"/>
    <tableColumn id="3" xr3:uid="{01FC946F-6545-4090-BC79-0B94FFE20722}" name="Member Months " dataDxfId="200"/>
    <tableColumn id="4" xr3:uid="{A8C849C6-6066-4609-8ED6-700D2B004FC4}" name="Total Truncated Spending" dataDxfId="199" dataCellStyle="Currency"/>
    <tableColumn id="5" xr3:uid="{67B5FAAE-53D0-499C-871A-9ADCA623BC59}" name="Standard Deviation PMPM" dataDxfId="198" dataCellStyle="Currency"/>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DE9A439A-3EBE-41E0-88AC-DA4048FA0757}" name="Age_Sex_BY" displayName="Age_Sex_BY" ref="A10:J500" totalsRowShown="0" headerRowDxfId="197" dataDxfId="195" headerRowBorderDxfId="196" tableBorderDxfId="194" totalsRowBorderDxfId="193" dataCellStyle="Currency">
  <autoFilter ref="A10:J500" xr:uid="{7EAEA293-1E72-499F-9FE1-477D513A5A8A}"/>
  <tableColumns count="10">
    <tableColumn id="1" xr3:uid="{0609247E-05C6-4D91-BC51-3546450884A6}" name="Advanced Network ID" dataDxfId="192"/>
    <tableColumn id="2" xr3:uid="{79E809B6-1AA7-44C9-91CC-AEEF3EF2BD75}" name="Insurance Category Code" dataDxfId="191"/>
    <tableColumn id="3" xr3:uid="{DE58ECB5-BCC7-47FC-8112-A5248E46803C}" name="Age Band Code" dataDxfId="190"/>
    <tableColumn id="4" xr3:uid="{CE25F7BA-0457-4DBE-B79D-322D242DBBBC}" name="Sex Band Code" dataDxfId="189"/>
    <tableColumn id="5" xr3:uid="{0DCCBBA4-9D25-4E85-B049-1F6B233CE9D9}" name="Total Member Months by Age/Sex Band" dataDxfId="188" dataCellStyle="Currency"/>
    <tableColumn id="6" xr3:uid="{DD042DBB-96A1-48DF-B03C-A2613C4F1202}" name="Total Spending before Truncation is Applied" dataDxfId="187" dataCellStyle="Currency"/>
    <tableColumn id="7" xr3:uid="{D7B8316D-B7E2-4456-B147-4124E5050F66}" name="Count of Members whose Spending was Truncated" dataDxfId="186" dataCellStyle="Currency"/>
    <tableColumn id="8" xr3:uid="{2EFCB4BE-CF3B-4C86-9867-49304C312BCB}" name="Total Spending After Applying Truncation at the Member Level" dataDxfId="185" dataCellStyle="Currency"/>
    <tableColumn id="9" xr3:uid="{51EB293B-83E8-40F6-A116-7F6B0805514F}" name="Total Dollars Excluded from Spending After Applying Truncation at the Member Level" dataDxfId="184" dataCellStyle="Currency"/>
    <tableColumn id="10" xr3:uid="{144974E5-9CFC-4455-9868-8A675EB6B5B8}" name="Truncated Spending + Dollars Excluded = Total Spending before Truncation is Applied?" dataDxfId="183" dataCellStyle="Currency">
      <calculatedColumnFormula>Age_Sex_BY[[#This Row],[Total Spending After Applying Truncation at the Member Level]]+Age_Sex_BY[[#This Row],[Total Dollars Excluded from Spending After Applying Truncation at the Member Level]]=Age_Sex_BY[[#This Row],[Total Spending before Truncation is Applied]]</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A027678-7AF3-4DA1-AB01-26E3BB44502F}" name="InsCarrierOrgID" displayName="InsCarrierOrgID" ref="A49:B57" totalsRowShown="0" headerRowDxfId="362" dataDxfId="361">
  <autoFilter ref="A49:B57" xr:uid="{D2341DF6-4E5D-4606-8D68-1C4370E7AF79}"/>
  <tableColumns count="2">
    <tableColumn id="1" xr3:uid="{0DDDB29F-D2EC-4BEA-91CD-5D84C7371D33}" name="Insurance Carrier Organizational ID" dataDxfId="360"/>
    <tableColumn id="2" xr3:uid="{D955FA7D-DB4C-4921-B37D-497B9D2BC4CE}" name="Insurer" dataDxfId="359"/>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B6E799B5-1B67-4903-B2D1-48D0DACD4D41}" name="Age_Sex_PY" displayName="Age_Sex_PY" ref="A10:J500" totalsRowShown="0" headerRowDxfId="182" dataDxfId="180" headerRowBorderDxfId="181" tableBorderDxfId="179" totalsRowBorderDxfId="178" dataCellStyle="Currency">
  <autoFilter ref="A10:J500" xr:uid="{7EAEA293-1E72-499F-9FE1-477D513A5A8A}"/>
  <tableColumns count="10">
    <tableColumn id="1" xr3:uid="{2C54F3B4-A6DC-4C5C-A5FA-6D08DDB7C604}" name="Advanced Network ID" dataDxfId="177"/>
    <tableColumn id="2" xr3:uid="{63680DF5-83F2-43A0-9CEA-01084B15A5CD}" name="Insurance Category Code" dataDxfId="176"/>
    <tableColumn id="3" xr3:uid="{9198B6A1-536A-45B0-8C73-2920727C31A1}" name="Age Band Code" dataDxfId="175"/>
    <tableColumn id="4" xr3:uid="{61E6FEF2-AA5D-4AB5-8988-48B0962490BB}" name="Sex Band Code" dataDxfId="174"/>
    <tableColumn id="5" xr3:uid="{6850DA9A-18E4-4944-BEE1-89BA47EC52EC}" name="Total Member Months by Age/Sex Band" dataDxfId="173" dataCellStyle="Currency"/>
    <tableColumn id="6" xr3:uid="{2F4BDDBE-2108-4E1D-A66F-7F1952623339}" name="Total Spending before Truncation is Applied" dataDxfId="172" dataCellStyle="Currency"/>
    <tableColumn id="7" xr3:uid="{F84E79D5-3452-43AF-BAF5-08A181267C6E}" name="Count of Members whose Spending was Truncated" dataDxfId="171" dataCellStyle="Currency"/>
    <tableColumn id="8" xr3:uid="{A1A28EB6-4A23-4B68-841C-55BFD7D8E992}" name="Total Spending After Applying Truncation at the Member Level" dataDxfId="170" dataCellStyle="Currency"/>
    <tableColumn id="9" xr3:uid="{EA7F62A3-A814-4A36-9011-44005317AEE4}" name="Total Dollars Excluded from Spending After Applying Truncation at the Member Level" dataDxfId="169" dataCellStyle="Currency"/>
    <tableColumn id="10" xr3:uid="{2B4F3618-20E2-41FC-9FBF-E1A22CFB44BD}" name="Truncated Spending + Dollars Excluded = Total Spending before Truncation is Applied?" dataDxfId="168" dataCellStyle="Currency">
      <calculatedColumnFormula>Age_Sex_PY[[#This Row],[Total Spending After Applying Truncation at the Member Level]]+Age_Sex_PY[[#This Row],[Total Dollars Excluded from Spending After Applying Truncation at the Member Level]]=Age_Sex_PY[[#This Row],[Total Spending before Truncation is Applied]]</calculatedColumnFormula>
    </tableColumn>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483B13A-69C4-4344-9AB2-9A449E3FECA6}" name="MMbyMkt16" displayName="MMbyMkt16" ref="B6:E10" totalsRowShown="0" headerRowDxfId="167" headerRowBorderDxfId="166" tableBorderDxfId="165" totalsRowBorderDxfId="164">
  <tableColumns count="4">
    <tableColumn id="1" xr3:uid="{686297AD-1B14-4EA5-ACA4-AA0A76EE46A5}" name="Market"/>
    <tableColumn id="3" xr3:uid="{6C31BBE9-CE78-41B9-84FD-597A1CEA55CB}" name="2023" dataDxfId="163" dataCellStyle="Comma"/>
    <tableColumn id="6" xr3:uid="{F5D4C9C3-254A-4BBC-9C4C-14D107E7498F}" name="2024" dataDxfId="162" dataCellStyle="Comma"/>
    <tableColumn id="8" xr3:uid="{2EA01D55-6A93-4BA0-89C4-95F4919C9541}" name="2023-2024 Trend" dataDxfId="161" dataCellStyle="Percent">
      <calculatedColumnFormula>IFERROR(MMbyMkt16[[#This Row],[2024]]/MMbyMkt16[[#This Row],[2023]]-1,)</calculatedColumnFormula>
    </tableColumn>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C8010ED-6E5B-4139-A6CB-63120AF23FFE}" name="TMEbyMkt17" displayName="TMEbyMkt17" ref="B13:E17" totalsRowShown="0" headerRowDxfId="160" headerRowBorderDxfId="159" tableBorderDxfId="158" totalsRowBorderDxfId="157">
  <tableColumns count="4">
    <tableColumn id="1" xr3:uid="{1D423473-2D6F-404B-AF7A-407FC9DA5A05}" name="Market"/>
    <tableColumn id="3" xr3:uid="{21A17CD5-1F7D-4C8B-8CF5-9A17CA0E5838}" name="2023" dataDxfId="156" dataCellStyle="Currency"/>
    <tableColumn id="5" xr3:uid="{2C349788-3859-4CAC-B5D5-7C99CBF068E7}" name="2024" dataDxfId="155" dataCellStyle="Currency"/>
    <tableColumn id="6" xr3:uid="{33ABF0F9-DA61-4C78-9658-976FD157E33D}" name="2023-2024 Trend" dataDxfId="154" dataCellStyle="Percent">
      <calculatedColumnFormula>IFERROR(TMEbyMkt17[[#This Row],[2024]]/TMEbyMkt17[[#This Row],[2023]]-1,)</calculatedColumnFormula>
    </tableColumn>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6C15489-6248-4893-9169-0061677456F3}" name="ComTotTME24" displayName="ComTotTME24" ref="B28:E53" totalsRowShown="0" headerRowDxfId="153" dataDxfId="151" headerRowBorderDxfId="152" tableBorderDxfId="150" totalsRowBorderDxfId="149">
  <tableColumns count="4">
    <tableColumn id="1" xr3:uid="{CF4403AE-9E55-4312-8324-AFA63B0B35D6}" name="Service Category" dataDxfId="148"/>
    <tableColumn id="3" xr3:uid="{EC064196-B646-4D2D-A579-A36AAE5AB45D}" name="2023" dataDxfId="147" dataCellStyle="Currency"/>
    <tableColumn id="6" xr3:uid="{2376BEDE-F2B9-49DA-A554-E50EC52E4CB8}" name="2024" dataDxfId="146" dataCellStyle="Currency"/>
    <tableColumn id="4" xr3:uid="{6C081733-63C8-45B9-B905-7F526E0FDA98}" name="2023-2024 Trend" dataDxfId="145" dataCellStyle="Percent">
      <calculatedColumnFormula>IFERROR(ComTotTME24[[#This Row],[2024]]/ComTotTME24[[#This Row],[2023]]-1,)</calculatedColumnFormula>
    </tableColumn>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1D0FD5AF-5EFD-4E56-BDA3-611ED0451580}" name="ICC3TME39" displayName="ICC3TME39" ref="G28:J53" totalsRowShown="0" headerRowDxfId="144" headerRowBorderDxfId="143" tableBorderDxfId="142" totalsRowBorderDxfId="141">
  <tableColumns count="4">
    <tableColumn id="1" xr3:uid="{EABFF5DF-EC63-46E1-9727-9330C65DB410}" name="Service Category" dataDxfId="140"/>
    <tableColumn id="3" xr3:uid="{31340919-184D-4EA4-B206-B783C4FE2D70}" name="2023" dataDxfId="139" dataCellStyle="Currency"/>
    <tableColumn id="6" xr3:uid="{B5C46DC8-14FD-4AD1-8D3C-23BC7CD08866}" name="2024" dataDxfId="138" dataCellStyle="Currency"/>
    <tableColumn id="4" xr3:uid="{5A2B9057-B60E-46AD-BF8F-B012CCF3EA8C}" name="2023-2024 Trend" dataDxfId="137" dataCellStyle="Percent">
      <calculatedColumnFormula>IFERROR(ICC3TME39[[#This Row],[2024]]/ICC3TME39[[#This Row],[2023]]-1,)</calculatedColumnFormula>
    </tableColumn>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AB8BFC89-E73C-4635-B314-979FCF9F610C}" name="ICC4TME40" displayName="ICC4TME40" ref="L28:O53" totalsRowShown="0" headerRowDxfId="136" dataDxfId="134" headerRowBorderDxfId="135" tableBorderDxfId="133" totalsRowBorderDxfId="132">
  <tableColumns count="4">
    <tableColumn id="1" xr3:uid="{1D7CD847-00B1-4F93-99BC-48FC5C215B5C}" name="Service Category" dataDxfId="131"/>
    <tableColumn id="3" xr3:uid="{E42B6C35-F951-405F-8B2E-680E0C248859}" name="2023" dataDxfId="130" dataCellStyle="Currency"/>
    <tableColumn id="6" xr3:uid="{87AF262F-9F80-4B0C-A0E6-C260CCD3E6BD}" name="2024" dataDxfId="129" dataCellStyle="Currency"/>
    <tableColumn id="4" xr3:uid="{8B814145-E2E6-4B06-9240-631C99C454B5}" name="2023-2024 Trend" dataDxfId="128" dataCellStyle="Percent">
      <calculatedColumnFormula>IFERROR(ICC4TME40[[#This Row],[2024]]/ICC4TME40[[#This Row],[2023]]-1,)</calculatedColumnFormula>
    </tableColumn>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BAA6C27D-FEBB-4399-9CA4-CCBF55B14971}" name="TMEPMPMbyMkt41" displayName="TMEPMPMbyMkt41" ref="G13:J17" totalsRowShown="0" headerRowDxfId="127" headerRowBorderDxfId="126" tableBorderDxfId="125" totalsRowBorderDxfId="124">
  <tableColumns count="4">
    <tableColumn id="1" xr3:uid="{9B43F3DF-BD55-4AB8-9660-EA01DDDA8FF7}" name="Market" dataDxfId="123"/>
    <tableColumn id="3" xr3:uid="{5DA0B0E9-31CD-42D0-9B52-C8E8C7B16C73}" name="2023" dataDxfId="122" dataCellStyle="Currency">
      <calculatedColumnFormula>IFERROR(TMEbyMkt17[[#This Row],[2023]]/C7,)</calculatedColumnFormula>
    </tableColumn>
    <tableColumn id="5" xr3:uid="{4AB7EAFE-0351-4F75-B93A-DD7AD90375C2}" name="2024" dataDxfId="121" dataCellStyle="Currency">
      <calculatedColumnFormula>IFERROR(TMEbyMkt17[[#This Row],[2024]]/D7,)</calculatedColumnFormula>
    </tableColumn>
    <tableColumn id="6" xr3:uid="{4B2055D4-B6EF-441C-AF31-4FD3DE3E2C37}" name="2023-2024 Trend" dataDxfId="120" dataCellStyle="Percent">
      <calculatedColumnFormula>IFERROR(TMEPMPMbyMkt41[[#This Row],[2024]]/TMEPMPMbyMkt41[[#This Row],[2023]]-1,)</calculatedColumnFormula>
    </tableColumn>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D428FCFD-A527-40C0-BCAC-3CCD8BC5BF26}" name="RATMEbyMkt" displayName="RATMEbyMkt" ref="B20:E24" totalsRowShown="0" headerRowDxfId="119" headerRowBorderDxfId="118" tableBorderDxfId="117" totalsRowBorderDxfId="116">
  <tableColumns count="4">
    <tableColumn id="1" xr3:uid="{4EA2CB5A-BDC0-401E-99D6-672F08D806A9}" name="Market"/>
    <tableColumn id="3" xr3:uid="{4240E883-200B-4682-BA2F-068C6153D738}" name="2023" dataDxfId="115" dataCellStyle="Currency"/>
    <tableColumn id="5" xr3:uid="{3FA6CB2B-7D7A-405D-A7F0-3FE7CE22791C}" name="2024" dataDxfId="114" dataCellStyle="Currency"/>
    <tableColumn id="6" xr3:uid="{CB3700A3-DF02-488F-AF46-2FA61AD7C3B3}" name="2023-2024 Trend" dataDxfId="113" dataCellStyle="Percent">
      <calculatedColumnFormula>IFERROR(RATMEbyMkt[[#This Row],[2024]]/RATMEbyMkt[[#This Row],[2023]]-1,)</calculatedColumnFormula>
    </tableColumn>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9F5A8C4B-DB4D-4549-8CE9-E91312AF8FA1}" name="RATMEPMPMbyMkt" displayName="RATMEPMPMbyMkt" ref="G20:J24" totalsRowShown="0" headerRowDxfId="112" headerRowBorderDxfId="111" tableBorderDxfId="110" totalsRowBorderDxfId="109">
  <tableColumns count="4">
    <tableColumn id="1" xr3:uid="{85D31A14-DA43-452C-9BF4-BA3EC15B7A00}" name="Market" dataDxfId="108"/>
    <tableColumn id="3" xr3:uid="{6C222160-C340-453C-BC32-4CE6976BD37C}" name="2023" dataDxfId="107" dataCellStyle="Currency">
      <calculatedColumnFormula>IFERROR(RATMEbyMkt[[#This Row],[2023]]/C7,)</calculatedColumnFormula>
    </tableColumn>
    <tableColumn id="5" xr3:uid="{E6B465A7-87A0-4411-BE5B-342DE3C3C897}" name="2024" dataDxfId="106" dataCellStyle="Currency">
      <calculatedColumnFormula>IFERROR(RATMEbyMkt[[#This Row],[2024]]/D7,)</calculatedColumnFormula>
    </tableColumn>
    <tableColumn id="6" xr3:uid="{E5DFA4A9-0499-4667-9A78-CE8A60237A0A}" name="2023-2024 Trend" dataDxfId="105" dataCellStyle="Percent">
      <calculatedColumnFormula>IFERROR(RATMEPMPMbyMkt[[#This Row],[2024]]/RATMEPMPMbyMkt[[#This Row],[2023]]-1,)</calculatedColumnFormula>
    </tableColumn>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589812-4C0A-4769-9FAC-1F773C548E00}" name="ExpectedICC" displayName="ExpectedICC" ref="A4:H12" totalsRowShown="0" headerRowDxfId="104" dataDxfId="102" headerRowBorderDxfId="103" tableBorderDxfId="101" totalsRowBorderDxfId="100">
  <autoFilter ref="A4:H12" xr:uid="{DF7F4EC6-2F97-4225-B3D3-1F8A33792275}"/>
  <tableColumns count="8">
    <tableColumn id="1" xr3:uid="{80E2D06D-4166-46FD-A9D8-1812314A6C5B}" name="Insurer" dataDxfId="99"/>
    <tableColumn id="2" xr3:uid="{2C956982-5F96-4066-A8EC-8092BC8A1C9F}" name="Medicare Managed Care" dataDxfId="98"/>
    <tableColumn id="3" xr3:uid="{752FEFAD-B37E-47B2-B965-FD6A777747D8}" name="Medicaid Managed Care" dataDxfId="97"/>
    <tableColumn id="4" xr3:uid="{0C6A36A8-1AF3-4B7C-A0B1-3B5D7593CE0C}" name="Commercial Full Claims" dataDxfId="96"/>
    <tableColumn id="5" xr3:uid="{FD65149A-7977-49A7-8766-2446E9811647}" name="Commercial Partial Claims" dataDxfId="95"/>
    <tableColumn id="6" xr3:uid="{C5C454F2-D4D3-4DBD-B73C-0AC67494FACD}" name="Medicare Exp. Duals" dataDxfId="94"/>
    <tableColumn id="7" xr3:uid="{B2AC31DA-1CD3-4948-B690-489B8C7D05AB}" name="Medicaid Exp. Duals" dataDxfId="93"/>
    <tableColumn id="8" xr3:uid="{BA985DD9-650F-4DB7-9484-40A6D64064F5}" name="Other" dataDxfId="9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3C10FD5-7887-4ADB-9632-00EA490730BF}" name="InsuranceCatCode" displayName="InsuranceCatCode" ref="A59:B66" totalsRowShown="0" headerRowDxfId="358" dataDxfId="357">
  <autoFilter ref="A59:B66" xr:uid="{A619587B-D6D0-48B0-9B4C-4C41F33EFB5A}"/>
  <tableColumns count="2">
    <tableColumn id="1" xr3:uid="{C275CB2E-9EC4-478D-BC26-D0007BA014BC}" name="Insurance Category Code" dataDxfId="356"/>
    <tableColumn id="2" xr3:uid="{A60DAD8F-9F4C-43F0-8B55-8BB2646C3B68}" name="Definition" dataDxfId="355"/>
  </tableColumns>
  <tableStyleInfo name="TableStyleLight9"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6448F20-9666-4074-911F-2DEBDFF7472F}" name="PublicData21" displayName="PublicData21" ref="A15:B21" totalsRowShown="0" headerRowDxfId="91" dataDxfId="89" headerRowBorderDxfId="90" tableBorderDxfId="88" totalsRowBorderDxfId="87">
  <autoFilter ref="A15:B21" xr:uid="{AC7ED5CE-95F6-4001-9A0C-741AE00B309D}"/>
  <tableColumns count="2">
    <tableColumn id="1" xr3:uid="{6945F25C-D2C6-4DE2-BF99-636490C9593A}" name="2023" dataDxfId="86"/>
    <tableColumn id="2" xr3:uid="{4237B78B-FEA0-44DC-A2BC-630FDAB640B4}" name="Medicare Managed Care Enrollment by State/County/Contract _x000a_X 12" dataDxfId="85"/>
  </tableColumns>
  <tableStyleInfo name="TableStyleLight9"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6092AFF-A07A-4D81-9565-BD7FB65D04B7}" name="PublicData22" displayName="PublicData22" ref="D15:E21" totalsRowShown="0" headerRowDxfId="84" dataDxfId="82" headerRowBorderDxfId="83" tableBorderDxfId="81" totalsRowBorderDxfId="80">
  <autoFilter ref="D15:E21" xr:uid="{86092AFF-A07A-4D81-9565-BD7FB65D04B7}"/>
  <tableColumns count="2">
    <tableColumn id="1" xr3:uid="{4034C040-411C-4B04-9CF4-6850A28D73DE}" name="2024" dataDxfId="79"/>
    <tableColumn id="2" xr3:uid="{02CF7FE7-1407-44F2-B706-883167093B8C}" name="Medicare Managed Care Enrollment by State/County/Contract _x000a_X 12" dataDxfId="78"/>
  </tableColumns>
  <tableStyleInfo name="TableStyleLight9"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6E36370-4D9E-46F7-97A2-B5023522320A}" name="MandatoryQ" displayName="MandatoryQ" ref="A24:B51" totalsRowShown="0" headerRowDxfId="77" headerRowBorderDxfId="76" tableBorderDxfId="75" totalsRowBorderDxfId="74">
  <autoFilter ref="A24:B51" xr:uid="{86E36370-4D9E-46F7-97A2-B5023522320A}"/>
  <tableColumns count="2">
    <tableColumn id="1" xr3:uid="{5F58B6F7-DE37-4622-8949-717C9C40D219}" name="Question" dataDxfId="73"/>
    <tableColumn id="2" xr3:uid="{D7A31E34-21A4-4219-BFA7-12FC0A9ADCB6}" name="Expected Answer" dataDxfId="72"/>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4CD8CD6-DBC5-4246-9E8A-F02FE7DD7FE9}" name="MarketEnrollCatCode" displayName="MarketEnrollCatCode" ref="A68:B76" totalsRowShown="0" headerRowDxfId="354" dataDxfId="353">
  <autoFilter ref="A68:B76" xr:uid="{A58078EE-5396-4975-9937-441FFAA73145}"/>
  <tableColumns count="2">
    <tableColumn id="1" xr3:uid="{9AA78217-19DA-4578-937F-6DDCE92627B2}" name="Line of Business Category Code" dataDxfId="352"/>
    <tableColumn id="2" xr3:uid="{8D3E2BD4-BDCF-4A8A-9CD1-3C4C06C54549}" name="Definition" dataDxfId="351"/>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D0790DD9-C468-4A2D-B65F-5C376A722415}" name="Table32" displayName="Table32" ref="A78:B81" totalsRowShown="0" tableBorderDxfId="350">
  <autoFilter ref="A78:B81" xr:uid="{D0790DD9-C468-4A2D-B65F-5C376A722415}"/>
  <tableColumns count="2">
    <tableColumn id="1" xr3:uid="{2FF7BA96-1D08-4AC0-965B-87A20F4E2969}" name="Market Code" dataDxfId="349"/>
    <tableColumn id="2" xr3:uid="{6359DFFE-55E7-4C22-BFFC-EB12F9ED7BDB}" name="Definition" dataDxfId="348"/>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8AAF70D7-E16F-4710-BA35-B19A105802A1}" name="Table3234" displayName="Table3234" ref="A83:B91" totalsRowShown="0" tableBorderDxfId="347">
  <autoFilter ref="A83:B91" xr:uid="{8AAF70D7-E16F-4710-BA35-B19A105802A1}"/>
  <tableColumns count="2">
    <tableColumn id="1" xr3:uid="{E46267EE-0193-44C6-B726-0A09471283ED}" name="Age Band Code" dataDxfId="346"/>
    <tableColumn id="2" xr3:uid="{C8D861E8-9B39-4B66-8CBF-141406E35099}" name="Definition" dataDxfId="345"/>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42C64262-05B1-4C82-B91F-45C2BC4A2ED7}" name="Table34" displayName="Table34" ref="A93:B95" totalsRowShown="0" dataDxfId="344" tableBorderDxfId="343">
  <autoFilter ref="A93:B95" xr:uid="{42C64262-05B1-4C82-B91F-45C2BC4A2ED7}"/>
  <tableColumns count="2">
    <tableColumn id="1" xr3:uid="{1797770F-99FD-4866-8C8C-AC80D28433BD}" name="Sex Code" dataDxfId="342"/>
    <tableColumn id="2" xr3:uid="{DFB77ACF-F0CB-4F6F-BD87-5CD2A8DFE291}" name="Definition" dataDxfId="341"/>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9082B8E-D5F8-4E6B-9C3C-A908BE8AE6B0}" name="LgProvEntOrgIDs" displayName="LgProvEntOrgIDs" ref="A11:B47" totalsRowShown="0" headerRowDxfId="340">
  <autoFilter ref="A11:B47" xr:uid="{29082B8E-D5F8-4E6B-9C3C-A908BE8AE6B0}"/>
  <tableColumns count="2">
    <tableColumn id="1" xr3:uid="{4670141F-7B4D-400C-B0FA-EB51A914974D}" name="Advanced Network/Insurer Carrier Org ID" dataDxfId="339"/>
    <tableColumn id="2" xr3:uid="{26568030-E5B7-4339-834C-5F4A62E33DC2}" name="Advanced Network/Insurance Carrier Overall" dataDxfId="338"/>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C786E4E-BD05-433F-8815-A726824D9F18}" name="HierarchyCodes" displayName="HierarchyCodes" ref="A97:B102" totalsRowShown="0" headerRowDxfId="337" dataDxfId="336">
  <autoFilter ref="A97:B102" xr:uid="{5C786E4E-BD05-433F-8815-A726824D9F18}"/>
  <tableColumns count="2">
    <tableColumn id="1" xr3:uid="{A77ECC3E-1E08-43BD-AF61-706B66F64CD1}" name="Attribution Hierarchy Code" dataDxfId="335"/>
    <tableColumn id="2" xr3:uid="{B67333A6-C7A8-4004-A08F-AACF00BF296D}" name="Definition" dataDxfId="334"/>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8" Type="http://schemas.openxmlformats.org/officeDocument/2006/relationships/table" Target="../tables/table27.xml"/><Relationship Id="rId3" Type="http://schemas.openxmlformats.org/officeDocument/2006/relationships/table" Target="../tables/table22.xml"/><Relationship Id="rId7" Type="http://schemas.openxmlformats.org/officeDocument/2006/relationships/table" Target="../tables/table26.xml"/><Relationship Id="rId2" Type="http://schemas.openxmlformats.org/officeDocument/2006/relationships/table" Target="../tables/table21.xml"/><Relationship Id="rId1" Type="http://schemas.openxmlformats.org/officeDocument/2006/relationships/printerSettings" Target="../printerSettings/printerSettings12.bin"/><Relationship Id="rId6" Type="http://schemas.openxmlformats.org/officeDocument/2006/relationships/table" Target="../tables/table25.xml"/><Relationship Id="rId5" Type="http://schemas.openxmlformats.org/officeDocument/2006/relationships/table" Target="../tables/table24.xml"/><Relationship Id="rId4" Type="http://schemas.openxmlformats.org/officeDocument/2006/relationships/table" Target="../tables/table23.xml"/><Relationship Id="rId9" Type="http://schemas.openxmlformats.org/officeDocument/2006/relationships/table" Target="../tables/table28.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table" Target="../tables/table30.xml"/><Relationship Id="rId1" Type="http://schemas.openxmlformats.org/officeDocument/2006/relationships/table" Target="../tables/table29.xml"/><Relationship Id="rId4" Type="http://schemas.openxmlformats.org/officeDocument/2006/relationships/table" Target="../tables/table32.xml"/></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97E7-E538-414B-AB63-691B20B7DF09}">
  <sheetPr>
    <tabColor theme="0" tint="-0.249977111117893"/>
  </sheetPr>
  <dimension ref="B2:D16"/>
  <sheetViews>
    <sheetView tabSelected="1" zoomScaleNormal="100" workbookViewId="0"/>
  </sheetViews>
  <sheetFormatPr defaultRowHeight="15" x14ac:dyDescent="0.25"/>
  <cols>
    <col min="1" max="1" width="3.85546875" customWidth="1"/>
    <col min="2" max="2" width="44.140625" bestFit="1" customWidth="1"/>
    <col min="3" max="3" width="20.7109375" bestFit="1" customWidth="1"/>
    <col min="4" max="4" width="83.5703125" customWidth="1"/>
  </cols>
  <sheetData>
    <row r="2" spans="2:4" x14ac:dyDescent="0.25">
      <c r="B2" s="1" t="s">
        <v>0</v>
      </c>
      <c r="C2" s="1"/>
    </row>
    <row r="4" spans="2:4" x14ac:dyDescent="0.25">
      <c r="B4" s="76" t="s">
        <v>1</v>
      </c>
      <c r="C4" s="76" t="s">
        <v>2</v>
      </c>
      <c r="D4" s="76" t="s">
        <v>3</v>
      </c>
    </row>
    <row r="5" spans="2:4" ht="75" x14ac:dyDescent="0.25">
      <c r="B5" s="79" t="s">
        <v>4</v>
      </c>
      <c r="C5" s="80" t="s">
        <v>5</v>
      </c>
      <c r="D5" s="10" t="s">
        <v>6</v>
      </c>
    </row>
    <row r="6" spans="2:4" ht="90" x14ac:dyDescent="0.25">
      <c r="B6" s="79" t="s">
        <v>7</v>
      </c>
      <c r="C6" s="80" t="s">
        <v>5</v>
      </c>
      <c r="D6" s="10" t="s">
        <v>8</v>
      </c>
    </row>
    <row r="7" spans="2:4" ht="45" x14ac:dyDescent="0.25">
      <c r="B7" s="79" t="s">
        <v>9</v>
      </c>
      <c r="C7" s="80" t="s">
        <v>10</v>
      </c>
      <c r="D7" s="10" t="s">
        <v>11</v>
      </c>
    </row>
    <row r="8" spans="2:4" ht="45" x14ac:dyDescent="0.25">
      <c r="B8" s="79" t="s">
        <v>12</v>
      </c>
      <c r="C8" s="80" t="s">
        <v>10</v>
      </c>
      <c r="D8" s="10" t="s">
        <v>13</v>
      </c>
    </row>
    <row r="9" spans="2:4" ht="30" x14ac:dyDescent="0.25">
      <c r="B9" s="79" t="s">
        <v>14</v>
      </c>
      <c r="C9" s="80" t="s">
        <v>10</v>
      </c>
      <c r="D9" s="10" t="s">
        <v>15</v>
      </c>
    </row>
    <row r="10" spans="2:4" ht="60" x14ac:dyDescent="0.25">
      <c r="B10" s="79" t="s">
        <v>16</v>
      </c>
      <c r="C10" s="80" t="s">
        <v>10</v>
      </c>
      <c r="D10" s="10" t="s">
        <v>17</v>
      </c>
    </row>
    <row r="11" spans="2:4" ht="45" x14ac:dyDescent="0.25">
      <c r="B11" s="79" t="s">
        <v>18</v>
      </c>
      <c r="C11" s="80" t="s">
        <v>10</v>
      </c>
      <c r="D11" s="10" t="s">
        <v>19</v>
      </c>
    </row>
    <row r="12" spans="2:4" ht="30" x14ac:dyDescent="0.25">
      <c r="B12" s="79" t="s">
        <v>20</v>
      </c>
      <c r="C12" s="80" t="s">
        <v>10</v>
      </c>
      <c r="D12" s="10" t="s">
        <v>21</v>
      </c>
    </row>
    <row r="13" spans="2:4" ht="30" x14ac:dyDescent="0.25">
      <c r="B13" s="116" t="s">
        <v>22</v>
      </c>
      <c r="C13" s="80" t="s">
        <v>10</v>
      </c>
      <c r="D13" s="10" t="s">
        <v>23</v>
      </c>
    </row>
    <row r="14" spans="2:4" ht="90" x14ac:dyDescent="0.25">
      <c r="B14" s="116" t="s">
        <v>24</v>
      </c>
      <c r="C14" s="80" t="s">
        <v>5</v>
      </c>
      <c r="D14" s="10" t="s">
        <v>25</v>
      </c>
    </row>
    <row r="15" spans="2:4" ht="90" x14ac:dyDescent="0.25">
      <c r="B15" s="116" t="s">
        <v>26</v>
      </c>
      <c r="C15" s="80" t="s">
        <v>5</v>
      </c>
      <c r="D15" s="10" t="s">
        <v>27</v>
      </c>
    </row>
    <row r="16" spans="2:4" ht="105" x14ac:dyDescent="0.25">
      <c r="B16" s="230" t="s">
        <v>28</v>
      </c>
      <c r="C16" s="231" t="s">
        <v>5</v>
      </c>
      <c r="D16" s="232" t="s">
        <v>29</v>
      </c>
    </row>
  </sheetData>
  <sheetProtection algorithmName="SHA-512" hashValue="X6eKDpeqYGzu/9RKmgo7r/7e1+6bOx8t4ERWnisT9fvgVa6Afo0Zon8IGpzeaS01JI+afGQD8/6uILBLCXJiTw==" saltValue="wan5OZDkZ6TNGcXQ44mJKg=="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7FA1A-79C9-4AC2-8499-97A984D72305}">
  <sheetPr>
    <tabColor theme="8"/>
  </sheetPr>
  <dimension ref="A1:G12"/>
  <sheetViews>
    <sheetView zoomScaleNormal="100" workbookViewId="0"/>
  </sheetViews>
  <sheetFormatPr defaultColWidth="9.140625" defaultRowHeight="15" x14ac:dyDescent="0.25"/>
  <cols>
    <col min="1" max="1" width="33.140625" customWidth="1"/>
    <col min="2" max="4" width="20.5703125" customWidth="1"/>
  </cols>
  <sheetData>
    <row r="1" spans="1:7" x14ac:dyDescent="0.25">
      <c r="A1" s="1" t="s">
        <v>191</v>
      </c>
    </row>
    <row r="2" spans="1:7" x14ac:dyDescent="0.25">
      <c r="A2" s="1" t="s">
        <v>258</v>
      </c>
    </row>
    <row r="4" spans="1:7" x14ac:dyDescent="0.25">
      <c r="A4" t="s">
        <v>193</v>
      </c>
      <c r="D4" s="89"/>
      <c r="E4" s="89"/>
      <c r="F4" s="89"/>
      <c r="G4" s="89"/>
    </row>
    <row r="5" spans="1:7" ht="15" customHeight="1" x14ac:dyDescent="0.25">
      <c r="D5" s="89"/>
      <c r="E5" s="89"/>
      <c r="F5" s="89"/>
      <c r="G5" s="89"/>
    </row>
    <row r="6" spans="1:7" x14ac:dyDescent="0.25">
      <c r="A6" s="329" t="s">
        <v>259</v>
      </c>
      <c r="B6" s="329"/>
      <c r="C6" s="329"/>
      <c r="D6" s="89"/>
      <c r="E6" s="89"/>
      <c r="F6" s="89"/>
      <c r="G6" s="89"/>
    </row>
    <row r="7" spans="1:7" x14ac:dyDescent="0.25">
      <c r="A7" s="329"/>
      <c r="B7" s="329"/>
      <c r="C7" s="329"/>
      <c r="D7" s="89"/>
      <c r="E7" s="89"/>
      <c r="F7" s="89"/>
      <c r="G7" s="89"/>
    </row>
    <row r="8" spans="1:7" x14ac:dyDescent="0.25">
      <c r="D8" s="89"/>
      <c r="E8" s="89"/>
      <c r="F8" s="89"/>
      <c r="G8" s="89"/>
    </row>
    <row r="9" spans="1:7" x14ac:dyDescent="0.25">
      <c r="B9" s="4" t="s">
        <v>214</v>
      </c>
      <c r="C9" s="4" t="s">
        <v>215</v>
      </c>
      <c r="D9" s="88"/>
    </row>
    <row r="10" spans="1:7" s="88" customFormat="1" ht="30" x14ac:dyDescent="0.25">
      <c r="A10" s="86" t="s">
        <v>93</v>
      </c>
      <c r="B10" s="121" t="s">
        <v>260</v>
      </c>
      <c r="C10" s="117" t="s">
        <v>261</v>
      </c>
    </row>
    <row r="11" spans="1:7" x14ac:dyDescent="0.25">
      <c r="A11" s="101">
        <v>907</v>
      </c>
      <c r="B11" s="119"/>
      <c r="C11" s="119"/>
    </row>
    <row r="12" spans="1:7" x14ac:dyDescent="0.25">
      <c r="A12" s="101">
        <v>908</v>
      </c>
      <c r="B12" s="120"/>
      <c r="C12" s="120"/>
    </row>
  </sheetData>
  <sheetProtection algorithmName="SHA-512" hashValue="F2EF2In+aDGG/c5hc4fu++6EmSTN52qrxHU94LPkoCbIbfGE8zH+SNIgLqi/6A2OXPQ0AX5SQD51NKByju+0mw==" saltValue="cODGd3o29OCRTAHi+Rbm6A==" spinCount="100000" sheet="1" objects="1" scenarios="1"/>
  <protectedRanges>
    <protectedRange sqref="A11:C12" name="Range1"/>
  </protectedRanges>
  <mergeCells count="1">
    <mergeCell ref="A6:C7"/>
  </mergeCells>
  <phoneticPr fontId="19" type="noConversion"/>
  <dataValidations count="2">
    <dataValidation type="whole" allowBlank="1" showInputMessage="1" showErrorMessage="1" error="907 = Medicaid/CHIP managed care_x000a_908 = Medicare/Medicaid duals" prompt="907 = Medicaid/CHIP managed care_x000a_908 = Medicare/Medicaid duals" sqref="A11:A12" xr:uid="{3A8AFB8B-DD2D-4332-A5D3-70640FF71486}">
      <formula1>907</formula1>
      <formula2>908</formula2>
    </dataValidation>
    <dataValidation allowBlank="1" showInputMessage="1" showErrorMessage="1" error="See Definitions tab." prompt="See Definitions tab." sqref="B11:C12" xr:uid="{C5C70E77-3646-40F7-BDF2-CD5EDAA519A0}"/>
  </dataValidation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3B168-1FC5-4888-8005-A00DB8B31ABC}">
  <sheetPr>
    <tabColor theme="4"/>
  </sheetPr>
  <dimension ref="A1:E40"/>
  <sheetViews>
    <sheetView zoomScaleNormal="100" workbookViewId="0"/>
  </sheetViews>
  <sheetFormatPr defaultColWidth="9.140625" defaultRowHeight="15" x14ac:dyDescent="0.25"/>
  <cols>
    <col min="1" max="1" width="25.7109375" customWidth="1"/>
    <col min="2" max="2" width="25.28515625" bestFit="1" customWidth="1"/>
    <col min="3" max="5" width="31.140625" customWidth="1"/>
    <col min="6" max="6" width="12.28515625" bestFit="1" customWidth="1"/>
  </cols>
  <sheetData>
    <row r="1" spans="1:5" x14ac:dyDescent="0.25">
      <c r="A1" s="1" t="s">
        <v>191</v>
      </c>
    </row>
    <row r="2" spans="1:5" x14ac:dyDescent="0.25">
      <c r="A2" s="1" t="s">
        <v>262</v>
      </c>
    </row>
    <row r="4" spans="1:5" x14ac:dyDescent="0.25">
      <c r="A4" t="s">
        <v>193</v>
      </c>
      <c r="C4" s="321" t="s">
        <v>194</v>
      </c>
      <c r="D4" s="321"/>
    </row>
    <row r="5" spans="1:5" x14ac:dyDescent="0.25">
      <c r="A5" s="82" t="s">
        <v>213</v>
      </c>
      <c r="C5" s="321"/>
      <c r="D5" s="321"/>
    </row>
    <row r="9" spans="1:5" x14ac:dyDescent="0.25">
      <c r="C9" s="4" t="s">
        <v>214</v>
      </c>
      <c r="D9" s="4" t="s">
        <v>215</v>
      </c>
      <c r="E9" s="4" t="s">
        <v>216</v>
      </c>
    </row>
    <row r="10" spans="1:5" ht="45" x14ac:dyDescent="0.25">
      <c r="A10" s="84" t="s">
        <v>241</v>
      </c>
      <c r="B10" s="85" t="s">
        <v>102</v>
      </c>
      <c r="C10" s="85" t="s">
        <v>263</v>
      </c>
      <c r="D10" s="85" t="s">
        <v>174</v>
      </c>
      <c r="E10" s="85" t="s">
        <v>264</v>
      </c>
    </row>
    <row r="11" spans="1:5" x14ac:dyDescent="0.25">
      <c r="A11" s="101"/>
      <c r="B11" s="104"/>
      <c r="C11" s="105"/>
      <c r="D11" s="107"/>
      <c r="E11" s="107"/>
    </row>
    <row r="12" spans="1:5" x14ac:dyDescent="0.25">
      <c r="A12" s="101"/>
      <c r="B12" s="104"/>
      <c r="C12" s="105"/>
      <c r="D12" s="107"/>
      <c r="E12" s="107"/>
    </row>
    <row r="13" spans="1:5" x14ac:dyDescent="0.25">
      <c r="A13" s="101"/>
      <c r="B13" s="104"/>
      <c r="C13" s="105"/>
      <c r="D13" s="107"/>
      <c r="E13" s="107"/>
    </row>
    <row r="14" spans="1:5" x14ac:dyDescent="0.25">
      <c r="A14" s="101"/>
      <c r="B14" s="104"/>
      <c r="C14" s="105"/>
      <c r="D14" s="107"/>
      <c r="E14" s="107"/>
    </row>
    <row r="15" spans="1:5" x14ac:dyDescent="0.25">
      <c r="A15" s="101"/>
      <c r="B15" s="104"/>
      <c r="C15" s="105"/>
      <c r="D15" s="107"/>
      <c r="E15" s="107"/>
    </row>
    <row r="16" spans="1:5" x14ac:dyDescent="0.25">
      <c r="A16" s="101"/>
      <c r="B16" s="104"/>
      <c r="C16" s="105"/>
      <c r="D16" s="107"/>
      <c r="E16" s="107"/>
    </row>
    <row r="17" spans="1:5" x14ac:dyDescent="0.25">
      <c r="A17" s="101"/>
      <c r="B17" s="104"/>
      <c r="C17" s="105"/>
      <c r="D17" s="107"/>
      <c r="E17" s="107"/>
    </row>
    <row r="18" spans="1:5" x14ac:dyDescent="0.25">
      <c r="A18" s="101"/>
      <c r="B18" s="104"/>
      <c r="C18" s="105"/>
      <c r="D18" s="107"/>
      <c r="E18" s="107"/>
    </row>
    <row r="19" spans="1:5" x14ac:dyDescent="0.25">
      <c r="A19" s="101"/>
      <c r="B19" s="104"/>
      <c r="C19" s="105"/>
      <c r="D19" s="107"/>
      <c r="E19" s="107"/>
    </row>
    <row r="20" spans="1:5" x14ac:dyDescent="0.25">
      <c r="A20" s="101"/>
      <c r="B20" s="104"/>
      <c r="C20" s="105"/>
      <c r="D20" s="107"/>
      <c r="E20" s="107"/>
    </row>
    <row r="21" spans="1:5" x14ac:dyDescent="0.25">
      <c r="A21" s="101"/>
      <c r="B21" s="104"/>
      <c r="C21" s="105"/>
      <c r="D21" s="107"/>
      <c r="E21" s="107"/>
    </row>
    <row r="22" spans="1:5" x14ac:dyDescent="0.25">
      <c r="A22" s="101"/>
      <c r="B22" s="104"/>
      <c r="C22" s="105"/>
      <c r="D22" s="107"/>
      <c r="E22" s="107"/>
    </row>
    <row r="23" spans="1:5" x14ac:dyDescent="0.25">
      <c r="A23" s="101"/>
      <c r="B23" s="104"/>
      <c r="C23" s="105"/>
      <c r="D23" s="107"/>
      <c r="E23" s="107"/>
    </row>
    <row r="24" spans="1:5" x14ac:dyDescent="0.25">
      <c r="A24" s="101"/>
      <c r="B24" s="104"/>
      <c r="C24" s="105"/>
      <c r="D24" s="107"/>
      <c r="E24" s="107"/>
    </row>
    <row r="25" spans="1:5" x14ac:dyDescent="0.25">
      <c r="A25" s="101"/>
      <c r="B25" s="104"/>
      <c r="C25" s="105"/>
      <c r="D25" s="107"/>
      <c r="E25" s="107"/>
    </row>
    <row r="26" spans="1:5" x14ac:dyDescent="0.25">
      <c r="A26" s="101"/>
      <c r="B26" s="104"/>
      <c r="C26" s="105"/>
      <c r="D26" s="107"/>
      <c r="E26" s="107"/>
    </row>
    <row r="27" spans="1:5" x14ac:dyDescent="0.25">
      <c r="A27" s="101"/>
      <c r="B27" s="104"/>
      <c r="C27" s="105"/>
      <c r="D27" s="107"/>
      <c r="E27" s="107"/>
    </row>
    <row r="28" spans="1:5" x14ac:dyDescent="0.25">
      <c r="A28" s="101"/>
      <c r="B28" s="104"/>
      <c r="C28" s="105"/>
      <c r="D28" s="107"/>
      <c r="E28" s="107"/>
    </row>
    <row r="29" spans="1:5" x14ac:dyDescent="0.25">
      <c r="A29" s="101"/>
      <c r="B29" s="104"/>
      <c r="C29" s="105"/>
      <c r="D29" s="107"/>
      <c r="E29" s="107"/>
    </row>
    <row r="30" spans="1:5" x14ac:dyDescent="0.25">
      <c r="A30" s="101"/>
      <c r="B30" s="104"/>
      <c r="C30" s="105"/>
      <c r="D30" s="107"/>
      <c r="E30" s="107"/>
    </row>
    <row r="31" spans="1:5" x14ac:dyDescent="0.25">
      <c r="A31" s="101"/>
      <c r="B31" s="104"/>
      <c r="C31" s="105"/>
      <c r="D31" s="107"/>
      <c r="E31" s="107"/>
    </row>
    <row r="32" spans="1:5" x14ac:dyDescent="0.25">
      <c r="A32" s="101"/>
      <c r="B32" s="104"/>
      <c r="C32" s="105"/>
      <c r="D32" s="107"/>
      <c r="E32" s="107"/>
    </row>
    <row r="33" spans="1:5" x14ac:dyDescent="0.25">
      <c r="A33" s="101"/>
      <c r="B33" s="104"/>
      <c r="C33" s="105"/>
      <c r="D33" s="107"/>
      <c r="E33" s="107"/>
    </row>
    <row r="34" spans="1:5" x14ac:dyDescent="0.25">
      <c r="A34" s="101"/>
      <c r="B34" s="104"/>
      <c r="C34" s="105"/>
      <c r="D34" s="107"/>
      <c r="E34" s="107"/>
    </row>
    <row r="35" spans="1:5" x14ac:dyDescent="0.25">
      <c r="A35" s="101"/>
      <c r="B35" s="104"/>
      <c r="C35" s="105"/>
      <c r="D35" s="107"/>
      <c r="E35" s="107"/>
    </row>
    <row r="36" spans="1:5" x14ac:dyDescent="0.25">
      <c r="A36" s="101"/>
      <c r="B36" s="104"/>
      <c r="C36" s="105"/>
      <c r="D36" s="107"/>
      <c r="E36" s="107"/>
    </row>
    <row r="37" spans="1:5" x14ac:dyDescent="0.25">
      <c r="A37" s="101"/>
      <c r="B37" s="104"/>
      <c r="C37" s="105"/>
      <c r="D37" s="107"/>
      <c r="E37" s="107"/>
    </row>
    <row r="38" spans="1:5" x14ac:dyDescent="0.25">
      <c r="A38" s="101"/>
      <c r="B38" s="104"/>
      <c r="C38" s="105"/>
      <c r="D38" s="107"/>
      <c r="E38" s="107"/>
    </row>
    <row r="39" spans="1:5" x14ac:dyDescent="0.25">
      <c r="A39" s="101"/>
      <c r="B39" s="104"/>
      <c r="C39" s="105"/>
      <c r="D39" s="107"/>
      <c r="E39" s="107"/>
    </row>
    <row r="40" spans="1:5" x14ac:dyDescent="0.25">
      <c r="A40" s="101"/>
      <c r="B40" s="104"/>
      <c r="C40" s="105"/>
      <c r="D40" s="107"/>
      <c r="E40" s="107"/>
    </row>
  </sheetData>
  <sheetProtection algorithmName="SHA-512" hashValue="uqXAZrnH7bExiYKjq5G3BY0MxUo+K99f6JM6hWVvNIH7lSzMYuLhnKaEhi+k/VbJy5XpRnwN/VYKaEdXxC7mkg==" saltValue="+Wo0LTi25u0oDLwRqcbsCg==" spinCount="100000" sheet="1" insertRows="0" sort="0" autoFilter="0"/>
  <protectedRanges>
    <protectedRange sqref="A11:E40" name="Range1"/>
  </protectedRanges>
  <mergeCells count="1">
    <mergeCell ref="C4:D5"/>
  </mergeCells>
  <dataValidations count="6">
    <dataValidation type="textLength" operator="equal" allowBlank="1" showInputMessage="1" showErrorMessage="1" error="2 = Medicaid and Medicaid MCOs_x000a_6= Medicaid Expenditures for Duals" prompt="1 = Medicare (Insurance Category Codes 1 and 5)_x000a_2 = Medicaid (Insurance Category Codes 2 and 6)_x000a_3 = Commercial (Insurance Category Codes 3 and 4)" sqref="B11:B40" xr:uid="{E35960AA-A201-41AC-9D4B-7358E52EBA7C}">
      <formula1>1</formula1>
    </dataValidation>
    <dataValidation type="decimal" operator="greaterThanOrEqual" allowBlank="1" showInputMessage="1" showErrorMessage="1" error="See Definitions tab._x000a_No negative values." prompt="The calculated standard deviation for all members for the applicable Advanced Network and market, reported as a PMPM value." sqref="E11:E40" xr:uid="{5F4E2329-FD46-44B5-9C54-BB4878FBDC48}">
      <formula1>0</formula1>
    </dataValidation>
    <dataValidation allowBlank="1" showInputMessage="1" showErrorMessage="1" error="Please input the OHS-assigned organizational ID of the large provider entity." prompt="If inputting Advanced Network-level standard deviation, please input the OHS-assigned organizational ID of the Advanced Network._x000a_If inputting market-level standard deviation, please input your assigned Insurer ID." sqref="A11" xr:uid="{44B21D76-45AC-45F8-8DFC-7FB3DF215271}"/>
    <dataValidation allowBlank="1" showInputMessage="1" showErrorMessage="1" error="The number of unique members participating in a plan each month with a medical benefit, regardless of whether the member has any paid claims." prompt="The number of unique members participating in a plan each month with a medical benefit, regardless of whether the member has any paid claims." sqref="C11:C40" xr:uid="{54C81A3F-E98A-41AC-B392-7F4D423AAA22}"/>
    <dataValidation allowBlank="1" showInputMessage="1" showErrorMessage="1" error="Please input the OHS-assigned organizational ID of the large provider entity." prompt="Please input the OHS-assigned organizational ID of the Advanced Network." sqref="A12:A40" xr:uid="{FCCF68F0-AD72-40BD-990D-E6CCA92DC893}"/>
    <dataValidation type="decimal" operator="greaterThanOrEqual" allowBlank="1" showInputMessage="1" showErrorMessage="1" error="See Definitions tab._x000a_No negative values." prompt="Total truncated claims spending associated with the Advanced Network and Insurance Category Code." sqref="D11:D40" xr:uid="{F86749CA-12D4-4D45-818E-BCB3B30DF582}">
      <formula1>0</formula1>
    </dataValidation>
  </dataValidations>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EA6E1-5C39-486E-94BD-FE7B130275A3}">
  <sheetPr>
    <tabColor theme="3"/>
  </sheetPr>
  <dimension ref="A1:E40"/>
  <sheetViews>
    <sheetView zoomScaleNormal="100" workbookViewId="0"/>
  </sheetViews>
  <sheetFormatPr defaultColWidth="9.140625" defaultRowHeight="15" x14ac:dyDescent="0.25"/>
  <cols>
    <col min="1" max="1" width="25.7109375" customWidth="1"/>
    <col min="2" max="2" width="25.28515625" bestFit="1" customWidth="1"/>
    <col min="3" max="5" width="31.140625" customWidth="1"/>
    <col min="6" max="6" width="12.28515625" bestFit="1" customWidth="1"/>
  </cols>
  <sheetData>
    <row r="1" spans="1:5" x14ac:dyDescent="0.25">
      <c r="A1" s="1" t="s">
        <v>191</v>
      </c>
    </row>
    <row r="2" spans="1:5" x14ac:dyDescent="0.25">
      <c r="A2" s="1" t="s">
        <v>265</v>
      </c>
    </row>
    <row r="4" spans="1:5" x14ac:dyDescent="0.25">
      <c r="A4" t="s">
        <v>193</v>
      </c>
      <c r="C4" s="323" t="s">
        <v>207</v>
      </c>
      <c r="D4" s="323"/>
    </row>
    <row r="5" spans="1:5" x14ac:dyDescent="0.25">
      <c r="A5" s="82" t="s">
        <v>213</v>
      </c>
      <c r="C5" s="323"/>
      <c r="D5" s="323"/>
    </row>
    <row r="9" spans="1:5" x14ac:dyDescent="0.25">
      <c r="C9" s="4" t="s">
        <v>214</v>
      </c>
      <c r="D9" s="4" t="s">
        <v>215</v>
      </c>
      <c r="E9" s="4" t="s">
        <v>216</v>
      </c>
    </row>
    <row r="10" spans="1:5" ht="45" x14ac:dyDescent="0.25">
      <c r="A10" s="84" t="s">
        <v>241</v>
      </c>
      <c r="B10" s="85" t="s">
        <v>102</v>
      </c>
      <c r="C10" s="85" t="s">
        <v>263</v>
      </c>
      <c r="D10" s="85" t="s">
        <v>174</v>
      </c>
      <c r="E10" s="85" t="s">
        <v>264</v>
      </c>
    </row>
    <row r="11" spans="1:5" x14ac:dyDescent="0.25">
      <c r="A11" s="101"/>
      <c r="B11" s="104"/>
      <c r="C11" s="105"/>
      <c r="D11" s="107"/>
      <c r="E11" s="107"/>
    </row>
    <row r="12" spans="1:5" x14ac:dyDescent="0.25">
      <c r="A12" s="101"/>
      <c r="B12" s="104"/>
      <c r="C12" s="105"/>
      <c r="D12" s="107"/>
      <c r="E12" s="107"/>
    </row>
    <row r="13" spans="1:5" x14ac:dyDescent="0.25">
      <c r="A13" s="101"/>
      <c r="B13" s="104"/>
      <c r="C13" s="105"/>
      <c r="D13" s="107"/>
      <c r="E13" s="107"/>
    </row>
    <row r="14" spans="1:5" x14ac:dyDescent="0.25">
      <c r="A14" s="101"/>
      <c r="B14" s="104"/>
      <c r="C14" s="105"/>
      <c r="D14" s="107"/>
      <c r="E14" s="107"/>
    </row>
    <row r="15" spans="1:5" x14ac:dyDescent="0.25">
      <c r="A15" s="101"/>
      <c r="B15" s="104"/>
      <c r="C15" s="105"/>
      <c r="D15" s="107"/>
      <c r="E15" s="107"/>
    </row>
    <row r="16" spans="1:5" x14ac:dyDescent="0.25">
      <c r="A16" s="101"/>
      <c r="B16" s="104"/>
      <c r="C16" s="105"/>
      <c r="D16" s="107"/>
      <c r="E16" s="107"/>
    </row>
    <row r="17" spans="1:5" x14ac:dyDescent="0.25">
      <c r="A17" s="101"/>
      <c r="B17" s="104"/>
      <c r="C17" s="105"/>
      <c r="D17" s="107"/>
      <c r="E17" s="107"/>
    </row>
    <row r="18" spans="1:5" x14ac:dyDescent="0.25">
      <c r="A18" s="101"/>
      <c r="B18" s="104"/>
      <c r="C18" s="105"/>
      <c r="D18" s="107"/>
      <c r="E18" s="107"/>
    </row>
    <row r="19" spans="1:5" x14ac:dyDescent="0.25">
      <c r="A19" s="101"/>
      <c r="B19" s="104"/>
      <c r="C19" s="105"/>
      <c r="D19" s="107"/>
      <c r="E19" s="107"/>
    </row>
    <row r="20" spans="1:5" x14ac:dyDescent="0.25">
      <c r="A20" s="101"/>
      <c r="B20" s="104"/>
      <c r="C20" s="105"/>
      <c r="D20" s="107"/>
      <c r="E20" s="107"/>
    </row>
    <row r="21" spans="1:5" x14ac:dyDescent="0.25">
      <c r="A21" s="101"/>
      <c r="B21" s="104"/>
      <c r="C21" s="105"/>
      <c r="D21" s="107"/>
      <c r="E21" s="107"/>
    </row>
    <row r="22" spans="1:5" x14ac:dyDescent="0.25">
      <c r="A22" s="101"/>
      <c r="B22" s="104"/>
      <c r="C22" s="105"/>
      <c r="D22" s="107"/>
      <c r="E22" s="107"/>
    </row>
    <row r="23" spans="1:5" x14ac:dyDescent="0.25">
      <c r="A23" s="101"/>
      <c r="B23" s="104"/>
      <c r="C23" s="105"/>
      <c r="D23" s="107"/>
      <c r="E23" s="107"/>
    </row>
    <row r="24" spans="1:5" x14ac:dyDescent="0.25">
      <c r="A24" s="101"/>
      <c r="B24" s="104"/>
      <c r="C24" s="105"/>
      <c r="D24" s="107"/>
      <c r="E24" s="107"/>
    </row>
    <row r="25" spans="1:5" x14ac:dyDescent="0.25">
      <c r="A25" s="101"/>
      <c r="B25" s="104"/>
      <c r="C25" s="105"/>
      <c r="D25" s="107"/>
      <c r="E25" s="107"/>
    </row>
    <row r="26" spans="1:5" x14ac:dyDescent="0.25">
      <c r="A26" s="101"/>
      <c r="B26" s="104"/>
      <c r="C26" s="105"/>
      <c r="D26" s="107"/>
      <c r="E26" s="107"/>
    </row>
    <row r="27" spans="1:5" x14ac:dyDescent="0.25">
      <c r="A27" s="101"/>
      <c r="B27" s="104"/>
      <c r="C27" s="105"/>
      <c r="D27" s="107"/>
      <c r="E27" s="107"/>
    </row>
    <row r="28" spans="1:5" x14ac:dyDescent="0.25">
      <c r="A28" s="101"/>
      <c r="B28" s="104"/>
      <c r="C28" s="105"/>
      <c r="D28" s="107"/>
      <c r="E28" s="107"/>
    </row>
    <row r="29" spans="1:5" x14ac:dyDescent="0.25">
      <c r="A29" s="101"/>
      <c r="B29" s="104"/>
      <c r="C29" s="105"/>
      <c r="D29" s="107"/>
      <c r="E29" s="107"/>
    </row>
    <row r="30" spans="1:5" x14ac:dyDescent="0.25">
      <c r="A30" s="101"/>
      <c r="B30" s="104"/>
      <c r="C30" s="105"/>
      <c r="D30" s="107"/>
      <c r="E30" s="107"/>
    </row>
    <row r="31" spans="1:5" x14ac:dyDescent="0.25">
      <c r="A31" s="101"/>
      <c r="B31" s="104"/>
      <c r="C31" s="105"/>
      <c r="D31" s="107"/>
      <c r="E31" s="107"/>
    </row>
    <row r="32" spans="1:5" x14ac:dyDescent="0.25">
      <c r="A32" s="101"/>
      <c r="B32" s="104"/>
      <c r="C32" s="105"/>
      <c r="D32" s="107"/>
      <c r="E32" s="107"/>
    </row>
    <row r="33" spans="1:5" x14ac:dyDescent="0.25">
      <c r="A33" s="101"/>
      <c r="B33" s="104"/>
      <c r="C33" s="105"/>
      <c r="D33" s="107"/>
      <c r="E33" s="107"/>
    </row>
    <row r="34" spans="1:5" x14ac:dyDescent="0.25">
      <c r="A34" s="101"/>
      <c r="B34" s="104"/>
      <c r="C34" s="105"/>
      <c r="D34" s="107"/>
      <c r="E34" s="107"/>
    </row>
    <row r="35" spans="1:5" x14ac:dyDescent="0.25">
      <c r="A35" s="101"/>
      <c r="B35" s="104"/>
      <c r="C35" s="105"/>
      <c r="D35" s="107"/>
      <c r="E35" s="107"/>
    </row>
    <row r="36" spans="1:5" x14ac:dyDescent="0.25">
      <c r="A36" s="101"/>
      <c r="B36" s="104"/>
      <c r="C36" s="105"/>
      <c r="D36" s="107"/>
      <c r="E36" s="107"/>
    </row>
    <row r="37" spans="1:5" x14ac:dyDescent="0.25">
      <c r="A37" s="101"/>
      <c r="B37" s="104"/>
      <c r="C37" s="105"/>
      <c r="D37" s="107"/>
      <c r="E37" s="107"/>
    </row>
    <row r="38" spans="1:5" x14ac:dyDescent="0.25">
      <c r="A38" s="101"/>
      <c r="B38" s="104"/>
      <c r="C38" s="105"/>
      <c r="D38" s="107"/>
      <c r="E38" s="107"/>
    </row>
    <row r="39" spans="1:5" x14ac:dyDescent="0.25">
      <c r="A39" s="101"/>
      <c r="B39" s="104"/>
      <c r="C39" s="105"/>
      <c r="D39" s="107"/>
      <c r="E39" s="107"/>
    </row>
    <row r="40" spans="1:5" x14ac:dyDescent="0.25">
      <c r="A40" s="101"/>
      <c r="B40" s="104"/>
      <c r="C40" s="105"/>
      <c r="D40" s="107"/>
      <c r="E40" s="107"/>
    </row>
  </sheetData>
  <sheetProtection algorithmName="SHA-512" hashValue="sxDs4ZCg8WqhwUcjf3I0kb4PX46vau6tKgZUP6ESpUIUe10IuUkECSQrECMZJSdgvWfg9UhzeyOEgznjLJs07A==" saltValue="ZoG7kmfFHVGgwaM9kXPs+Q==" spinCount="100000" sheet="1" insertRows="0" sort="0" autoFilter="0"/>
  <protectedRanges>
    <protectedRange sqref="A11:E40" name="Range1"/>
  </protectedRanges>
  <mergeCells count="1">
    <mergeCell ref="C4:D5"/>
  </mergeCells>
  <dataValidations count="6">
    <dataValidation allowBlank="1" showInputMessage="1" showErrorMessage="1" error="Please input the OHS-assigned organizational ID of the large provider entity." prompt="Please input the OHS-assigned organizational ID of the Advanced Network." sqref="A12:A40" xr:uid="{68FE82E8-8F2F-4C4A-827E-66306DACA852}"/>
    <dataValidation allowBlank="1" showInputMessage="1" showErrorMessage="1" error="The number of unique members participating in a plan each month with a medical benefit, regardless of whether the member has any paid claims." prompt="The number of unique members participating in a plan each month with a medical benefit, regardless of whether the member has any paid claims." sqref="C11:C40" xr:uid="{9CB50F43-7DAE-48EE-BB2E-34EF2486F8D1}"/>
    <dataValidation type="decimal" operator="greaterThanOrEqual" allowBlank="1" showInputMessage="1" showErrorMessage="1" error="See Definitions tab._x000a_No negative values." prompt="Total truncated claims spending associated with the Advanced Network and Insurance Category Code." sqref="D11:D40" xr:uid="{084270FE-7774-4FE7-BC10-8A8144D9C3B0}">
      <formula1>0</formula1>
    </dataValidation>
    <dataValidation allowBlank="1" showInputMessage="1" showErrorMessage="1" error="Please input the OHS-assigned organizational ID of the large provider entity." prompt="If inputting Advanced Network-level standard deviation, please input the OHS-assigned organizational ID of the Advanced Network._x000a_If inputting market-level standard deviation, please input your assigned Insurer ID." sqref="A11" xr:uid="{67C8B56D-269B-4026-B0DB-B38B04CA92E6}"/>
    <dataValidation type="decimal" operator="greaterThanOrEqual" allowBlank="1" showInputMessage="1" showErrorMessage="1" error="See Definitions tab._x000a_No negative values." prompt="The calculated standard deviation for all members for the applicable Advanced Network and market, reported as a PMPM value." sqref="E11:E40" xr:uid="{BECBF1DE-F325-4851-91F5-78E47BA7956F}">
      <formula1>0</formula1>
    </dataValidation>
    <dataValidation type="textLength" operator="equal" allowBlank="1" showInputMessage="1" showErrorMessage="1" error="2 = Medicaid and Medicaid MCOs_x000a_6= Medicaid Expenditures for Duals" prompt="1 = Medicare (Insurance Category Codes 1 and 5)_x000a_2 = Medicaid (Insurance Category Codes 2 and 6)_x000a_3 = Commercial (Insurance Category Codes 3 and 4)" sqref="B11:B40" xr:uid="{FCBE19ED-5B06-46AC-B462-8565BA51603C}">
      <formula1>1</formula1>
    </dataValidation>
  </dataValidations>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BC80C-9CF8-42FD-9BCA-6304AD4A6655}">
  <sheetPr>
    <tabColor theme="4"/>
  </sheetPr>
  <dimension ref="A1:J500"/>
  <sheetViews>
    <sheetView zoomScale="85" zoomScaleNormal="85" workbookViewId="0">
      <selection activeCell="B22" sqref="B22"/>
    </sheetView>
  </sheetViews>
  <sheetFormatPr defaultColWidth="9.140625" defaultRowHeight="15" x14ac:dyDescent="0.25"/>
  <cols>
    <col min="1" max="1" width="25.7109375" customWidth="1"/>
    <col min="2" max="10" width="28.5703125" customWidth="1"/>
  </cols>
  <sheetData>
    <row r="1" spans="1:10" x14ac:dyDescent="0.25">
      <c r="A1" s="1" t="s">
        <v>191</v>
      </c>
    </row>
    <row r="2" spans="1:10" x14ac:dyDescent="0.25">
      <c r="A2" s="1" t="s">
        <v>266</v>
      </c>
    </row>
    <row r="4" spans="1:10" x14ac:dyDescent="0.25">
      <c r="A4" t="s">
        <v>193</v>
      </c>
      <c r="C4" s="321" t="s">
        <v>194</v>
      </c>
      <c r="D4" s="321"/>
    </row>
    <row r="5" spans="1:10" x14ac:dyDescent="0.25">
      <c r="A5" s="82" t="s">
        <v>213</v>
      </c>
      <c r="C5" s="321"/>
      <c r="D5" s="321"/>
    </row>
    <row r="9" spans="1:10" x14ac:dyDescent="0.25">
      <c r="C9" s="4" t="s">
        <v>214</v>
      </c>
      <c r="D9" s="4" t="s">
        <v>215</v>
      </c>
      <c r="E9" s="4" t="s">
        <v>216</v>
      </c>
      <c r="F9" s="4" t="s">
        <v>217</v>
      </c>
      <c r="G9" s="4" t="s">
        <v>218</v>
      </c>
      <c r="H9" s="4" t="s">
        <v>219</v>
      </c>
      <c r="I9" s="83" t="s">
        <v>220</v>
      </c>
      <c r="J9" s="269" t="s">
        <v>221</v>
      </c>
    </row>
    <row r="10" spans="1:10" ht="60" x14ac:dyDescent="0.25">
      <c r="A10" s="84" t="s">
        <v>267</v>
      </c>
      <c r="B10" s="85" t="s">
        <v>84</v>
      </c>
      <c r="C10" s="85" t="s">
        <v>106</v>
      </c>
      <c r="D10" s="85" t="s">
        <v>180</v>
      </c>
      <c r="E10" s="85" t="s">
        <v>182</v>
      </c>
      <c r="F10" s="85" t="s">
        <v>184</v>
      </c>
      <c r="G10" s="85" t="s">
        <v>186</v>
      </c>
      <c r="H10" s="85" t="s">
        <v>188</v>
      </c>
      <c r="I10" s="85" t="s">
        <v>268</v>
      </c>
      <c r="J10" s="268" t="s">
        <v>269</v>
      </c>
    </row>
    <row r="11" spans="1:10" x14ac:dyDescent="0.25">
      <c r="A11" s="101"/>
      <c r="B11" s="104"/>
      <c r="C11" s="105"/>
      <c r="D11" s="273"/>
      <c r="E11" s="182"/>
      <c r="F11" s="110"/>
      <c r="G11" s="274"/>
      <c r="H11" s="110"/>
      <c r="I11" s="110"/>
      <c r="J11" s="265" t="b">
        <f>Age_Sex_BY[[#This Row],[Total Spending After Applying Truncation at the Member Level]]+Age_Sex_BY[[#This Row],[Total Dollars Excluded from Spending After Applying Truncation at the Member Level]]=Age_Sex_BY[[#This Row],[Total Spending before Truncation is Applied]]</f>
        <v>1</v>
      </c>
    </row>
    <row r="12" spans="1:10" x14ac:dyDescent="0.25">
      <c r="A12" s="101"/>
      <c r="B12" s="104"/>
      <c r="C12" s="105"/>
      <c r="D12" s="273"/>
      <c r="E12" s="182"/>
      <c r="F12" s="110"/>
      <c r="G12" s="274"/>
      <c r="H12" s="110"/>
      <c r="I12" s="110"/>
      <c r="J12" s="237" t="b">
        <f>Age_Sex_BY[[#This Row],[Total Spending After Applying Truncation at the Member Level]]+Age_Sex_BY[[#This Row],[Total Dollars Excluded from Spending After Applying Truncation at the Member Level]]=Age_Sex_BY[[#This Row],[Total Spending before Truncation is Applied]]</f>
        <v>1</v>
      </c>
    </row>
    <row r="13" spans="1:10" x14ac:dyDescent="0.25">
      <c r="A13" s="101"/>
      <c r="B13" s="104"/>
      <c r="C13" s="105"/>
      <c r="D13" s="273"/>
      <c r="E13" s="182"/>
      <c r="F13" s="110"/>
      <c r="G13" s="274"/>
      <c r="H13" s="110"/>
      <c r="I13" s="110"/>
      <c r="J13" s="237" t="b">
        <f>Age_Sex_BY[[#This Row],[Total Spending After Applying Truncation at the Member Level]]+Age_Sex_BY[[#This Row],[Total Dollars Excluded from Spending After Applying Truncation at the Member Level]]=Age_Sex_BY[[#This Row],[Total Spending before Truncation is Applied]]</f>
        <v>1</v>
      </c>
    </row>
    <row r="14" spans="1:10" x14ac:dyDescent="0.25">
      <c r="A14" s="101"/>
      <c r="B14" s="104"/>
      <c r="C14" s="105"/>
      <c r="D14" s="273"/>
      <c r="E14" s="182"/>
      <c r="F14" s="110"/>
      <c r="G14" s="274"/>
      <c r="H14" s="110"/>
      <c r="I14" s="110"/>
      <c r="J14" s="237" t="b">
        <f>Age_Sex_BY[[#This Row],[Total Spending After Applying Truncation at the Member Level]]+Age_Sex_BY[[#This Row],[Total Dollars Excluded from Spending After Applying Truncation at the Member Level]]=Age_Sex_BY[[#This Row],[Total Spending before Truncation is Applied]]</f>
        <v>1</v>
      </c>
    </row>
    <row r="15" spans="1:10" x14ac:dyDescent="0.25">
      <c r="A15" s="101"/>
      <c r="B15" s="104"/>
      <c r="C15" s="105"/>
      <c r="D15" s="273"/>
      <c r="E15" s="182"/>
      <c r="F15" s="110"/>
      <c r="G15" s="274"/>
      <c r="H15" s="110"/>
      <c r="I15" s="110"/>
      <c r="J15" s="237" t="b">
        <f>Age_Sex_BY[[#This Row],[Total Spending After Applying Truncation at the Member Level]]+Age_Sex_BY[[#This Row],[Total Dollars Excluded from Spending After Applying Truncation at the Member Level]]=Age_Sex_BY[[#This Row],[Total Spending before Truncation is Applied]]</f>
        <v>1</v>
      </c>
    </row>
    <row r="16" spans="1:10" x14ac:dyDescent="0.25">
      <c r="A16" s="101"/>
      <c r="B16" s="104"/>
      <c r="C16" s="105"/>
      <c r="D16" s="273"/>
      <c r="E16" s="182"/>
      <c r="F16" s="110"/>
      <c r="G16" s="274"/>
      <c r="H16" s="110"/>
      <c r="I16" s="110"/>
      <c r="J16" s="237" t="b">
        <f>Age_Sex_BY[[#This Row],[Total Spending After Applying Truncation at the Member Level]]+Age_Sex_BY[[#This Row],[Total Dollars Excluded from Spending After Applying Truncation at the Member Level]]=Age_Sex_BY[[#This Row],[Total Spending before Truncation is Applied]]</f>
        <v>1</v>
      </c>
    </row>
    <row r="17" spans="1:10" x14ac:dyDescent="0.25">
      <c r="A17" s="101"/>
      <c r="B17" s="104"/>
      <c r="C17" s="105"/>
      <c r="D17" s="273"/>
      <c r="E17" s="182"/>
      <c r="F17" s="110"/>
      <c r="G17" s="274"/>
      <c r="H17" s="110"/>
      <c r="I17" s="110"/>
      <c r="J17" s="237" t="b">
        <f>Age_Sex_BY[[#This Row],[Total Spending After Applying Truncation at the Member Level]]+Age_Sex_BY[[#This Row],[Total Dollars Excluded from Spending After Applying Truncation at the Member Level]]=Age_Sex_BY[[#This Row],[Total Spending before Truncation is Applied]]</f>
        <v>1</v>
      </c>
    </row>
    <row r="18" spans="1:10" x14ac:dyDescent="0.25">
      <c r="A18" s="101"/>
      <c r="B18" s="104"/>
      <c r="C18" s="105"/>
      <c r="D18" s="273"/>
      <c r="E18" s="182"/>
      <c r="F18" s="110"/>
      <c r="G18" s="274"/>
      <c r="H18" s="110"/>
      <c r="I18" s="110"/>
      <c r="J18" s="237" t="b">
        <f>Age_Sex_BY[[#This Row],[Total Spending After Applying Truncation at the Member Level]]+Age_Sex_BY[[#This Row],[Total Dollars Excluded from Spending After Applying Truncation at the Member Level]]=Age_Sex_BY[[#This Row],[Total Spending before Truncation is Applied]]</f>
        <v>1</v>
      </c>
    </row>
    <row r="19" spans="1:10" x14ac:dyDescent="0.25">
      <c r="A19" s="101"/>
      <c r="B19" s="104"/>
      <c r="C19" s="105"/>
      <c r="D19" s="273"/>
      <c r="E19" s="182"/>
      <c r="F19" s="110"/>
      <c r="G19" s="274"/>
      <c r="H19" s="110"/>
      <c r="I19" s="110"/>
      <c r="J19" s="237" t="b">
        <f>Age_Sex_BY[[#This Row],[Total Spending After Applying Truncation at the Member Level]]+Age_Sex_BY[[#This Row],[Total Dollars Excluded from Spending After Applying Truncation at the Member Level]]=Age_Sex_BY[[#This Row],[Total Spending before Truncation is Applied]]</f>
        <v>1</v>
      </c>
    </row>
    <row r="20" spans="1:10" x14ac:dyDescent="0.25">
      <c r="A20" s="101"/>
      <c r="B20" s="104"/>
      <c r="C20" s="105"/>
      <c r="D20" s="273"/>
      <c r="E20" s="182"/>
      <c r="F20" s="110"/>
      <c r="G20" s="274"/>
      <c r="H20" s="110"/>
      <c r="I20" s="110"/>
      <c r="J20" s="237" t="b">
        <f>Age_Sex_BY[[#This Row],[Total Spending After Applying Truncation at the Member Level]]+Age_Sex_BY[[#This Row],[Total Dollars Excluded from Spending After Applying Truncation at the Member Level]]=Age_Sex_BY[[#This Row],[Total Spending before Truncation is Applied]]</f>
        <v>1</v>
      </c>
    </row>
    <row r="21" spans="1:10" x14ac:dyDescent="0.25">
      <c r="A21" s="101"/>
      <c r="B21" s="104"/>
      <c r="C21" s="105"/>
      <c r="D21" s="273"/>
      <c r="E21" s="182"/>
      <c r="F21" s="110"/>
      <c r="G21" s="274"/>
      <c r="H21" s="110"/>
      <c r="I21" s="110"/>
      <c r="J21" s="237" t="b">
        <f>Age_Sex_BY[[#This Row],[Total Spending After Applying Truncation at the Member Level]]+Age_Sex_BY[[#This Row],[Total Dollars Excluded from Spending After Applying Truncation at the Member Level]]=Age_Sex_BY[[#This Row],[Total Spending before Truncation is Applied]]</f>
        <v>1</v>
      </c>
    </row>
    <row r="22" spans="1:10" x14ac:dyDescent="0.25">
      <c r="A22" s="101"/>
      <c r="B22" s="104"/>
      <c r="C22" s="105"/>
      <c r="D22" s="273"/>
      <c r="E22" s="182"/>
      <c r="F22" s="110"/>
      <c r="G22" s="274"/>
      <c r="H22" s="110"/>
      <c r="I22" s="110"/>
      <c r="J22" s="237" t="b">
        <f>Age_Sex_BY[[#This Row],[Total Spending After Applying Truncation at the Member Level]]+Age_Sex_BY[[#This Row],[Total Dollars Excluded from Spending After Applying Truncation at the Member Level]]=Age_Sex_BY[[#This Row],[Total Spending before Truncation is Applied]]</f>
        <v>1</v>
      </c>
    </row>
    <row r="23" spans="1:10" x14ac:dyDescent="0.25">
      <c r="A23" s="101"/>
      <c r="B23" s="104"/>
      <c r="C23" s="105"/>
      <c r="D23" s="273"/>
      <c r="E23" s="182"/>
      <c r="F23" s="110"/>
      <c r="G23" s="274"/>
      <c r="H23" s="110"/>
      <c r="I23" s="110"/>
      <c r="J23" s="237" t="b">
        <f>Age_Sex_BY[[#This Row],[Total Spending After Applying Truncation at the Member Level]]+Age_Sex_BY[[#This Row],[Total Dollars Excluded from Spending After Applying Truncation at the Member Level]]=Age_Sex_BY[[#This Row],[Total Spending before Truncation is Applied]]</f>
        <v>1</v>
      </c>
    </row>
    <row r="24" spans="1:10" x14ac:dyDescent="0.25">
      <c r="A24" s="101"/>
      <c r="B24" s="104"/>
      <c r="C24" s="105"/>
      <c r="D24" s="273"/>
      <c r="E24" s="182"/>
      <c r="F24" s="110"/>
      <c r="G24" s="274"/>
      <c r="H24" s="110"/>
      <c r="I24" s="110"/>
      <c r="J24" s="237" t="b">
        <f>Age_Sex_BY[[#This Row],[Total Spending After Applying Truncation at the Member Level]]+Age_Sex_BY[[#This Row],[Total Dollars Excluded from Spending After Applying Truncation at the Member Level]]=Age_Sex_BY[[#This Row],[Total Spending before Truncation is Applied]]</f>
        <v>1</v>
      </c>
    </row>
    <row r="25" spans="1:10" x14ac:dyDescent="0.25">
      <c r="A25" s="101"/>
      <c r="B25" s="104"/>
      <c r="C25" s="105"/>
      <c r="D25" s="273"/>
      <c r="E25" s="182"/>
      <c r="F25" s="110"/>
      <c r="G25" s="274"/>
      <c r="H25" s="110"/>
      <c r="I25" s="110"/>
      <c r="J25" s="237" t="b">
        <f>Age_Sex_BY[[#This Row],[Total Spending After Applying Truncation at the Member Level]]+Age_Sex_BY[[#This Row],[Total Dollars Excluded from Spending After Applying Truncation at the Member Level]]=Age_Sex_BY[[#This Row],[Total Spending before Truncation is Applied]]</f>
        <v>1</v>
      </c>
    </row>
    <row r="26" spans="1:10" x14ac:dyDescent="0.25">
      <c r="A26" s="101"/>
      <c r="B26" s="104"/>
      <c r="C26" s="105"/>
      <c r="D26" s="273"/>
      <c r="E26" s="182"/>
      <c r="F26" s="110"/>
      <c r="G26" s="274"/>
      <c r="H26" s="110"/>
      <c r="I26" s="110"/>
      <c r="J26" s="237" t="b">
        <f>Age_Sex_BY[[#This Row],[Total Spending After Applying Truncation at the Member Level]]+Age_Sex_BY[[#This Row],[Total Dollars Excluded from Spending After Applying Truncation at the Member Level]]=Age_Sex_BY[[#This Row],[Total Spending before Truncation is Applied]]</f>
        <v>1</v>
      </c>
    </row>
    <row r="27" spans="1:10" x14ac:dyDescent="0.25">
      <c r="A27" s="101"/>
      <c r="B27" s="104"/>
      <c r="C27" s="105"/>
      <c r="D27" s="273"/>
      <c r="E27" s="182"/>
      <c r="F27" s="110"/>
      <c r="G27" s="274"/>
      <c r="H27" s="110"/>
      <c r="I27" s="110"/>
      <c r="J27" s="237" t="b">
        <f>Age_Sex_BY[[#This Row],[Total Spending After Applying Truncation at the Member Level]]+Age_Sex_BY[[#This Row],[Total Dollars Excluded from Spending After Applying Truncation at the Member Level]]=Age_Sex_BY[[#This Row],[Total Spending before Truncation is Applied]]</f>
        <v>1</v>
      </c>
    </row>
    <row r="28" spans="1:10" x14ac:dyDescent="0.25">
      <c r="A28" s="101"/>
      <c r="B28" s="104"/>
      <c r="C28" s="105"/>
      <c r="D28" s="273"/>
      <c r="E28" s="182"/>
      <c r="F28" s="110"/>
      <c r="G28" s="274"/>
      <c r="H28" s="110"/>
      <c r="I28" s="110"/>
      <c r="J28" s="237" t="b">
        <f>Age_Sex_BY[[#This Row],[Total Spending After Applying Truncation at the Member Level]]+Age_Sex_BY[[#This Row],[Total Dollars Excluded from Spending After Applying Truncation at the Member Level]]=Age_Sex_BY[[#This Row],[Total Spending before Truncation is Applied]]</f>
        <v>1</v>
      </c>
    </row>
    <row r="29" spans="1:10" x14ac:dyDescent="0.25">
      <c r="A29" s="101"/>
      <c r="B29" s="104"/>
      <c r="C29" s="105"/>
      <c r="D29" s="273"/>
      <c r="E29" s="182"/>
      <c r="F29" s="110"/>
      <c r="G29" s="274"/>
      <c r="H29" s="110"/>
      <c r="I29" s="110"/>
      <c r="J29" s="237" t="b">
        <f>Age_Sex_BY[[#This Row],[Total Spending After Applying Truncation at the Member Level]]+Age_Sex_BY[[#This Row],[Total Dollars Excluded from Spending After Applying Truncation at the Member Level]]=Age_Sex_BY[[#This Row],[Total Spending before Truncation is Applied]]</f>
        <v>1</v>
      </c>
    </row>
    <row r="30" spans="1:10" x14ac:dyDescent="0.25">
      <c r="A30" s="101"/>
      <c r="B30" s="104"/>
      <c r="C30" s="105"/>
      <c r="D30" s="273"/>
      <c r="E30" s="182"/>
      <c r="F30" s="110"/>
      <c r="G30" s="274"/>
      <c r="H30" s="110"/>
      <c r="I30" s="110"/>
      <c r="J30" s="237" t="b">
        <f>Age_Sex_BY[[#This Row],[Total Spending After Applying Truncation at the Member Level]]+Age_Sex_BY[[#This Row],[Total Dollars Excluded from Spending After Applying Truncation at the Member Level]]=Age_Sex_BY[[#This Row],[Total Spending before Truncation is Applied]]</f>
        <v>1</v>
      </c>
    </row>
    <row r="31" spans="1:10" x14ac:dyDescent="0.25">
      <c r="A31" s="101"/>
      <c r="B31" s="104"/>
      <c r="C31" s="105"/>
      <c r="D31" s="273"/>
      <c r="E31" s="182"/>
      <c r="F31" s="110"/>
      <c r="G31" s="274"/>
      <c r="H31" s="110"/>
      <c r="I31" s="110"/>
      <c r="J31" s="237" t="b">
        <f>Age_Sex_BY[[#This Row],[Total Spending After Applying Truncation at the Member Level]]+Age_Sex_BY[[#This Row],[Total Dollars Excluded from Spending After Applying Truncation at the Member Level]]=Age_Sex_BY[[#This Row],[Total Spending before Truncation is Applied]]</f>
        <v>1</v>
      </c>
    </row>
    <row r="32" spans="1:10" x14ac:dyDescent="0.25">
      <c r="A32" s="101"/>
      <c r="B32" s="104"/>
      <c r="C32" s="105"/>
      <c r="D32" s="273"/>
      <c r="E32" s="182"/>
      <c r="F32" s="110"/>
      <c r="G32" s="274"/>
      <c r="H32" s="110"/>
      <c r="I32" s="110"/>
      <c r="J32" s="237" t="b">
        <f>Age_Sex_BY[[#This Row],[Total Spending After Applying Truncation at the Member Level]]+Age_Sex_BY[[#This Row],[Total Dollars Excluded from Spending After Applying Truncation at the Member Level]]=Age_Sex_BY[[#This Row],[Total Spending before Truncation is Applied]]</f>
        <v>1</v>
      </c>
    </row>
    <row r="33" spans="1:10" x14ac:dyDescent="0.25">
      <c r="A33" s="101"/>
      <c r="B33" s="104"/>
      <c r="C33" s="105"/>
      <c r="D33" s="273"/>
      <c r="E33" s="182"/>
      <c r="F33" s="110"/>
      <c r="G33" s="274"/>
      <c r="H33" s="110"/>
      <c r="I33" s="110"/>
      <c r="J33" s="237" t="b">
        <f>Age_Sex_BY[[#This Row],[Total Spending After Applying Truncation at the Member Level]]+Age_Sex_BY[[#This Row],[Total Dollars Excluded from Spending After Applying Truncation at the Member Level]]=Age_Sex_BY[[#This Row],[Total Spending before Truncation is Applied]]</f>
        <v>1</v>
      </c>
    </row>
    <row r="34" spans="1:10" x14ac:dyDescent="0.25">
      <c r="A34" s="101"/>
      <c r="B34" s="104"/>
      <c r="C34" s="105"/>
      <c r="D34" s="273"/>
      <c r="E34" s="182"/>
      <c r="F34" s="110"/>
      <c r="G34" s="274"/>
      <c r="H34" s="110"/>
      <c r="I34" s="110"/>
      <c r="J34" s="237" t="b">
        <f>Age_Sex_BY[[#This Row],[Total Spending After Applying Truncation at the Member Level]]+Age_Sex_BY[[#This Row],[Total Dollars Excluded from Spending After Applying Truncation at the Member Level]]=Age_Sex_BY[[#This Row],[Total Spending before Truncation is Applied]]</f>
        <v>1</v>
      </c>
    </row>
    <row r="35" spans="1:10" x14ac:dyDescent="0.25">
      <c r="A35" s="101"/>
      <c r="B35" s="104"/>
      <c r="C35" s="105"/>
      <c r="D35" s="273"/>
      <c r="E35" s="182"/>
      <c r="F35" s="110"/>
      <c r="G35" s="274"/>
      <c r="H35" s="110"/>
      <c r="I35" s="110"/>
      <c r="J35" s="237" t="b">
        <f>Age_Sex_BY[[#This Row],[Total Spending After Applying Truncation at the Member Level]]+Age_Sex_BY[[#This Row],[Total Dollars Excluded from Spending After Applying Truncation at the Member Level]]=Age_Sex_BY[[#This Row],[Total Spending before Truncation is Applied]]</f>
        <v>1</v>
      </c>
    </row>
    <row r="36" spans="1:10" x14ac:dyDescent="0.25">
      <c r="A36" s="101"/>
      <c r="B36" s="104"/>
      <c r="C36" s="105"/>
      <c r="D36" s="273"/>
      <c r="E36" s="182"/>
      <c r="F36" s="110"/>
      <c r="G36" s="274"/>
      <c r="H36" s="110"/>
      <c r="I36" s="110"/>
      <c r="J36" s="237" t="b">
        <f>Age_Sex_BY[[#This Row],[Total Spending After Applying Truncation at the Member Level]]+Age_Sex_BY[[#This Row],[Total Dollars Excluded from Spending After Applying Truncation at the Member Level]]=Age_Sex_BY[[#This Row],[Total Spending before Truncation is Applied]]</f>
        <v>1</v>
      </c>
    </row>
    <row r="37" spans="1:10" x14ac:dyDescent="0.25">
      <c r="A37" s="101"/>
      <c r="B37" s="104"/>
      <c r="C37" s="105"/>
      <c r="D37" s="273"/>
      <c r="E37" s="182"/>
      <c r="F37" s="110"/>
      <c r="G37" s="274"/>
      <c r="H37" s="110"/>
      <c r="I37" s="110"/>
      <c r="J37" s="237" t="b">
        <f>Age_Sex_BY[[#This Row],[Total Spending After Applying Truncation at the Member Level]]+Age_Sex_BY[[#This Row],[Total Dollars Excluded from Spending After Applying Truncation at the Member Level]]=Age_Sex_BY[[#This Row],[Total Spending before Truncation is Applied]]</f>
        <v>1</v>
      </c>
    </row>
    <row r="38" spans="1:10" x14ac:dyDescent="0.25">
      <c r="A38" s="101"/>
      <c r="B38" s="104"/>
      <c r="C38" s="105"/>
      <c r="D38" s="273"/>
      <c r="E38" s="182"/>
      <c r="F38" s="110"/>
      <c r="G38" s="274"/>
      <c r="H38" s="110"/>
      <c r="I38" s="110"/>
      <c r="J38" s="237" t="b">
        <f>Age_Sex_BY[[#This Row],[Total Spending After Applying Truncation at the Member Level]]+Age_Sex_BY[[#This Row],[Total Dollars Excluded from Spending After Applying Truncation at the Member Level]]=Age_Sex_BY[[#This Row],[Total Spending before Truncation is Applied]]</f>
        <v>1</v>
      </c>
    </row>
    <row r="39" spans="1:10" x14ac:dyDescent="0.25">
      <c r="A39" s="101"/>
      <c r="B39" s="104"/>
      <c r="C39" s="105"/>
      <c r="D39" s="273"/>
      <c r="E39" s="182"/>
      <c r="F39" s="110"/>
      <c r="G39" s="274"/>
      <c r="H39" s="110"/>
      <c r="I39" s="110"/>
      <c r="J39" s="237" t="b">
        <f>Age_Sex_BY[[#This Row],[Total Spending After Applying Truncation at the Member Level]]+Age_Sex_BY[[#This Row],[Total Dollars Excluded from Spending After Applying Truncation at the Member Level]]=Age_Sex_BY[[#This Row],[Total Spending before Truncation is Applied]]</f>
        <v>1</v>
      </c>
    </row>
    <row r="40" spans="1:10" x14ac:dyDescent="0.25">
      <c r="A40" s="101"/>
      <c r="B40" s="104"/>
      <c r="C40" s="105"/>
      <c r="D40" s="273"/>
      <c r="E40" s="182"/>
      <c r="F40" s="110"/>
      <c r="G40" s="274"/>
      <c r="H40" s="110"/>
      <c r="I40" s="110"/>
      <c r="J40" s="237" t="b">
        <f>Age_Sex_BY[[#This Row],[Total Spending After Applying Truncation at the Member Level]]+Age_Sex_BY[[#This Row],[Total Dollars Excluded from Spending After Applying Truncation at the Member Level]]=Age_Sex_BY[[#This Row],[Total Spending before Truncation is Applied]]</f>
        <v>1</v>
      </c>
    </row>
    <row r="41" spans="1:10" x14ac:dyDescent="0.25">
      <c r="A41" s="101"/>
      <c r="B41" s="104"/>
      <c r="C41" s="105"/>
      <c r="D41" s="273"/>
      <c r="E41" s="182"/>
      <c r="F41" s="110"/>
      <c r="G41" s="274"/>
      <c r="H41" s="110"/>
      <c r="I41" s="110"/>
      <c r="J41" s="237" t="b">
        <f>Age_Sex_BY[[#This Row],[Total Spending After Applying Truncation at the Member Level]]+Age_Sex_BY[[#This Row],[Total Dollars Excluded from Spending After Applying Truncation at the Member Level]]=Age_Sex_BY[[#This Row],[Total Spending before Truncation is Applied]]</f>
        <v>1</v>
      </c>
    </row>
    <row r="42" spans="1:10" x14ac:dyDescent="0.25">
      <c r="A42" s="101"/>
      <c r="B42" s="104"/>
      <c r="C42" s="105"/>
      <c r="D42" s="273"/>
      <c r="E42" s="182"/>
      <c r="F42" s="110"/>
      <c r="G42" s="274"/>
      <c r="H42" s="110"/>
      <c r="I42" s="110"/>
      <c r="J42" s="237" t="b">
        <f>Age_Sex_BY[[#This Row],[Total Spending After Applying Truncation at the Member Level]]+Age_Sex_BY[[#This Row],[Total Dollars Excluded from Spending After Applying Truncation at the Member Level]]=Age_Sex_BY[[#This Row],[Total Spending before Truncation is Applied]]</f>
        <v>1</v>
      </c>
    </row>
    <row r="43" spans="1:10" x14ac:dyDescent="0.25">
      <c r="A43" s="101"/>
      <c r="B43" s="104"/>
      <c r="C43" s="105"/>
      <c r="D43" s="273"/>
      <c r="E43" s="182"/>
      <c r="F43" s="110"/>
      <c r="G43" s="274"/>
      <c r="H43" s="110"/>
      <c r="I43" s="110"/>
      <c r="J43" s="237" t="b">
        <f>Age_Sex_BY[[#This Row],[Total Spending After Applying Truncation at the Member Level]]+Age_Sex_BY[[#This Row],[Total Dollars Excluded from Spending After Applying Truncation at the Member Level]]=Age_Sex_BY[[#This Row],[Total Spending before Truncation is Applied]]</f>
        <v>1</v>
      </c>
    </row>
    <row r="44" spans="1:10" x14ac:dyDescent="0.25">
      <c r="A44" s="101"/>
      <c r="B44" s="104"/>
      <c r="C44" s="105"/>
      <c r="D44" s="273"/>
      <c r="E44" s="182"/>
      <c r="F44" s="110"/>
      <c r="G44" s="274"/>
      <c r="H44" s="110"/>
      <c r="I44" s="110"/>
      <c r="J44" s="237" t="b">
        <f>Age_Sex_BY[[#This Row],[Total Spending After Applying Truncation at the Member Level]]+Age_Sex_BY[[#This Row],[Total Dollars Excluded from Spending After Applying Truncation at the Member Level]]=Age_Sex_BY[[#This Row],[Total Spending before Truncation is Applied]]</f>
        <v>1</v>
      </c>
    </row>
    <row r="45" spans="1:10" x14ac:dyDescent="0.25">
      <c r="A45" s="101"/>
      <c r="B45" s="104"/>
      <c r="C45" s="105"/>
      <c r="D45" s="273"/>
      <c r="E45" s="182"/>
      <c r="F45" s="110"/>
      <c r="G45" s="274"/>
      <c r="H45" s="110"/>
      <c r="I45" s="110"/>
      <c r="J45" s="237" t="b">
        <f>Age_Sex_BY[[#This Row],[Total Spending After Applying Truncation at the Member Level]]+Age_Sex_BY[[#This Row],[Total Dollars Excluded from Spending After Applying Truncation at the Member Level]]=Age_Sex_BY[[#This Row],[Total Spending before Truncation is Applied]]</f>
        <v>1</v>
      </c>
    </row>
    <row r="46" spans="1:10" x14ac:dyDescent="0.25">
      <c r="A46" s="101"/>
      <c r="B46" s="104"/>
      <c r="C46" s="105"/>
      <c r="D46" s="273"/>
      <c r="E46" s="182"/>
      <c r="F46" s="110"/>
      <c r="G46" s="274"/>
      <c r="H46" s="110"/>
      <c r="I46" s="110"/>
      <c r="J46" s="237" t="b">
        <f>Age_Sex_BY[[#This Row],[Total Spending After Applying Truncation at the Member Level]]+Age_Sex_BY[[#This Row],[Total Dollars Excluded from Spending After Applying Truncation at the Member Level]]=Age_Sex_BY[[#This Row],[Total Spending before Truncation is Applied]]</f>
        <v>1</v>
      </c>
    </row>
    <row r="47" spans="1:10" x14ac:dyDescent="0.25">
      <c r="A47" s="101"/>
      <c r="B47" s="104"/>
      <c r="C47" s="105"/>
      <c r="D47" s="273"/>
      <c r="E47" s="182"/>
      <c r="F47" s="110"/>
      <c r="G47" s="274"/>
      <c r="H47" s="110"/>
      <c r="I47" s="110"/>
      <c r="J47" s="237" t="b">
        <f>Age_Sex_BY[[#This Row],[Total Spending After Applying Truncation at the Member Level]]+Age_Sex_BY[[#This Row],[Total Dollars Excluded from Spending After Applying Truncation at the Member Level]]=Age_Sex_BY[[#This Row],[Total Spending before Truncation is Applied]]</f>
        <v>1</v>
      </c>
    </row>
    <row r="48" spans="1:10" x14ac:dyDescent="0.25">
      <c r="A48" s="101"/>
      <c r="B48" s="104"/>
      <c r="C48" s="105"/>
      <c r="D48" s="273"/>
      <c r="E48" s="182"/>
      <c r="F48" s="110"/>
      <c r="G48" s="274"/>
      <c r="H48" s="110"/>
      <c r="I48" s="110"/>
      <c r="J48" s="237" t="b">
        <f>Age_Sex_BY[[#This Row],[Total Spending After Applying Truncation at the Member Level]]+Age_Sex_BY[[#This Row],[Total Dollars Excluded from Spending After Applying Truncation at the Member Level]]=Age_Sex_BY[[#This Row],[Total Spending before Truncation is Applied]]</f>
        <v>1</v>
      </c>
    </row>
    <row r="49" spans="1:10" x14ac:dyDescent="0.25">
      <c r="A49" s="101"/>
      <c r="B49" s="104"/>
      <c r="C49" s="105"/>
      <c r="D49" s="273"/>
      <c r="E49" s="182"/>
      <c r="F49" s="110"/>
      <c r="G49" s="274"/>
      <c r="H49" s="110"/>
      <c r="I49" s="110"/>
      <c r="J49" s="237" t="b">
        <f>Age_Sex_BY[[#This Row],[Total Spending After Applying Truncation at the Member Level]]+Age_Sex_BY[[#This Row],[Total Dollars Excluded from Spending After Applying Truncation at the Member Level]]=Age_Sex_BY[[#This Row],[Total Spending before Truncation is Applied]]</f>
        <v>1</v>
      </c>
    </row>
    <row r="50" spans="1:10" x14ac:dyDescent="0.25">
      <c r="A50" s="101"/>
      <c r="B50" s="104"/>
      <c r="C50" s="105"/>
      <c r="D50" s="273"/>
      <c r="E50" s="182"/>
      <c r="F50" s="110"/>
      <c r="G50" s="274"/>
      <c r="H50" s="110"/>
      <c r="I50" s="110"/>
      <c r="J50" s="237" t="b">
        <f>Age_Sex_BY[[#This Row],[Total Spending After Applying Truncation at the Member Level]]+Age_Sex_BY[[#This Row],[Total Dollars Excluded from Spending After Applying Truncation at the Member Level]]=Age_Sex_BY[[#This Row],[Total Spending before Truncation is Applied]]</f>
        <v>1</v>
      </c>
    </row>
    <row r="51" spans="1:10" x14ac:dyDescent="0.25">
      <c r="A51" s="101"/>
      <c r="B51" s="104"/>
      <c r="C51" s="105"/>
      <c r="D51" s="273"/>
      <c r="E51" s="182"/>
      <c r="F51" s="110"/>
      <c r="G51" s="274"/>
      <c r="H51" s="110"/>
      <c r="I51" s="110"/>
      <c r="J51" s="237" t="b">
        <f>Age_Sex_BY[[#This Row],[Total Spending After Applying Truncation at the Member Level]]+Age_Sex_BY[[#This Row],[Total Dollars Excluded from Spending After Applying Truncation at the Member Level]]=Age_Sex_BY[[#This Row],[Total Spending before Truncation is Applied]]</f>
        <v>1</v>
      </c>
    </row>
    <row r="52" spans="1:10" x14ac:dyDescent="0.25">
      <c r="A52" s="101"/>
      <c r="B52" s="104"/>
      <c r="C52" s="105"/>
      <c r="D52" s="273"/>
      <c r="E52" s="182"/>
      <c r="F52" s="110"/>
      <c r="G52" s="274"/>
      <c r="H52" s="110"/>
      <c r="I52" s="110"/>
      <c r="J52" s="237" t="b">
        <f>Age_Sex_BY[[#This Row],[Total Spending After Applying Truncation at the Member Level]]+Age_Sex_BY[[#This Row],[Total Dollars Excluded from Spending After Applying Truncation at the Member Level]]=Age_Sex_BY[[#This Row],[Total Spending before Truncation is Applied]]</f>
        <v>1</v>
      </c>
    </row>
    <row r="53" spans="1:10" x14ac:dyDescent="0.25">
      <c r="A53" s="101"/>
      <c r="B53" s="104"/>
      <c r="C53" s="105"/>
      <c r="D53" s="273"/>
      <c r="E53" s="182"/>
      <c r="F53" s="110"/>
      <c r="G53" s="274"/>
      <c r="H53" s="110"/>
      <c r="I53" s="110"/>
      <c r="J53" s="237" t="b">
        <f>Age_Sex_BY[[#This Row],[Total Spending After Applying Truncation at the Member Level]]+Age_Sex_BY[[#This Row],[Total Dollars Excluded from Spending After Applying Truncation at the Member Level]]=Age_Sex_BY[[#This Row],[Total Spending before Truncation is Applied]]</f>
        <v>1</v>
      </c>
    </row>
    <row r="54" spans="1:10" x14ac:dyDescent="0.25">
      <c r="A54" s="101"/>
      <c r="B54" s="104"/>
      <c r="C54" s="105"/>
      <c r="D54" s="273"/>
      <c r="E54" s="182"/>
      <c r="F54" s="110"/>
      <c r="G54" s="274"/>
      <c r="H54" s="110"/>
      <c r="I54" s="110"/>
      <c r="J54" s="237" t="b">
        <f>Age_Sex_BY[[#This Row],[Total Spending After Applying Truncation at the Member Level]]+Age_Sex_BY[[#This Row],[Total Dollars Excluded from Spending After Applying Truncation at the Member Level]]=Age_Sex_BY[[#This Row],[Total Spending before Truncation is Applied]]</f>
        <v>1</v>
      </c>
    </row>
    <row r="55" spans="1:10" x14ac:dyDescent="0.25">
      <c r="A55" s="101"/>
      <c r="B55" s="104"/>
      <c r="C55" s="105"/>
      <c r="D55" s="273"/>
      <c r="E55" s="182"/>
      <c r="F55" s="110"/>
      <c r="G55" s="274"/>
      <c r="H55" s="110"/>
      <c r="I55" s="110"/>
      <c r="J55" s="237" t="b">
        <f>Age_Sex_BY[[#This Row],[Total Spending After Applying Truncation at the Member Level]]+Age_Sex_BY[[#This Row],[Total Dollars Excluded from Spending After Applying Truncation at the Member Level]]=Age_Sex_BY[[#This Row],[Total Spending before Truncation is Applied]]</f>
        <v>1</v>
      </c>
    </row>
    <row r="56" spans="1:10" x14ac:dyDescent="0.25">
      <c r="A56" s="101"/>
      <c r="B56" s="104"/>
      <c r="C56" s="105"/>
      <c r="D56" s="273"/>
      <c r="E56" s="182"/>
      <c r="F56" s="110"/>
      <c r="G56" s="274"/>
      <c r="H56" s="110"/>
      <c r="I56" s="110"/>
      <c r="J56" s="237" t="b">
        <f>Age_Sex_BY[[#This Row],[Total Spending After Applying Truncation at the Member Level]]+Age_Sex_BY[[#This Row],[Total Dollars Excluded from Spending After Applying Truncation at the Member Level]]=Age_Sex_BY[[#This Row],[Total Spending before Truncation is Applied]]</f>
        <v>1</v>
      </c>
    </row>
    <row r="57" spans="1:10" x14ac:dyDescent="0.25">
      <c r="A57" s="101"/>
      <c r="B57" s="104"/>
      <c r="C57" s="105"/>
      <c r="D57" s="273"/>
      <c r="E57" s="182"/>
      <c r="F57" s="110"/>
      <c r="G57" s="274"/>
      <c r="H57" s="110"/>
      <c r="I57" s="110"/>
      <c r="J57" s="237" t="b">
        <f>Age_Sex_BY[[#This Row],[Total Spending After Applying Truncation at the Member Level]]+Age_Sex_BY[[#This Row],[Total Dollars Excluded from Spending After Applying Truncation at the Member Level]]=Age_Sex_BY[[#This Row],[Total Spending before Truncation is Applied]]</f>
        <v>1</v>
      </c>
    </row>
    <row r="58" spans="1:10" x14ac:dyDescent="0.25">
      <c r="A58" s="101"/>
      <c r="B58" s="104"/>
      <c r="C58" s="105"/>
      <c r="D58" s="273"/>
      <c r="E58" s="182"/>
      <c r="F58" s="110"/>
      <c r="G58" s="274"/>
      <c r="H58" s="110"/>
      <c r="I58" s="110"/>
      <c r="J58" s="237" t="b">
        <f>Age_Sex_BY[[#This Row],[Total Spending After Applying Truncation at the Member Level]]+Age_Sex_BY[[#This Row],[Total Dollars Excluded from Spending After Applying Truncation at the Member Level]]=Age_Sex_BY[[#This Row],[Total Spending before Truncation is Applied]]</f>
        <v>1</v>
      </c>
    </row>
    <row r="59" spans="1:10" x14ac:dyDescent="0.25">
      <c r="A59" s="101"/>
      <c r="B59" s="104"/>
      <c r="C59" s="105"/>
      <c r="D59" s="273"/>
      <c r="E59" s="182"/>
      <c r="F59" s="110"/>
      <c r="G59" s="274"/>
      <c r="H59" s="110"/>
      <c r="I59" s="110"/>
      <c r="J59" s="237" t="b">
        <f>Age_Sex_BY[[#This Row],[Total Spending After Applying Truncation at the Member Level]]+Age_Sex_BY[[#This Row],[Total Dollars Excluded from Spending After Applying Truncation at the Member Level]]=Age_Sex_BY[[#This Row],[Total Spending before Truncation is Applied]]</f>
        <v>1</v>
      </c>
    </row>
    <row r="60" spans="1:10" x14ac:dyDescent="0.25">
      <c r="A60" s="101"/>
      <c r="B60" s="104"/>
      <c r="C60" s="105"/>
      <c r="D60" s="273"/>
      <c r="E60" s="182"/>
      <c r="F60" s="110"/>
      <c r="G60" s="274"/>
      <c r="H60" s="110"/>
      <c r="I60" s="110"/>
      <c r="J60" s="237" t="b">
        <f>Age_Sex_BY[[#This Row],[Total Spending After Applying Truncation at the Member Level]]+Age_Sex_BY[[#This Row],[Total Dollars Excluded from Spending After Applying Truncation at the Member Level]]=Age_Sex_BY[[#This Row],[Total Spending before Truncation is Applied]]</f>
        <v>1</v>
      </c>
    </row>
    <row r="61" spans="1:10" x14ac:dyDescent="0.25">
      <c r="A61" s="101"/>
      <c r="B61" s="104"/>
      <c r="C61" s="105"/>
      <c r="D61" s="273"/>
      <c r="E61" s="182"/>
      <c r="F61" s="110"/>
      <c r="G61" s="274"/>
      <c r="H61" s="110"/>
      <c r="I61" s="110"/>
      <c r="J61" s="237" t="b">
        <f>Age_Sex_BY[[#This Row],[Total Spending After Applying Truncation at the Member Level]]+Age_Sex_BY[[#This Row],[Total Dollars Excluded from Spending After Applying Truncation at the Member Level]]=Age_Sex_BY[[#This Row],[Total Spending before Truncation is Applied]]</f>
        <v>1</v>
      </c>
    </row>
    <row r="62" spans="1:10" x14ac:dyDescent="0.25">
      <c r="A62" s="101"/>
      <c r="B62" s="104"/>
      <c r="C62" s="105"/>
      <c r="D62" s="273"/>
      <c r="E62" s="182"/>
      <c r="F62" s="110"/>
      <c r="G62" s="274"/>
      <c r="H62" s="110"/>
      <c r="I62" s="110"/>
      <c r="J62" s="237" t="b">
        <f>Age_Sex_BY[[#This Row],[Total Spending After Applying Truncation at the Member Level]]+Age_Sex_BY[[#This Row],[Total Dollars Excluded from Spending After Applying Truncation at the Member Level]]=Age_Sex_BY[[#This Row],[Total Spending before Truncation is Applied]]</f>
        <v>1</v>
      </c>
    </row>
    <row r="63" spans="1:10" x14ac:dyDescent="0.25">
      <c r="A63" s="101"/>
      <c r="B63" s="104"/>
      <c r="C63" s="105"/>
      <c r="D63" s="273"/>
      <c r="E63" s="182"/>
      <c r="F63" s="110"/>
      <c r="G63" s="274"/>
      <c r="H63" s="110"/>
      <c r="I63" s="110"/>
      <c r="J63" s="237" t="b">
        <f>Age_Sex_BY[[#This Row],[Total Spending After Applying Truncation at the Member Level]]+Age_Sex_BY[[#This Row],[Total Dollars Excluded from Spending After Applying Truncation at the Member Level]]=Age_Sex_BY[[#This Row],[Total Spending before Truncation is Applied]]</f>
        <v>1</v>
      </c>
    </row>
    <row r="64" spans="1:10" x14ac:dyDescent="0.25">
      <c r="A64" s="101"/>
      <c r="B64" s="104"/>
      <c r="C64" s="105"/>
      <c r="D64" s="273"/>
      <c r="E64" s="182"/>
      <c r="F64" s="110"/>
      <c r="G64" s="274"/>
      <c r="H64" s="110"/>
      <c r="I64" s="110"/>
      <c r="J64" s="237" t="b">
        <f>Age_Sex_BY[[#This Row],[Total Spending After Applying Truncation at the Member Level]]+Age_Sex_BY[[#This Row],[Total Dollars Excluded from Spending After Applying Truncation at the Member Level]]=Age_Sex_BY[[#This Row],[Total Spending before Truncation is Applied]]</f>
        <v>1</v>
      </c>
    </row>
    <row r="65" spans="1:10" x14ac:dyDescent="0.25">
      <c r="A65" s="101"/>
      <c r="B65" s="104"/>
      <c r="C65" s="105"/>
      <c r="D65" s="273"/>
      <c r="E65" s="182"/>
      <c r="F65" s="110"/>
      <c r="G65" s="274"/>
      <c r="H65" s="110"/>
      <c r="I65" s="110"/>
      <c r="J65" s="237" t="b">
        <f>Age_Sex_BY[[#This Row],[Total Spending After Applying Truncation at the Member Level]]+Age_Sex_BY[[#This Row],[Total Dollars Excluded from Spending After Applying Truncation at the Member Level]]=Age_Sex_BY[[#This Row],[Total Spending before Truncation is Applied]]</f>
        <v>1</v>
      </c>
    </row>
    <row r="66" spans="1:10" x14ac:dyDescent="0.25">
      <c r="A66" s="101"/>
      <c r="B66" s="104"/>
      <c r="C66" s="105"/>
      <c r="D66" s="273"/>
      <c r="E66" s="182"/>
      <c r="F66" s="110"/>
      <c r="G66" s="274"/>
      <c r="H66" s="110"/>
      <c r="I66" s="110"/>
      <c r="J66" s="237" t="b">
        <f>Age_Sex_BY[[#This Row],[Total Spending After Applying Truncation at the Member Level]]+Age_Sex_BY[[#This Row],[Total Dollars Excluded from Spending After Applying Truncation at the Member Level]]=Age_Sex_BY[[#This Row],[Total Spending before Truncation is Applied]]</f>
        <v>1</v>
      </c>
    </row>
    <row r="67" spans="1:10" x14ac:dyDescent="0.25">
      <c r="A67" s="101"/>
      <c r="B67" s="104"/>
      <c r="C67" s="105"/>
      <c r="D67" s="273"/>
      <c r="E67" s="182"/>
      <c r="F67" s="110"/>
      <c r="G67" s="274"/>
      <c r="H67" s="110"/>
      <c r="I67" s="110"/>
      <c r="J67" s="237" t="b">
        <f>Age_Sex_BY[[#This Row],[Total Spending After Applying Truncation at the Member Level]]+Age_Sex_BY[[#This Row],[Total Dollars Excluded from Spending After Applying Truncation at the Member Level]]=Age_Sex_BY[[#This Row],[Total Spending before Truncation is Applied]]</f>
        <v>1</v>
      </c>
    </row>
    <row r="68" spans="1:10" x14ac:dyDescent="0.25">
      <c r="A68" s="101"/>
      <c r="B68" s="104"/>
      <c r="C68" s="105"/>
      <c r="D68" s="273"/>
      <c r="E68" s="182"/>
      <c r="F68" s="110"/>
      <c r="G68" s="274"/>
      <c r="H68" s="110"/>
      <c r="I68" s="110"/>
      <c r="J68" s="237" t="b">
        <f>Age_Sex_BY[[#This Row],[Total Spending After Applying Truncation at the Member Level]]+Age_Sex_BY[[#This Row],[Total Dollars Excluded from Spending After Applying Truncation at the Member Level]]=Age_Sex_BY[[#This Row],[Total Spending before Truncation is Applied]]</f>
        <v>1</v>
      </c>
    </row>
    <row r="69" spans="1:10" x14ac:dyDescent="0.25">
      <c r="A69" s="101"/>
      <c r="B69" s="104"/>
      <c r="C69" s="105"/>
      <c r="D69" s="273"/>
      <c r="E69" s="182"/>
      <c r="F69" s="110"/>
      <c r="G69" s="274"/>
      <c r="H69" s="110"/>
      <c r="I69" s="110"/>
      <c r="J69" s="237" t="b">
        <f>Age_Sex_BY[[#This Row],[Total Spending After Applying Truncation at the Member Level]]+Age_Sex_BY[[#This Row],[Total Dollars Excluded from Spending After Applying Truncation at the Member Level]]=Age_Sex_BY[[#This Row],[Total Spending before Truncation is Applied]]</f>
        <v>1</v>
      </c>
    </row>
    <row r="70" spans="1:10" x14ac:dyDescent="0.25">
      <c r="A70" s="101"/>
      <c r="B70" s="104"/>
      <c r="C70" s="105"/>
      <c r="D70" s="273"/>
      <c r="E70" s="182"/>
      <c r="F70" s="110"/>
      <c r="G70" s="274"/>
      <c r="H70" s="110"/>
      <c r="I70" s="110"/>
      <c r="J70" s="237" t="b">
        <f>Age_Sex_BY[[#This Row],[Total Spending After Applying Truncation at the Member Level]]+Age_Sex_BY[[#This Row],[Total Dollars Excluded from Spending After Applying Truncation at the Member Level]]=Age_Sex_BY[[#This Row],[Total Spending before Truncation is Applied]]</f>
        <v>1</v>
      </c>
    </row>
    <row r="71" spans="1:10" x14ac:dyDescent="0.25">
      <c r="A71" s="101"/>
      <c r="B71" s="104"/>
      <c r="C71" s="105"/>
      <c r="D71" s="273"/>
      <c r="E71" s="182"/>
      <c r="F71" s="110"/>
      <c r="G71" s="274"/>
      <c r="H71" s="110"/>
      <c r="I71" s="110"/>
      <c r="J71" s="237" t="b">
        <f>Age_Sex_BY[[#This Row],[Total Spending After Applying Truncation at the Member Level]]+Age_Sex_BY[[#This Row],[Total Dollars Excluded from Spending After Applying Truncation at the Member Level]]=Age_Sex_BY[[#This Row],[Total Spending before Truncation is Applied]]</f>
        <v>1</v>
      </c>
    </row>
    <row r="72" spans="1:10" x14ac:dyDescent="0.25">
      <c r="A72" s="101"/>
      <c r="B72" s="104"/>
      <c r="C72" s="105"/>
      <c r="D72" s="273"/>
      <c r="E72" s="182"/>
      <c r="F72" s="110"/>
      <c r="G72" s="274"/>
      <c r="H72" s="110"/>
      <c r="I72" s="110"/>
      <c r="J72" s="237" t="b">
        <f>Age_Sex_BY[[#This Row],[Total Spending After Applying Truncation at the Member Level]]+Age_Sex_BY[[#This Row],[Total Dollars Excluded from Spending After Applying Truncation at the Member Level]]=Age_Sex_BY[[#This Row],[Total Spending before Truncation is Applied]]</f>
        <v>1</v>
      </c>
    </row>
    <row r="73" spans="1:10" x14ac:dyDescent="0.25">
      <c r="A73" s="101"/>
      <c r="B73" s="104"/>
      <c r="C73" s="105"/>
      <c r="D73" s="273"/>
      <c r="E73" s="182"/>
      <c r="F73" s="110"/>
      <c r="G73" s="274"/>
      <c r="H73" s="110"/>
      <c r="I73" s="110"/>
      <c r="J73" s="237" t="b">
        <f>Age_Sex_BY[[#This Row],[Total Spending After Applying Truncation at the Member Level]]+Age_Sex_BY[[#This Row],[Total Dollars Excluded from Spending After Applying Truncation at the Member Level]]=Age_Sex_BY[[#This Row],[Total Spending before Truncation is Applied]]</f>
        <v>1</v>
      </c>
    </row>
    <row r="74" spans="1:10" x14ac:dyDescent="0.25">
      <c r="A74" s="101"/>
      <c r="B74" s="104"/>
      <c r="C74" s="105"/>
      <c r="D74" s="273"/>
      <c r="E74" s="182"/>
      <c r="F74" s="110"/>
      <c r="G74" s="274"/>
      <c r="H74" s="110"/>
      <c r="I74" s="110"/>
      <c r="J74" s="237" t="b">
        <f>Age_Sex_BY[[#This Row],[Total Spending After Applying Truncation at the Member Level]]+Age_Sex_BY[[#This Row],[Total Dollars Excluded from Spending After Applying Truncation at the Member Level]]=Age_Sex_BY[[#This Row],[Total Spending before Truncation is Applied]]</f>
        <v>1</v>
      </c>
    </row>
    <row r="75" spans="1:10" x14ac:dyDescent="0.25">
      <c r="A75" s="101"/>
      <c r="B75" s="104"/>
      <c r="C75" s="105"/>
      <c r="D75" s="273"/>
      <c r="E75" s="182"/>
      <c r="F75" s="110"/>
      <c r="G75" s="274"/>
      <c r="H75" s="110"/>
      <c r="I75" s="110"/>
      <c r="J75" s="237" t="b">
        <f>Age_Sex_BY[[#This Row],[Total Spending After Applying Truncation at the Member Level]]+Age_Sex_BY[[#This Row],[Total Dollars Excluded from Spending After Applying Truncation at the Member Level]]=Age_Sex_BY[[#This Row],[Total Spending before Truncation is Applied]]</f>
        <v>1</v>
      </c>
    </row>
    <row r="76" spans="1:10" x14ac:dyDescent="0.25">
      <c r="A76" s="101"/>
      <c r="B76" s="104"/>
      <c r="C76" s="105"/>
      <c r="D76" s="273"/>
      <c r="E76" s="182"/>
      <c r="F76" s="110"/>
      <c r="G76" s="274"/>
      <c r="H76" s="110"/>
      <c r="I76" s="110"/>
      <c r="J76" s="237" t="b">
        <f>Age_Sex_BY[[#This Row],[Total Spending After Applying Truncation at the Member Level]]+Age_Sex_BY[[#This Row],[Total Dollars Excluded from Spending After Applying Truncation at the Member Level]]=Age_Sex_BY[[#This Row],[Total Spending before Truncation is Applied]]</f>
        <v>1</v>
      </c>
    </row>
    <row r="77" spans="1:10" x14ac:dyDescent="0.25">
      <c r="A77" s="101"/>
      <c r="B77" s="104"/>
      <c r="C77" s="105"/>
      <c r="D77" s="273"/>
      <c r="E77" s="182"/>
      <c r="F77" s="110"/>
      <c r="G77" s="274"/>
      <c r="H77" s="110"/>
      <c r="I77" s="110"/>
      <c r="J77" s="237" t="b">
        <f>Age_Sex_BY[[#This Row],[Total Spending After Applying Truncation at the Member Level]]+Age_Sex_BY[[#This Row],[Total Dollars Excluded from Spending After Applying Truncation at the Member Level]]=Age_Sex_BY[[#This Row],[Total Spending before Truncation is Applied]]</f>
        <v>1</v>
      </c>
    </row>
    <row r="78" spans="1:10" x14ac:dyDescent="0.25">
      <c r="A78" s="101"/>
      <c r="B78" s="104"/>
      <c r="C78" s="105"/>
      <c r="D78" s="273"/>
      <c r="E78" s="182"/>
      <c r="F78" s="110"/>
      <c r="G78" s="274"/>
      <c r="H78" s="110"/>
      <c r="I78" s="110"/>
      <c r="J78" s="237" t="b">
        <f>Age_Sex_BY[[#This Row],[Total Spending After Applying Truncation at the Member Level]]+Age_Sex_BY[[#This Row],[Total Dollars Excluded from Spending After Applying Truncation at the Member Level]]=Age_Sex_BY[[#This Row],[Total Spending before Truncation is Applied]]</f>
        <v>1</v>
      </c>
    </row>
    <row r="79" spans="1:10" x14ac:dyDescent="0.25">
      <c r="A79" s="101"/>
      <c r="B79" s="104"/>
      <c r="C79" s="105"/>
      <c r="D79" s="273"/>
      <c r="E79" s="182"/>
      <c r="F79" s="110"/>
      <c r="G79" s="274"/>
      <c r="H79" s="110"/>
      <c r="I79" s="110"/>
      <c r="J79" s="237" t="b">
        <f>Age_Sex_BY[[#This Row],[Total Spending After Applying Truncation at the Member Level]]+Age_Sex_BY[[#This Row],[Total Dollars Excluded from Spending After Applying Truncation at the Member Level]]=Age_Sex_BY[[#This Row],[Total Spending before Truncation is Applied]]</f>
        <v>1</v>
      </c>
    </row>
    <row r="80" spans="1:10" x14ac:dyDescent="0.25">
      <c r="A80" s="101"/>
      <c r="B80" s="104"/>
      <c r="C80" s="105"/>
      <c r="D80" s="273"/>
      <c r="E80" s="182"/>
      <c r="F80" s="110"/>
      <c r="G80" s="274"/>
      <c r="H80" s="110"/>
      <c r="I80" s="110"/>
      <c r="J80" s="237" t="b">
        <f>Age_Sex_BY[[#This Row],[Total Spending After Applying Truncation at the Member Level]]+Age_Sex_BY[[#This Row],[Total Dollars Excluded from Spending After Applying Truncation at the Member Level]]=Age_Sex_BY[[#This Row],[Total Spending before Truncation is Applied]]</f>
        <v>1</v>
      </c>
    </row>
    <row r="81" spans="1:10" x14ac:dyDescent="0.25">
      <c r="A81" s="101"/>
      <c r="B81" s="104"/>
      <c r="C81" s="105"/>
      <c r="D81" s="273"/>
      <c r="E81" s="182"/>
      <c r="F81" s="110"/>
      <c r="G81" s="274"/>
      <c r="H81" s="110"/>
      <c r="I81" s="110"/>
      <c r="J81" s="237" t="b">
        <f>Age_Sex_BY[[#This Row],[Total Spending After Applying Truncation at the Member Level]]+Age_Sex_BY[[#This Row],[Total Dollars Excluded from Spending After Applying Truncation at the Member Level]]=Age_Sex_BY[[#This Row],[Total Spending before Truncation is Applied]]</f>
        <v>1</v>
      </c>
    </row>
    <row r="82" spans="1:10" x14ac:dyDescent="0.25">
      <c r="A82" s="101"/>
      <c r="B82" s="104"/>
      <c r="C82" s="105"/>
      <c r="D82" s="273"/>
      <c r="E82" s="182"/>
      <c r="F82" s="110"/>
      <c r="G82" s="274"/>
      <c r="H82" s="110"/>
      <c r="I82" s="110"/>
      <c r="J82" s="237" t="b">
        <f>Age_Sex_BY[[#This Row],[Total Spending After Applying Truncation at the Member Level]]+Age_Sex_BY[[#This Row],[Total Dollars Excluded from Spending After Applying Truncation at the Member Level]]=Age_Sex_BY[[#This Row],[Total Spending before Truncation is Applied]]</f>
        <v>1</v>
      </c>
    </row>
    <row r="83" spans="1:10" x14ac:dyDescent="0.25">
      <c r="A83" s="101"/>
      <c r="B83" s="104"/>
      <c r="C83" s="105"/>
      <c r="D83" s="273"/>
      <c r="E83" s="182"/>
      <c r="F83" s="110"/>
      <c r="G83" s="274"/>
      <c r="H83" s="110"/>
      <c r="I83" s="110"/>
      <c r="J83" s="237" t="b">
        <f>Age_Sex_BY[[#This Row],[Total Spending After Applying Truncation at the Member Level]]+Age_Sex_BY[[#This Row],[Total Dollars Excluded from Spending After Applying Truncation at the Member Level]]=Age_Sex_BY[[#This Row],[Total Spending before Truncation is Applied]]</f>
        <v>1</v>
      </c>
    </row>
    <row r="84" spans="1:10" x14ac:dyDescent="0.25">
      <c r="A84" s="101"/>
      <c r="B84" s="104"/>
      <c r="C84" s="105"/>
      <c r="D84" s="273"/>
      <c r="E84" s="182"/>
      <c r="F84" s="110"/>
      <c r="G84" s="274"/>
      <c r="H84" s="110"/>
      <c r="I84" s="110"/>
      <c r="J84" s="237" t="b">
        <f>Age_Sex_BY[[#This Row],[Total Spending After Applying Truncation at the Member Level]]+Age_Sex_BY[[#This Row],[Total Dollars Excluded from Spending After Applying Truncation at the Member Level]]=Age_Sex_BY[[#This Row],[Total Spending before Truncation is Applied]]</f>
        <v>1</v>
      </c>
    </row>
    <row r="85" spans="1:10" x14ac:dyDescent="0.25">
      <c r="A85" s="101"/>
      <c r="B85" s="104"/>
      <c r="C85" s="105"/>
      <c r="D85" s="273"/>
      <c r="E85" s="182"/>
      <c r="F85" s="110"/>
      <c r="G85" s="274"/>
      <c r="H85" s="110"/>
      <c r="I85" s="110"/>
      <c r="J85" s="237" t="b">
        <f>Age_Sex_BY[[#This Row],[Total Spending After Applying Truncation at the Member Level]]+Age_Sex_BY[[#This Row],[Total Dollars Excluded from Spending After Applying Truncation at the Member Level]]=Age_Sex_BY[[#This Row],[Total Spending before Truncation is Applied]]</f>
        <v>1</v>
      </c>
    </row>
    <row r="86" spans="1:10" x14ac:dyDescent="0.25">
      <c r="A86" s="101"/>
      <c r="B86" s="104"/>
      <c r="C86" s="105"/>
      <c r="D86" s="273"/>
      <c r="E86" s="182"/>
      <c r="F86" s="110"/>
      <c r="G86" s="274"/>
      <c r="H86" s="110"/>
      <c r="I86" s="110"/>
      <c r="J86" s="237" t="b">
        <f>Age_Sex_BY[[#This Row],[Total Spending After Applying Truncation at the Member Level]]+Age_Sex_BY[[#This Row],[Total Dollars Excluded from Spending After Applying Truncation at the Member Level]]=Age_Sex_BY[[#This Row],[Total Spending before Truncation is Applied]]</f>
        <v>1</v>
      </c>
    </row>
    <row r="87" spans="1:10" x14ac:dyDescent="0.25">
      <c r="A87" s="101"/>
      <c r="B87" s="104"/>
      <c r="C87" s="105"/>
      <c r="D87" s="273"/>
      <c r="E87" s="182"/>
      <c r="F87" s="110"/>
      <c r="G87" s="274"/>
      <c r="H87" s="110"/>
      <c r="I87" s="110"/>
      <c r="J87" s="237" t="b">
        <f>Age_Sex_BY[[#This Row],[Total Spending After Applying Truncation at the Member Level]]+Age_Sex_BY[[#This Row],[Total Dollars Excluded from Spending After Applying Truncation at the Member Level]]=Age_Sex_BY[[#This Row],[Total Spending before Truncation is Applied]]</f>
        <v>1</v>
      </c>
    </row>
    <row r="88" spans="1:10" x14ac:dyDescent="0.25">
      <c r="A88" s="101"/>
      <c r="B88" s="104"/>
      <c r="C88" s="105"/>
      <c r="D88" s="273"/>
      <c r="E88" s="182"/>
      <c r="F88" s="110"/>
      <c r="G88" s="274"/>
      <c r="H88" s="110"/>
      <c r="I88" s="110"/>
      <c r="J88" s="237" t="b">
        <f>Age_Sex_BY[[#This Row],[Total Spending After Applying Truncation at the Member Level]]+Age_Sex_BY[[#This Row],[Total Dollars Excluded from Spending After Applying Truncation at the Member Level]]=Age_Sex_BY[[#This Row],[Total Spending before Truncation is Applied]]</f>
        <v>1</v>
      </c>
    </row>
    <row r="89" spans="1:10" x14ac:dyDescent="0.25">
      <c r="A89" s="101"/>
      <c r="B89" s="104"/>
      <c r="C89" s="105"/>
      <c r="D89" s="273"/>
      <c r="E89" s="182"/>
      <c r="F89" s="110"/>
      <c r="G89" s="274"/>
      <c r="H89" s="110"/>
      <c r="I89" s="110"/>
      <c r="J89" s="237" t="b">
        <f>Age_Sex_BY[[#This Row],[Total Spending After Applying Truncation at the Member Level]]+Age_Sex_BY[[#This Row],[Total Dollars Excluded from Spending After Applying Truncation at the Member Level]]=Age_Sex_BY[[#This Row],[Total Spending before Truncation is Applied]]</f>
        <v>1</v>
      </c>
    </row>
    <row r="90" spans="1:10" x14ac:dyDescent="0.25">
      <c r="A90" s="101"/>
      <c r="B90" s="104"/>
      <c r="C90" s="105"/>
      <c r="D90" s="273"/>
      <c r="E90" s="182"/>
      <c r="F90" s="110"/>
      <c r="G90" s="274"/>
      <c r="H90" s="110"/>
      <c r="I90" s="110"/>
      <c r="J90" s="237" t="b">
        <f>Age_Sex_BY[[#This Row],[Total Spending After Applying Truncation at the Member Level]]+Age_Sex_BY[[#This Row],[Total Dollars Excluded from Spending After Applying Truncation at the Member Level]]=Age_Sex_BY[[#This Row],[Total Spending before Truncation is Applied]]</f>
        <v>1</v>
      </c>
    </row>
    <row r="91" spans="1:10" x14ac:dyDescent="0.25">
      <c r="A91" s="101"/>
      <c r="B91" s="104"/>
      <c r="C91" s="105"/>
      <c r="D91" s="273"/>
      <c r="E91" s="182"/>
      <c r="F91" s="110"/>
      <c r="G91" s="274"/>
      <c r="H91" s="110"/>
      <c r="I91" s="110"/>
      <c r="J91" s="237" t="b">
        <f>Age_Sex_BY[[#This Row],[Total Spending After Applying Truncation at the Member Level]]+Age_Sex_BY[[#This Row],[Total Dollars Excluded from Spending After Applying Truncation at the Member Level]]=Age_Sex_BY[[#This Row],[Total Spending before Truncation is Applied]]</f>
        <v>1</v>
      </c>
    </row>
    <row r="92" spans="1:10" x14ac:dyDescent="0.25">
      <c r="A92" s="101"/>
      <c r="B92" s="104"/>
      <c r="C92" s="105"/>
      <c r="D92" s="273"/>
      <c r="E92" s="182"/>
      <c r="F92" s="110"/>
      <c r="G92" s="274"/>
      <c r="H92" s="110"/>
      <c r="I92" s="110"/>
      <c r="J92" s="237" t="b">
        <f>Age_Sex_BY[[#This Row],[Total Spending After Applying Truncation at the Member Level]]+Age_Sex_BY[[#This Row],[Total Dollars Excluded from Spending After Applying Truncation at the Member Level]]=Age_Sex_BY[[#This Row],[Total Spending before Truncation is Applied]]</f>
        <v>1</v>
      </c>
    </row>
    <row r="93" spans="1:10" x14ac:dyDescent="0.25">
      <c r="A93" s="101"/>
      <c r="B93" s="104"/>
      <c r="C93" s="105"/>
      <c r="D93" s="273"/>
      <c r="E93" s="182"/>
      <c r="F93" s="110"/>
      <c r="G93" s="274"/>
      <c r="H93" s="110"/>
      <c r="I93" s="110"/>
      <c r="J93" s="237" t="b">
        <f>Age_Sex_BY[[#This Row],[Total Spending After Applying Truncation at the Member Level]]+Age_Sex_BY[[#This Row],[Total Dollars Excluded from Spending After Applying Truncation at the Member Level]]=Age_Sex_BY[[#This Row],[Total Spending before Truncation is Applied]]</f>
        <v>1</v>
      </c>
    </row>
    <row r="94" spans="1:10" x14ac:dyDescent="0.25">
      <c r="A94" s="101"/>
      <c r="B94" s="104"/>
      <c r="C94" s="105"/>
      <c r="D94" s="273"/>
      <c r="E94" s="182"/>
      <c r="F94" s="110"/>
      <c r="G94" s="274"/>
      <c r="H94" s="110"/>
      <c r="I94" s="110"/>
      <c r="J94" s="237" t="b">
        <f>Age_Sex_BY[[#This Row],[Total Spending After Applying Truncation at the Member Level]]+Age_Sex_BY[[#This Row],[Total Dollars Excluded from Spending After Applying Truncation at the Member Level]]=Age_Sex_BY[[#This Row],[Total Spending before Truncation is Applied]]</f>
        <v>1</v>
      </c>
    </row>
    <row r="95" spans="1:10" x14ac:dyDescent="0.25">
      <c r="A95" s="101"/>
      <c r="B95" s="104"/>
      <c r="C95" s="105"/>
      <c r="D95" s="273"/>
      <c r="E95" s="182"/>
      <c r="F95" s="110"/>
      <c r="G95" s="274"/>
      <c r="H95" s="110"/>
      <c r="I95" s="110"/>
      <c r="J95" s="237" t="b">
        <f>Age_Sex_BY[[#This Row],[Total Spending After Applying Truncation at the Member Level]]+Age_Sex_BY[[#This Row],[Total Dollars Excluded from Spending After Applying Truncation at the Member Level]]=Age_Sex_BY[[#This Row],[Total Spending before Truncation is Applied]]</f>
        <v>1</v>
      </c>
    </row>
    <row r="96" spans="1:10" x14ac:dyDescent="0.25">
      <c r="A96" s="101"/>
      <c r="B96" s="104"/>
      <c r="C96" s="105"/>
      <c r="D96" s="273"/>
      <c r="E96" s="182"/>
      <c r="F96" s="110"/>
      <c r="G96" s="274"/>
      <c r="H96" s="110"/>
      <c r="I96" s="110"/>
      <c r="J96" s="237" t="b">
        <f>Age_Sex_BY[[#This Row],[Total Spending After Applying Truncation at the Member Level]]+Age_Sex_BY[[#This Row],[Total Dollars Excluded from Spending After Applying Truncation at the Member Level]]=Age_Sex_BY[[#This Row],[Total Spending before Truncation is Applied]]</f>
        <v>1</v>
      </c>
    </row>
    <row r="97" spans="1:10" x14ac:dyDescent="0.25">
      <c r="A97" s="101"/>
      <c r="B97" s="104"/>
      <c r="C97" s="105"/>
      <c r="D97" s="273"/>
      <c r="E97" s="182"/>
      <c r="F97" s="110"/>
      <c r="G97" s="274"/>
      <c r="H97" s="110"/>
      <c r="I97" s="110"/>
      <c r="J97" s="237" t="b">
        <f>Age_Sex_BY[[#This Row],[Total Spending After Applying Truncation at the Member Level]]+Age_Sex_BY[[#This Row],[Total Dollars Excluded from Spending After Applying Truncation at the Member Level]]=Age_Sex_BY[[#This Row],[Total Spending before Truncation is Applied]]</f>
        <v>1</v>
      </c>
    </row>
    <row r="98" spans="1:10" x14ac:dyDescent="0.25">
      <c r="A98" s="101"/>
      <c r="B98" s="104"/>
      <c r="C98" s="105"/>
      <c r="D98" s="273"/>
      <c r="E98" s="182"/>
      <c r="F98" s="110"/>
      <c r="G98" s="274"/>
      <c r="H98" s="110"/>
      <c r="I98" s="110"/>
      <c r="J98" s="237" t="b">
        <f>Age_Sex_BY[[#This Row],[Total Spending After Applying Truncation at the Member Level]]+Age_Sex_BY[[#This Row],[Total Dollars Excluded from Spending After Applying Truncation at the Member Level]]=Age_Sex_BY[[#This Row],[Total Spending before Truncation is Applied]]</f>
        <v>1</v>
      </c>
    </row>
    <row r="99" spans="1:10" x14ac:dyDescent="0.25">
      <c r="A99" s="101"/>
      <c r="B99" s="104"/>
      <c r="C99" s="105"/>
      <c r="D99" s="273"/>
      <c r="E99" s="182"/>
      <c r="F99" s="110"/>
      <c r="G99" s="274"/>
      <c r="H99" s="110"/>
      <c r="I99" s="110"/>
      <c r="J99" s="237" t="b">
        <f>Age_Sex_BY[[#This Row],[Total Spending After Applying Truncation at the Member Level]]+Age_Sex_BY[[#This Row],[Total Dollars Excluded from Spending After Applying Truncation at the Member Level]]=Age_Sex_BY[[#This Row],[Total Spending before Truncation is Applied]]</f>
        <v>1</v>
      </c>
    </row>
    <row r="100" spans="1:10" x14ac:dyDescent="0.25">
      <c r="A100" s="101"/>
      <c r="B100" s="104"/>
      <c r="C100" s="105"/>
      <c r="D100" s="273"/>
      <c r="E100" s="182"/>
      <c r="F100" s="110"/>
      <c r="G100" s="274"/>
      <c r="H100" s="110"/>
      <c r="I100" s="110"/>
      <c r="J100" s="237" t="b">
        <f>Age_Sex_BY[[#This Row],[Total Spending After Applying Truncation at the Member Level]]+Age_Sex_BY[[#This Row],[Total Dollars Excluded from Spending After Applying Truncation at the Member Level]]=Age_Sex_BY[[#This Row],[Total Spending before Truncation is Applied]]</f>
        <v>1</v>
      </c>
    </row>
    <row r="101" spans="1:10" x14ac:dyDescent="0.25">
      <c r="A101" s="101"/>
      <c r="B101" s="104"/>
      <c r="C101" s="105"/>
      <c r="D101" s="273"/>
      <c r="E101" s="182"/>
      <c r="F101" s="110"/>
      <c r="G101" s="274"/>
      <c r="H101" s="110"/>
      <c r="I101" s="110"/>
      <c r="J101" s="237" t="b">
        <f>Age_Sex_BY[[#This Row],[Total Spending After Applying Truncation at the Member Level]]+Age_Sex_BY[[#This Row],[Total Dollars Excluded from Spending After Applying Truncation at the Member Level]]=Age_Sex_BY[[#This Row],[Total Spending before Truncation is Applied]]</f>
        <v>1</v>
      </c>
    </row>
    <row r="102" spans="1:10" x14ac:dyDescent="0.25">
      <c r="A102" s="101"/>
      <c r="B102" s="104"/>
      <c r="C102" s="105"/>
      <c r="D102" s="273"/>
      <c r="E102" s="182"/>
      <c r="F102" s="110"/>
      <c r="G102" s="274"/>
      <c r="H102" s="110"/>
      <c r="I102" s="110"/>
      <c r="J102" s="237" t="b">
        <f>Age_Sex_BY[[#This Row],[Total Spending After Applying Truncation at the Member Level]]+Age_Sex_BY[[#This Row],[Total Dollars Excluded from Spending After Applying Truncation at the Member Level]]=Age_Sex_BY[[#This Row],[Total Spending before Truncation is Applied]]</f>
        <v>1</v>
      </c>
    </row>
    <row r="103" spans="1:10" x14ac:dyDescent="0.25">
      <c r="A103" s="101"/>
      <c r="B103" s="104"/>
      <c r="C103" s="105"/>
      <c r="D103" s="273"/>
      <c r="E103" s="182"/>
      <c r="F103" s="110"/>
      <c r="G103" s="274"/>
      <c r="H103" s="110"/>
      <c r="I103" s="110"/>
      <c r="J103" s="237" t="b">
        <f>Age_Sex_BY[[#This Row],[Total Spending After Applying Truncation at the Member Level]]+Age_Sex_BY[[#This Row],[Total Dollars Excluded from Spending After Applying Truncation at the Member Level]]=Age_Sex_BY[[#This Row],[Total Spending before Truncation is Applied]]</f>
        <v>1</v>
      </c>
    </row>
    <row r="104" spans="1:10" x14ac:dyDescent="0.25">
      <c r="A104" s="101"/>
      <c r="B104" s="104"/>
      <c r="C104" s="105"/>
      <c r="D104" s="273"/>
      <c r="E104" s="182"/>
      <c r="F104" s="110"/>
      <c r="G104" s="274"/>
      <c r="H104" s="110"/>
      <c r="I104" s="110"/>
      <c r="J104" s="237" t="b">
        <f>Age_Sex_BY[[#This Row],[Total Spending After Applying Truncation at the Member Level]]+Age_Sex_BY[[#This Row],[Total Dollars Excluded from Spending After Applying Truncation at the Member Level]]=Age_Sex_BY[[#This Row],[Total Spending before Truncation is Applied]]</f>
        <v>1</v>
      </c>
    </row>
    <row r="105" spans="1:10" x14ac:dyDescent="0.25">
      <c r="A105" s="101"/>
      <c r="B105" s="104"/>
      <c r="C105" s="105"/>
      <c r="D105" s="273"/>
      <c r="E105" s="182"/>
      <c r="F105" s="110"/>
      <c r="G105" s="274"/>
      <c r="H105" s="110"/>
      <c r="I105" s="110"/>
      <c r="J105" s="237" t="b">
        <f>Age_Sex_BY[[#This Row],[Total Spending After Applying Truncation at the Member Level]]+Age_Sex_BY[[#This Row],[Total Dollars Excluded from Spending After Applying Truncation at the Member Level]]=Age_Sex_BY[[#This Row],[Total Spending before Truncation is Applied]]</f>
        <v>1</v>
      </c>
    </row>
    <row r="106" spans="1:10" x14ac:dyDescent="0.25">
      <c r="A106" s="101"/>
      <c r="B106" s="104"/>
      <c r="C106" s="105"/>
      <c r="D106" s="273"/>
      <c r="E106" s="182"/>
      <c r="F106" s="110"/>
      <c r="G106" s="274"/>
      <c r="H106" s="110"/>
      <c r="I106" s="110"/>
      <c r="J106" s="237" t="b">
        <f>Age_Sex_BY[[#This Row],[Total Spending After Applying Truncation at the Member Level]]+Age_Sex_BY[[#This Row],[Total Dollars Excluded from Spending After Applying Truncation at the Member Level]]=Age_Sex_BY[[#This Row],[Total Spending before Truncation is Applied]]</f>
        <v>1</v>
      </c>
    </row>
    <row r="107" spans="1:10" x14ac:dyDescent="0.25">
      <c r="A107" s="101"/>
      <c r="B107" s="104"/>
      <c r="C107" s="105"/>
      <c r="D107" s="273"/>
      <c r="E107" s="182"/>
      <c r="F107" s="110"/>
      <c r="G107" s="274"/>
      <c r="H107" s="110"/>
      <c r="I107" s="110"/>
      <c r="J107" s="237" t="b">
        <f>Age_Sex_BY[[#This Row],[Total Spending After Applying Truncation at the Member Level]]+Age_Sex_BY[[#This Row],[Total Dollars Excluded from Spending After Applying Truncation at the Member Level]]=Age_Sex_BY[[#This Row],[Total Spending before Truncation is Applied]]</f>
        <v>1</v>
      </c>
    </row>
    <row r="108" spans="1:10" x14ac:dyDescent="0.25">
      <c r="A108" s="101"/>
      <c r="B108" s="104"/>
      <c r="C108" s="105"/>
      <c r="D108" s="273"/>
      <c r="E108" s="182"/>
      <c r="F108" s="110"/>
      <c r="G108" s="274"/>
      <c r="H108" s="110"/>
      <c r="I108" s="110"/>
      <c r="J108" s="237" t="b">
        <f>Age_Sex_BY[[#This Row],[Total Spending After Applying Truncation at the Member Level]]+Age_Sex_BY[[#This Row],[Total Dollars Excluded from Spending After Applying Truncation at the Member Level]]=Age_Sex_BY[[#This Row],[Total Spending before Truncation is Applied]]</f>
        <v>1</v>
      </c>
    </row>
    <row r="109" spans="1:10" x14ac:dyDescent="0.25">
      <c r="A109" s="101"/>
      <c r="B109" s="104"/>
      <c r="C109" s="105"/>
      <c r="D109" s="273"/>
      <c r="E109" s="182"/>
      <c r="F109" s="110"/>
      <c r="G109" s="274"/>
      <c r="H109" s="110"/>
      <c r="I109" s="110"/>
      <c r="J109" s="237" t="b">
        <f>Age_Sex_BY[[#This Row],[Total Spending After Applying Truncation at the Member Level]]+Age_Sex_BY[[#This Row],[Total Dollars Excluded from Spending After Applying Truncation at the Member Level]]=Age_Sex_BY[[#This Row],[Total Spending before Truncation is Applied]]</f>
        <v>1</v>
      </c>
    </row>
    <row r="110" spans="1:10" x14ac:dyDescent="0.25">
      <c r="A110" s="101"/>
      <c r="B110" s="104"/>
      <c r="C110" s="105"/>
      <c r="D110" s="273"/>
      <c r="E110" s="182"/>
      <c r="F110" s="110"/>
      <c r="G110" s="274"/>
      <c r="H110" s="110"/>
      <c r="I110" s="110"/>
      <c r="J110" s="237" t="b">
        <f>Age_Sex_BY[[#This Row],[Total Spending After Applying Truncation at the Member Level]]+Age_Sex_BY[[#This Row],[Total Dollars Excluded from Spending After Applying Truncation at the Member Level]]=Age_Sex_BY[[#This Row],[Total Spending before Truncation is Applied]]</f>
        <v>1</v>
      </c>
    </row>
    <row r="111" spans="1:10" x14ac:dyDescent="0.25">
      <c r="A111" s="101"/>
      <c r="B111" s="104"/>
      <c r="C111" s="105"/>
      <c r="D111" s="273"/>
      <c r="E111" s="182"/>
      <c r="F111" s="110"/>
      <c r="G111" s="274"/>
      <c r="H111" s="110"/>
      <c r="I111" s="110"/>
      <c r="J111" s="237" t="b">
        <f>Age_Sex_BY[[#This Row],[Total Spending After Applying Truncation at the Member Level]]+Age_Sex_BY[[#This Row],[Total Dollars Excluded from Spending After Applying Truncation at the Member Level]]=Age_Sex_BY[[#This Row],[Total Spending before Truncation is Applied]]</f>
        <v>1</v>
      </c>
    </row>
    <row r="112" spans="1:10" x14ac:dyDescent="0.25">
      <c r="A112" s="101"/>
      <c r="B112" s="104"/>
      <c r="C112" s="105"/>
      <c r="D112" s="273"/>
      <c r="E112" s="182"/>
      <c r="F112" s="110"/>
      <c r="G112" s="274"/>
      <c r="H112" s="110"/>
      <c r="I112" s="110"/>
      <c r="J112" s="237" t="b">
        <f>Age_Sex_BY[[#This Row],[Total Spending After Applying Truncation at the Member Level]]+Age_Sex_BY[[#This Row],[Total Dollars Excluded from Spending After Applying Truncation at the Member Level]]=Age_Sex_BY[[#This Row],[Total Spending before Truncation is Applied]]</f>
        <v>1</v>
      </c>
    </row>
    <row r="113" spans="1:10" x14ac:dyDescent="0.25">
      <c r="A113" s="101"/>
      <c r="B113" s="104"/>
      <c r="C113" s="105"/>
      <c r="D113" s="273"/>
      <c r="E113" s="182"/>
      <c r="F113" s="110"/>
      <c r="G113" s="274"/>
      <c r="H113" s="110"/>
      <c r="I113" s="110"/>
      <c r="J113" s="237" t="b">
        <f>Age_Sex_BY[[#This Row],[Total Spending After Applying Truncation at the Member Level]]+Age_Sex_BY[[#This Row],[Total Dollars Excluded from Spending After Applying Truncation at the Member Level]]=Age_Sex_BY[[#This Row],[Total Spending before Truncation is Applied]]</f>
        <v>1</v>
      </c>
    </row>
    <row r="114" spans="1:10" x14ac:dyDescent="0.25">
      <c r="A114" s="101"/>
      <c r="B114" s="104"/>
      <c r="C114" s="105"/>
      <c r="D114" s="273"/>
      <c r="E114" s="182"/>
      <c r="F114" s="110"/>
      <c r="G114" s="274"/>
      <c r="H114" s="110"/>
      <c r="I114" s="110"/>
      <c r="J114" s="237" t="b">
        <f>Age_Sex_BY[[#This Row],[Total Spending After Applying Truncation at the Member Level]]+Age_Sex_BY[[#This Row],[Total Dollars Excluded from Spending After Applying Truncation at the Member Level]]=Age_Sex_BY[[#This Row],[Total Spending before Truncation is Applied]]</f>
        <v>1</v>
      </c>
    </row>
    <row r="115" spans="1:10" x14ac:dyDescent="0.25">
      <c r="A115" s="101"/>
      <c r="B115" s="104"/>
      <c r="C115" s="105"/>
      <c r="D115" s="273"/>
      <c r="E115" s="182"/>
      <c r="F115" s="110"/>
      <c r="G115" s="274"/>
      <c r="H115" s="110"/>
      <c r="I115" s="110"/>
      <c r="J115" s="237" t="b">
        <f>Age_Sex_BY[[#This Row],[Total Spending After Applying Truncation at the Member Level]]+Age_Sex_BY[[#This Row],[Total Dollars Excluded from Spending After Applying Truncation at the Member Level]]=Age_Sex_BY[[#This Row],[Total Spending before Truncation is Applied]]</f>
        <v>1</v>
      </c>
    </row>
    <row r="116" spans="1:10" x14ac:dyDescent="0.25">
      <c r="A116" s="101"/>
      <c r="B116" s="104"/>
      <c r="C116" s="105"/>
      <c r="D116" s="273"/>
      <c r="E116" s="182"/>
      <c r="F116" s="110"/>
      <c r="G116" s="274"/>
      <c r="H116" s="110"/>
      <c r="I116" s="110"/>
      <c r="J116" s="237" t="b">
        <f>Age_Sex_BY[[#This Row],[Total Spending After Applying Truncation at the Member Level]]+Age_Sex_BY[[#This Row],[Total Dollars Excluded from Spending After Applying Truncation at the Member Level]]=Age_Sex_BY[[#This Row],[Total Spending before Truncation is Applied]]</f>
        <v>1</v>
      </c>
    </row>
    <row r="117" spans="1:10" x14ac:dyDescent="0.25">
      <c r="A117" s="101"/>
      <c r="B117" s="104"/>
      <c r="C117" s="105"/>
      <c r="D117" s="273"/>
      <c r="E117" s="182"/>
      <c r="F117" s="110"/>
      <c r="G117" s="274"/>
      <c r="H117" s="110"/>
      <c r="I117" s="110"/>
      <c r="J117" s="237" t="b">
        <f>Age_Sex_BY[[#This Row],[Total Spending After Applying Truncation at the Member Level]]+Age_Sex_BY[[#This Row],[Total Dollars Excluded from Spending After Applying Truncation at the Member Level]]=Age_Sex_BY[[#This Row],[Total Spending before Truncation is Applied]]</f>
        <v>1</v>
      </c>
    </row>
    <row r="118" spans="1:10" x14ac:dyDescent="0.25">
      <c r="A118" s="101"/>
      <c r="B118" s="104"/>
      <c r="C118" s="105"/>
      <c r="D118" s="273"/>
      <c r="E118" s="182"/>
      <c r="F118" s="110"/>
      <c r="G118" s="274"/>
      <c r="H118" s="110"/>
      <c r="I118" s="110"/>
      <c r="J118" s="237" t="b">
        <f>Age_Sex_BY[[#This Row],[Total Spending After Applying Truncation at the Member Level]]+Age_Sex_BY[[#This Row],[Total Dollars Excluded from Spending After Applying Truncation at the Member Level]]=Age_Sex_BY[[#This Row],[Total Spending before Truncation is Applied]]</f>
        <v>1</v>
      </c>
    </row>
    <row r="119" spans="1:10" x14ac:dyDescent="0.25">
      <c r="A119" s="101"/>
      <c r="B119" s="104"/>
      <c r="C119" s="105"/>
      <c r="D119" s="273"/>
      <c r="E119" s="182"/>
      <c r="F119" s="110"/>
      <c r="G119" s="274"/>
      <c r="H119" s="110"/>
      <c r="I119" s="110"/>
      <c r="J119" s="237" t="b">
        <f>Age_Sex_BY[[#This Row],[Total Spending After Applying Truncation at the Member Level]]+Age_Sex_BY[[#This Row],[Total Dollars Excluded from Spending After Applying Truncation at the Member Level]]=Age_Sex_BY[[#This Row],[Total Spending before Truncation is Applied]]</f>
        <v>1</v>
      </c>
    </row>
    <row r="120" spans="1:10" x14ac:dyDescent="0.25">
      <c r="A120" s="101"/>
      <c r="B120" s="104"/>
      <c r="C120" s="105"/>
      <c r="D120" s="273"/>
      <c r="E120" s="182"/>
      <c r="F120" s="110"/>
      <c r="G120" s="274"/>
      <c r="H120" s="110"/>
      <c r="I120" s="110"/>
      <c r="J120" s="237" t="b">
        <f>Age_Sex_BY[[#This Row],[Total Spending After Applying Truncation at the Member Level]]+Age_Sex_BY[[#This Row],[Total Dollars Excluded from Spending After Applying Truncation at the Member Level]]=Age_Sex_BY[[#This Row],[Total Spending before Truncation is Applied]]</f>
        <v>1</v>
      </c>
    </row>
    <row r="121" spans="1:10" x14ac:dyDescent="0.25">
      <c r="A121" s="101"/>
      <c r="B121" s="104"/>
      <c r="C121" s="105"/>
      <c r="D121" s="273"/>
      <c r="E121" s="182"/>
      <c r="F121" s="110"/>
      <c r="G121" s="274"/>
      <c r="H121" s="110"/>
      <c r="I121" s="110"/>
      <c r="J121" s="237" t="b">
        <f>Age_Sex_BY[[#This Row],[Total Spending After Applying Truncation at the Member Level]]+Age_Sex_BY[[#This Row],[Total Dollars Excluded from Spending After Applying Truncation at the Member Level]]=Age_Sex_BY[[#This Row],[Total Spending before Truncation is Applied]]</f>
        <v>1</v>
      </c>
    </row>
    <row r="122" spans="1:10" x14ac:dyDescent="0.25">
      <c r="A122" s="101"/>
      <c r="B122" s="104"/>
      <c r="C122" s="105"/>
      <c r="D122" s="273"/>
      <c r="E122" s="182"/>
      <c r="F122" s="110"/>
      <c r="G122" s="274"/>
      <c r="H122" s="110"/>
      <c r="I122" s="110"/>
      <c r="J122" s="237" t="b">
        <f>Age_Sex_BY[[#This Row],[Total Spending After Applying Truncation at the Member Level]]+Age_Sex_BY[[#This Row],[Total Dollars Excluded from Spending After Applying Truncation at the Member Level]]=Age_Sex_BY[[#This Row],[Total Spending before Truncation is Applied]]</f>
        <v>1</v>
      </c>
    </row>
    <row r="123" spans="1:10" x14ac:dyDescent="0.25">
      <c r="A123" s="101"/>
      <c r="B123" s="104"/>
      <c r="C123" s="105"/>
      <c r="D123" s="273"/>
      <c r="E123" s="182"/>
      <c r="F123" s="110"/>
      <c r="G123" s="274"/>
      <c r="H123" s="110"/>
      <c r="I123" s="110"/>
      <c r="J123" s="237" t="b">
        <f>Age_Sex_BY[[#This Row],[Total Spending After Applying Truncation at the Member Level]]+Age_Sex_BY[[#This Row],[Total Dollars Excluded from Spending After Applying Truncation at the Member Level]]=Age_Sex_BY[[#This Row],[Total Spending before Truncation is Applied]]</f>
        <v>1</v>
      </c>
    </row>
    <row r="124" spans="1:10" x14ac:dyDescent="0.25">
      <c r="A124" s="101"/>
      <c r="B124" s="104"/>
      <c r="C124" s="105"/>
      <c r="D124" s="273"/>
      <c r="E124" s="182"/>
      <c r="F124" s="110"/>
      <c r="G124" s="274"/>
      <c r="H124" s="110"/>
      <c r="I124" s="110"/>
      <c r="J124" s="237" t="b">
        <f>Age_Sex_BY[[#This Row],[Total Spending After Applying Truncation at the Member Level]]+Age_Sex_BY[[#This Row],[Total Dollars Excluded from Spending After Applying Truncation at the Member Level]]=Age_Sex_BY[[#This Row],[Total Spending before Truncation is Applied]]</f>
        <v>1</v>
      </c>
    </row>
    <row r="125" spans="1:10" x14ac:dyDescent="0.25">
      <c r="A125" s="101"/>
      <c r="B125" s="104"/>
      <c r="C125" s="105"/>
      <c r="D125" s="273"/>
      <c r="E125" s="182"/>
      <c r="F125" s="110"/>
      <c r="G125" s="274"/>
      <c r="H125" s="110"/>
      <c r="I125" s="110"/>
      <c r="J125" s="237" t="b">
        <f>Age_Sex_BY[[#This Row],[Total Spending After Applying Truncation at the Member Level]]+Age_Sex_BY[[#This Row],[Total Dollars Excluded from Spending After Applying Truncation at the Member Level]]=Age_Sex_BY[[#This Row],[Total Spending before Truncation is Applied]]</f>
        <v>1</v>
      </c>
    </row>
    <row r="126" spans="1:10" x14ac:dyDescent="0.25">
      <c r="A126" s="101"/>
      <c r="B126" s="104"/>
      <c r="C126" s="105"/>
      <c r="D126" s="273"/>
      <c r="E126" s="182"/>
      <c r="F126" s="110"/>
      <c r="G126" s="274"/>
      <c r="H126" s="110"/>
      <c r="I126" s="110"/>
      <c r="J126" s="237" t="b">
        <f>Age_Sex_BY[[#This Row],[Total Spending After Applying Truncation at the Member Level]]+Age_Sex_BY[[#This Row],[Total Dollars Excluded from Spending After Applying Truncation at the Member Level]]=Age_Sex_BY[[#This Row],[Total Spending before Truncation is Applied]]</f>
        <v>1</v>
      </c>
    </row>
    <row r="127" spans="1:10" x14ac:dyDescent="0.25">
      <c r="A127" s="101"/>
      <c r="B127" s="104"/>
      <c r="C127" s="105"/>
      <c r="D127" s="273"/>
      <c r="E127" s="182"/>
      <c r="F127" s="110"/>
      <c r="G127" s="274"/>
      <c r="H127" s="110"/>
      <c r="I127" s="110"/>
      <c r="J127" s="237" t="b">
        <f>Age_Sex_BY[[#This Row],[Total Spending After Applying Truncation at the Member Level]]+Age_Sex_BY[[#This Row],[Total Dollars Excluded from Spending After Applying Truncation at the Member Level]]=Age_Sex_BY[[#This Row],[Total Spending before Truncation is Applied]]</f>
        <v>1</v>
      </c>
    </row>
    <row r="128" spans="1:10" x14ac:dyDescent="0.25">
      <c r="A128" s="101"/>
      <c r="B128" s="104"/>
      <c r="C128" s="105"/>
      <c r="D128" s="273"/>
      <c r="E128" s="182"/>
      <c r="F128" s="110"/>
      <c r="G128" s="274"/>
      <c r="H128" s="110"/>
      <c r="I128" s="110"/>
      <c r="J128" s="237" t="b">
        <f>Age_Sex_BY[[#This Row],[Total Spending After Applying Truncation at the Member Level]]+Age_Sex_BY[[#This Row],[Total Dollars Excluded from Spending After Applying Truncation at the Member Level]]=Age_Sex_BY[[#This Row],[Total Spending before Truncation is Applied]]</f>
        <v>1</v>
      </c>
    </row>
    <row r="129" spans="1:10" x14ac:dyDescent="0.25">
      <c r="A129" s="101"/>
      <c r="B129" s="104"/>
      <c r="C129" s="105"/>
      <c r="D129" s="273"/>
      <c r="E129" s="182"/>
      <c r="F129" s="110"/>
      <c r="G129" s="274"/>
      <c r="H129" s="110"/>
      <c r="I129" s="110"/>
      <c r="J129" s="237" t="b">
        <f>Age_Sex_BY[[#This Row],[Total Spending After Applying Truncation at the Member Level]]+Age_Sex_BY[[#This Row],[Total Dollars Excluded from Spending After Applying Truncation at the Member Level]]=Age_Sex_BY[[#This Row],[Total Spending before Truncation is Applied]]</f>
        <v>1</v>
      </c>
    </row>
    <row r="130" spans="1:10" x14ac:dyDescent="0.25">
      <c r="A130" s="101"/>
      <c r="B130" s="104"/>
      <c r="C130" s="105"/>
      <c r="D130" s="273"/>
      <c r="E130" s="182"/>
      <c r="F130" s="110"/>
      <c r="G130" s="274"/>
      <c r="H130" s="110"/>
      <c r="I130" s="110"/>
      <c r="J130" s="237" t="b">
        <f>Age_Sex_BY[[#This Row],[Total Spending After Applying Truncation at the Member Level]]+Age_Sex_BY[[#This Row],[Total Dollars Excluded from Spending After Applying Truncation at the Member Level]]=Age_Sex_BY[[#This Row],[Total Spending before Truncation is Applied]]</f>
        <v>1</v>
      </c>
    </row>
    <row r="131" spans="1:10" x14ac:dyDescent="0.25">
      <c r="A131" s="101"/>
      <c r="B131" s="104"/>
      <c r="C131" s="105"/>
      <c r="D131" s="273"/>
      <c r="E131" s="182"/>
      <c r="F131" s="110"/>
      <c r="G131" s="274"/>
      <c r="H131" s="110"/>
      <c r="I131" s="110"/>
      <c r="J131" s="237" t="b">
        <f>Age_Sex_BY[[#This Row],[Total Spending After Applying Truncation at the Member Level]]+Age_Sex_BY[[#This Row],[Total Dollars Excluded from Spending After Applying Truncation at the Member Level]]=Age_Sex_BY[[#This Row],[Total Spending before Truncation is Applied]]</f>
        <v>1</v>
      </c>
    </row>
    <row r="132" spans="1:10" x14ac:dyDescent="0.25">
      <c r="A132" s="101"/>
      <c r="B132" s="104"/>
      <c r="C132" s="105"/>
      <c r="D132" s="273"/>
      <c r="E132" s="182"/>
      <c r="F132" s="110"/>
      <c r="G132" s="274"/>
      <c r="H132" s="110"/>
      <c r="I132" s="110"/>
      <c r="J132" s="237" t="b">
        <f>Age_Sex_BY[[#This Row],[Total Spending After Applying Truncation at the Member Level]]+Age_Sex_BY[[#This Row],[Total Dollars Excluded from Spending After Applying Truncation at the Member Level]]=Age_Sex_BY[[#This Row],[Total Spending before Truncation is Applied]]</f>
        <v>1</v>
      </c>
    </row>
    <row r="133" spans="1:10" x14ac:dyDescent="0.25">
      <c r="A133" s="101"/>
      <c r="B133" s="104"/>
      <c r="C133" s="105"/>
      <c r="D133" s="273"/>
      <c r="E133" s="182"/>
      <c r="F133" s="110"/>
      <c r="G133" s="274"/>
      <c r="H133" s="110"/>
      <c r="I133" s="110"/>
      <c r="J133" s="237" t="b">
        <f>Age_Sex_BY[[#This Row],[Total Spending After Applying Truncation at the Member Level]]+Age_Sex_BY[[#This Row],[Total Dollars Excluded from Spending After Applying Truncation at the Member Level]]=Age_Sex_BY[[#This Row],[Total Spending before Truncation is Applied]]</f>
        <v>1</v>
      </c>
    </row>
    <row r="134" spans="1:10" x14ac:dyDescent="0.25">
      <c r="A134" s="101"/>
      <c r="B134" s="104"/>
      <c r="C134" s="105"/>
      <c r="D134" s="273"/>
      <c r="E134" s="182"/>
      <c r="F134" s="110"/>
      <c r="G134" s="274"/>
      <c r="H134" s="110"/>
      <c r="I134" s="110"/>
      <c r="J134" s="237" t="b">
        <f>Age_Sex_BY[[#This Row],[Total Spending After Applying Truncation at the Member Level]]+Age_Sex_BY[[#This Row],[Total Dollars Excluded from Spending After Applying Truncation at the Member Level]]=Age_Sex_BY[[#This Row],[Total Spending before Truncation is Applied]]</f>
        <v>1</v>
      </c>
    </row>
    <row r="135" spans="1:10" x14ac:dyDescent="0.25">
      <c r="A135" s="101"/>
      <c r="B135" s="104"/>
      <c r="C135" s="105"/>
      <c r="D135" s="273"/>
      <c r="E135" s="182"/>
      <c r="F135" s="110"/>
      <c r="G135" s="274"/>
      <c r="H135" s="110"/>
      <c r="I135" s="110"/>
      <c r="J135" s="237" t="b">
        <f>Age_Sex_BY[[#This Row],[Total Spending After Applying Truncation at the Member Level]]+Age_Sex_BY[[#This Row],[Total Dollars Excluded from Spending After Applying Truncation at the Member Level]]=Age_Sex_BY[[#This Row],[Total Spending before Truncation is Applied]]</f>
        <v>1</v>
      </c>
    </row>
    <row r="136" spans="1:10" x14ac:dyDescent="0.25">
      <c r="A136" s="101"/>
      <c r="B136" s="104"/>
      <c r="C136" s="105"/>
      <c r="D136" s="273"/>
      <c r="E136" s="182"/>
      <c r="F136" s="110"/>
      <c r="G136" s="274"/>
      <c r="H136" s="110"/>
      <c r="I136" s="110"/>
      <c r="J136" s="237" t="b">
        <f>Age_Sex_BY[[#This Row],[Total Spending After Applying Truncation at the Member Level]]+Age_Sex_BY[[#This Row],[Total Dollars Excluded from Spending After Applying Truncation at the Member Level]]=Age_Sex_BY[[#This Row],[Total Spending before Truncation is Applied]]</f>
        <v>1</v>
      </c>
    </row>
    <row r="137" spans="1:10" x14ac:dyDescent="0.25">
      <c r="A137" s="101"/>
      <c r="B137" s="104"/>
      <c r="C137" s="105"/>
      <c r="D137" s="273"/>
      <c r="E137" s="182"/>
      <c r="F137" s="110"/>
      <c r="G137" s="274"/>
      <c r="H137" s="110"/>
      <c r="I137" s="110"/>
      <c r="J137" s="237" t="b">
        <f>Age_Sex_BY[[#This Row],[Total Spending After Applying Truncation at the Member Level]]+Age_Sex_BY[[#This Row],[Total Dollars Excluded from Spending After Applying Truncation at the Member Level]]=Age_Sex_BY[[#This Row],[Total Spending before Truncation is Applied]]</f>
        <v>1</v>
      </c>
    </row>
    <row r="138" spans="1:10" x14ac:dyDescent="0.25">
      <c r="A138" s="101"/>
      <c r="B138" s="104"/>
      <c r="C138" s="105"/>
      <c r="D138" s="273"/>
      <c r="E138" s="182"/>
      <c r="F138" s="110"/>
      <c r="G138" s="274"/>
      <c r="H138" s="110"/>
      <c r="I138" s="110"/>
      <c r="J138" s="237" t="b">
        <f>Age_Sex_BY[[#This Row],[Total Spending After Applying Truncation at the Member Level]]+Age_Sex_BY[[#This Row],[Total Dollars Excluded from Spending After Applying Truncation at the Member Level]]=Age_Sex_BY[[#This Row],[Total Spending before Truncation is Applied]]</f>
        <v>1</v>
      </c>
    </row>
    <row r="139" spans="1:10" x14ac:dyDescent="0.25">
      <c r="A139" s="101"/>
      <c r="B139" s="104"/>
      <c r="C139" s="105"/>
      <c r="D139" s="273"/>
      <c r="E139" s="182"/>
      <c r="F139" s="110"/>
      <c r="G139" s="274"/>
      <c r="H139" s="110"/>
      <c r="I139" s="110"/>
      <c r="J139" s="237" t="b">
        <f>Age_Sex_BY[[#This Row],[Total Spending After Applying Truncation at the Member Level]]+Age_Sex_BY[[#This Row],[Total Dollars Excluded from Spending After Applying Truncation at the Member Level]]=Age_Sex_BY[[#This Row],[Total Spending before Truncation is Applied]]</f>
        <v>1</v>
      </c>
    </row>
    <row r="140" spans="1:10" x14ac:dyDescent="0.25">
      <c r="A140" s="101"/>
      <c r="B140" s="104"/>
      <c r="C140" s="105"/>
      <c r="D140" s="273"/>
      <c r="E140" s="182"/>
      <c r="F140" s="110"/>
      <c r="G140" s="274"/>
      <c r="H140" s="110"/>
      <c r="I140" s="110"/>
      <c r="J140" s="237" t="b">
        <f>Age_Sex_BY[[#This Row],[Total Spending After Applying Truncation at the Member Level]]+Age_Sex_BY[[#This Row],[Total Dollars Excluded from Spending After Applying Truncation at the Member Level]]=Age_Sex_BY[[#This Row],[Total Spending before Truncation is Applied]]</f>
        <v>1</v>
      </c>
    </row>
    <row r="141" spans="1:10" x14ac:dyDescent="0.25">
      <c r="A141" s="101"/>
      <c r="B141" s="104"/>
      <c r="C141" s="105"/>
      <c r="D141" s="273"/>
      <c r="E141" s="182"/>
      <c r="F141" s="110"/>
      <c r="G141" s="274"/>
      <c r="H141" s="110"/>
      <c r="I141" s="110"/>
      <c r="J141" s="237" t="b">
        <f>Age_Sex_BY[[#This Row],[Total Spending After Applying Truncation at the Member Level]]+Age_Sex_BY[[#This Row],[Total Dollars Excluded from Spending After Applying Truncation at the Member Level]]=Age_Sex_BY[[#This Row],[Total Spending before Truncation is Applied]]</f>
        <v>1</v>
      </c>
    </row>
    <row r="142" spans="1:10" x14ac:dyDescent="0.25">
      <c r="A142" s="101"/>
      <c r="B142" s="104"/>
      <c r="C142" s="105"/>
      <c r="D142" s="273"/>
      <c r="E142" s="182"/>
      <c r="F142" s="110"/>
      <c r="G142" s="274"/>
      <c r="H142" s="110"/>
      <c r="I142" s="110"/>
      <c r="J142" s="237" t="b">
        <f>Age_Sex_BY[[#This Row],[Total Spending After Applying Truncation at the Member Level]]+Age_Sex_BY[[#This Row],[Total Dollars Excluded from Spending After Applying Truncation at the Member Level]]=Age_Sex_BY[[#This Row],[Total Spending before Truncation is Applied]]</f>
        <v>1</v>
      </c>
    </row>
    <row r="143" spans="1:10" x14ac:dyDescent="0.25">
      <c r="A143" s="101"/>
      <c r="B143" s="104"/>
      <c r="C143" s="105"/>
      <c r="D143" s="273"/>
      <c r="E143" s="182"/>
      <c r="F143" s="110"/>
      <c r="G143" s="274"/>
      <c r="H143" s="110"/>
      <c r="I143" s="110"/>
      <c r="J143" s="237" t="b">
        <f>Age_Sex_BY[[#This Row],[Total Spending After Applying Truncation at the Member Level]]+Age_Sex_BY[[#This Row],[Total Dollars Excluded from Spending After Applying Truncation at the Member Level]]=Age_Sex_BY[[#This Row],[Total Spending before Truncation is Applied]]</f>
        <v>1</v>
      </c>
    </row>
    <row r="144" spans="1:10" x14ac:dyDescent="0.25">
      <c r="A144" s="101"/>
      <c r="B144" s="104"/>
      <c r="C144" s="105"/>
      <c r="D144" s="273"/>
      <c r="E144" s="182"/>
      <c r="F144" s="110"/>
      <c r="G144" s="274"/>
      <c r="H144" s="110"/>
      <c r="I144" s="110"/>
      <c r="J144" s="237" t="b">
        <f>Age_Sex_BY[[#This Row],[Total Spending After Applying Truncation at the Member Level]]+Age_Sex_BY[[#This Row],[Total Dollars Excluded from Spending After Applying Truncation at the Member Level]]=Age_Sex_BY[[#This Row],[Total Spending before Truncation is Applied]]</f>
        <v>1</v>
      </c>
    </row>
    <row r="145" spans="1:10" x14ac:dyDescent="0.25">
      <c r="A145" s="101"/>
      <c r="B145" s="104"/>
      <c r="C145" s="105"/>
      <c r="D145" s="273"/>
      <c r="E145" s="182"/>
      <c r="F145" s="110"/>
      <c r="G145" s="274"/>
      <c r="H145" s="110"/>
      <c r="I145" s="110"/>
      <c r="J145" s="237" t="b">
        <f>Age_Sex_BY[[#This Row],[Total Spending After Applying Truncation at the Member Level]]+Age_Sex_BY[[#This Row],[Total Dollars Excluded from Spending After Applying Truncation at the Member Level]]=Age_Sex_BY[[#This Row],[Total Spending before Truncation is Applied]]</f>
        <v>1</v>
      </c>
    </row>
    <row r="146" spans="1:10" x14ac:dyDescent="0.25">
      <c r="A146" s="101"/>
      <c r="B146" s="104"/>
      <c r="C146" s="105"/>
      <c r="D146" s="273"/>
      <c r="E146" s="182"/>
      <c r="F146" s="110"/>
      <c r="G146" s="274"/>
      <c r="H146" s="110"/>
      <c r="I146" s="110"/>
      <c r="J146" s="237" t="b">
        <f>Age_Sex_BY[[#This Row],[Total Spending After Applying Truncation at the Member Level]]+Age_Sex_BY[[#This Row],[Total Dollars Excluded from Spending After Applying Truncation at the Member Level]]=Age_Sex_BY[[#This Row],[Total Spending before Truncation is Applied]]</f>
        <v>1</v>
      </c>
    </row>
    <row r="147" spans="1:10" x14ac:dyDescent="0.25">
      <c r="A147" s="101"/>
      <c r="B147" s="104"/>
      <c r="C147" s="105"/>
      <c r="D147" s="273"/>
      <c r="E147" s="182"/>
      <c r="F147" s="110"/>
      <c r="G147" s="274"/>
      <c r="H147" s="110"/>
      <c r="I147" s="110"/>
      <c r="J147" s="237" t="b">
        <f>Age_Sex_BY[[#This Row],[Total Spending After Applying Truncation at the Member Level]]+Age_Sex_BY[[#This Row],[Total Dollars Excluded from Spending After Applying Truncation at the Member Level]]=Age_Sex_BY[[#This Row],[Total Spending before Truncation is Applied]]</f>
        <v>1</v>
      </c>
    </row>
    <row r="148" spans="1:10" x14ac:dyDescent="0.25">
      <c r="A148" s="101"/>
      <c r="B148" s="104"/>
      <c r="C148" s="105"/>
      <c r="D148" s="273"/>
      <c r="E148" s="182"/>
      <c r="F148" s="110"/>
      <c r="G148" s="274"/>
      <c r="H148" s="110"/>
      <c r="I148" s="110"/>
      <c r="J148" s="237" t="b">
        <f>Age_Sex_BY[[#This Row],[Total Spending After Applying Truncation at the Member Level]]+Age_Sex_BY[[#This Row],[Total Dollars Excluded from Spending After Applying Truncation at the Member Level]]=Age_Sex_BY[[#This Row],[Total Spending before Truncation is Applied]]</f>
        <v>1</v>
      </c>
    </row>
    <row r="149" spans="1:10" x14ac:dyDescent="0.25">
      <c r="A149" s="101"/>
      <c r="B149" s="104"/>
      <c r="C149" s="105"/>
      <c r="D149" s="273"/>
      <c r="E149" s="182"/>
      <c r="F149" s="110"/>
      <c r="G149" s="274"/>
      <c r="H149" s="110"/>
      <c r="I149" s="110"/>
      <c r="J149" s="237" t="b">
        <f>Age_Sex_BY[[#This Row],[Total Spending After Applying Truncation at the Member Level]]+Age_Sex_BY[[#This Row],[Total Dollars Excluded from Spending After Applying Truncation at the Member Level]]=Age_Sex_BY[[#This Row],[Total Spending before Truncation is Applied]]</f>
        <v>1</v>
      </c>
    </row>
    <row r="150" spans="1:10" x14ac:dyDescent="0.25">
      <c r="A150" s="101"/>
      <c r="B150" s="104"/>
      <c r="C150" s="105"/>
      <c r="D150" s="273"/>
      <c r="E150" s="182"/>
      <c r="F150" s="110"/>
      <c r="G150" s="274"/>
      <c r="H150" s="110"/>
      <c r="I150" s="110"/>
      <c r="J150" s="237" t="b">
        <f>Age_Sex_BY[[#This Row],[Total Spending After Applying Truncation at the Member Level]]+Age_Sex_BY[[#This Row],[Total Dollars Excluded from Spending After Applying Truncation at the Member Level]]=Age_Sex_BY[[#This Row],[Total Spending before Truncation is Applied]]</f>
        <v>1</v>
      </c>
    </row>
    <row r="151" spans="1:10" x14ac:dyDescent="0.25">
      <c r="A151" s="101"/>
      <c r="B151" s="104"/>
      <c r="C151" s="105"/>
      <c r="D151" s="273"/>
      <c r="E151" s="182"/>
      <c r="F151" s="110"/>
      <c r="G151" s="274"/>
      <c r="H151" s="110"/>
      <c r="I151" s="110"/>
      <c r="J151" s="237" t="b">
        <f>Age_Sex_BY[[#This Row],[Total Spending After Applying Truncation at the Member Level]]+Age_Sex_BY[[#This Row],[Total Dollars Excluded from Spending After Applying Truncation at the Member Level]]=Age_Sex_BY[[#This Row],[Total Spending before Truncation is Applied]]</f>
        <v>1</v>
      </c>
    </row>
    <row r="152" spans="1:10" x14ac:dyDescent="0.25">
      <c r="A152" s="101"/>
      <c r="B152" s="104"/>
      <c r="C152" s="105"/>
      <c r="D152" s="273"/>
      <c r="E152" s="182"/>
      <c r="F152" s="110"/>
      <c r="G152" s="274"/>
      <c r="H152" s="110"/>
      <c r="I152" s="110"/>
      <c r="J152" s="237" t="b">
        <f>Age_Sex_BY[[#This Row],[Total Spending After Applying Truncation at the Member Level]]+Age_Sex_BY[[#This Row],[Total Dollars Excluded from Spending After Applying Truncation at the Member Level]]=Age_Sex_BY[[#This Row],[Total Spending before Truncation is Applied]]</f>
        <v>1</v>
      </c>
    </row>
    <row r="153" spans="1:10" x14ac:dyDescent="0.25">
      <c r="A153" s="101"/>
      <c r="B153" s="104"/>
      <c r="C153" s="105"/>
      <c r="D153" s="273"/>
      <c r="E153" s="182"/>
      <c r="F153" s="110"/>
      <c r="G153" s="274"/>
      <c r="H153" s="110"/>
      <c r="I153" s="110"/>
      <c r="J153" s="237" t="b">
        <f>Age_Sex_BY[[#This Row],[Total Spending After Applying Truncation at the Member Level]]+Age_Sex_BY[[#This Row],[Total Dollars Excluded from Spending After Applying Truncation at the Member Level]]=Age_Sex_BY[[#This Row],[Total Spending before Truncation is Applied]]</f>
        <v>1</v>
      </c>
    </row>
    <row r="154" spans="1:10" x14ac:dyDescent="0.25">
      <c r="A154" s="101"/>
      <c r="B154" s="104"/>
      <c r="C154" s="105"/>
      <c r="D154" s="273"/>
      <c r="E154" s="182"/>
      <c r="F154" s="110"/>
      <c r="G154" s="274"/>
      <c r="H154" s="110"/>
      <c r="I154" s="110"/>
      <c r="J154" s="237" t="b">
        <f>Age_Sex_BY[[#This Row],[Total Spending After Applying Truncation at the Member Level]]+Age_Sex_BY[[#This Row],[Total Dollars Excluded from Spending After Applying Truncation at the Member Level]]=Age_Sex_BY[[#This Row],[Total Spending before Truncation is Applied]]</f>
        <v>1</v>
      </c>
    </row>
    <row r="155" spans="1:10" x14ac:dyDescent="0.25">
      <c r="A155" s="101"/>
      <c r="B155" s="104"/>
      <c r="C155" s="105"/>
      <c r="D155" s="273"/>
      <c r="E155" s="182"/>
      <c r="F155" s="110"/>
      <c r="G155" s="274"/>
      <c r="H155" s="110"/>
      <c r="I155" s="110"/>
      <c r="J155" s="237" t="b">
        <f>Age_Sex_BY[[#This Row],[Total Spending After Applying Truncation at the Member Level]]+Age_Sex_BY[[#This Row],[Total Dollars Excluded from Spending After Applying Truncation at the Member Level]]=Age_Sex_BY[[#This Row],[Total Spending before Truncation is Applied]]</f>
        <v>1</v>
      </c>
    </row>
    <row r="156" spans="1:10" x14ac:dyDescent="0.25">
      <c r="A156" s="101"/>
      <c r="B156" s="104"/>
      <c r="C156" s="105"/>
      <c r="D156" s="273"/>
      <c r="E156" s="182"/>
      <c r="F156" s="110"/>
      <c r="G156" s="274"/>
      <c r="H156" s="110"/>
      <c r="I156" s="110"/>
      <c r="J156" s="237" t="b">
        <f>Age_Sex_BY[[#This Row],[Total Spending After Applying Truncation at the Member Level]]+Age_Sex_BY[[#This Row],[Total Dollars Excluded from Spending After Applying Truncation at the Member Level]]=Age_Sex_BY[[#This Row],[Total Spending before Truncation is Applied]]</f>
        <v>1</v>
      </c>
    </row>
    <row r="157" spans="1:10" x14ac:dyDescent="0.25">
      <c r="A157" s="101"/>
      <c r="B157" s="104"/>
      <c r="C157" s="105"/>
      <c r="D157" s="273"/>
      <c r="E157" s="182"/>
      <c r="F157" s="110"/>
      <c r="G157" s="274"/>
      <c r="H157" s="110"/>
      <c r="I157" s="110"/>
      <c r="J157" s="237" t="b">
        <f>Age_Sex_BY[[#This Row],[Total Spending After Applying Truncation at the Member Level]]+Age_Sex_BY[[#This Row],[Total Dollars Excluded from Spending After Applying Truncation at the Member Level]]=Age_Sex_BY[[#This Row],[Total Spending before Truncation is Applied]]</f>
        <v>1</v>
      </c>
    </row>
    <row r="158" spans="1:10" x14ac:dyDescent="0.25">
      <c r="A158" s="101"/>
      <c r="B158" s="104"/>
      <c r="C158" s="105"/>
      <c r="D158" s="273"/>
      <c r="E158" s="182"/>
      <c r="F158" s="110"/>
      <c r="G158" s="274"/>
      <c r="H158" s="110"/>
      <c r="I158" s="110"/>
      <c r="J158" s="237" t="b">
        <f>Age_Sex_BY[[#This Row],[Total Spending After Applying Truncation at the Member Level]]+Age_Sex_BY[[#This Row],[Total Dollars Excluded from Spending After Applying Truncation at the Member Level]]=Age_Sex_BY[[#This Row],[Total Spending before Truncation is Applied]]</f>
        <v>1</v>
      </c>
    </row>
    <row r="159" spans="1:10" x14ac:dyDescent="0.25">
      <c r="A159" s="101"/>
      <c r="B159" s="104"/>
      <c r="C159" s="105"/>
      <c r="D159" s="273"/>
      <c r="E159" s="182"/>
      <c r="F159" s="110"/>
      <c r="G159" s="274"/>
      <c r="H159" s="110"/>
      <c r="I159" s="110"/>
      <c r="J159" s="237" t="b">
        <f>Age_Sex_BY[[#This Row],[Total Spending After Applying Truncation at the Member Level]]+Age_Sex_BY[[#This Row],[Total Dollars Excluded from Spending After Applying Truncation at the Member Level]]=Age_Sex_BY[[#This Row],[Total Spending before Truncation is Applied]]</f>
        <v>1</v>
      </c>
    </row>
    <row r="160" spans="1:10" x14ac:dyDescent="0.25">
      <c r="A160" s="101"/>
      <c r="B160" s="104"/>
      <c r="C160" s="105"/>
      <c r="D160" s="273"/>
      <c r="E160" s="182"/>
      <c r="F160" s="110"/>
      <c r="G160" s="274"/>
      <c r="H160" s="110"/>
      <c r="I160" s="110"/>
      <c r="J160" s="237" t="b">
        <f>Age_Sex_BY[[#This Row],[Total Spending After Applying Truncation at the Member Level]]+Age_Sex_BY[[#This Row],[Total Dollars Excluded from Spending After Applying Truncation at the Member Level]]=Age_Sex_BY[[#This Row],[Total Spending before Truncation is Applied]]</f>
        <v>1</v>
      </c>
    </row>
    <row r="161" spans="1:10" x14ac:dyDescent="0.25">
      <c r="A161" s="101"/>
      <c r="B161" s="104"/>
      <c r="C161" s="105"/>
      <c r="D161" s="273"/>
      <c r="E161" s="182"/>
      <c r="F161" s="110"/>
      <c r="G161" s="274"/>
      <c r="H161" s="110"/>
      <c r="I161" s="110"/>
      <c r="J161" s="237" t="b">
        <f>Age_Sex_BY[[#This Row],[Total Spending After Applying Truncation at the Member Level]]+Age_Sex_BY[[#This Row],[Total Dollars Excluded from Spending After Applying Truncation at the Member Level]]=Age_Sex_BY[[#This Row],[Total Spending before Truncation is Applied]]</f>
        <v>1</v>
      </c>
    </row>
    <row r="162" spans="1:10" x14ac:dyDescent="0.25">
      <c r="A162" s="101"/>
      <c r="B162" s="104"/>
      <c r="C162" s="105"/>
      <c r="D162" s="273"/>
      <c r="E162" s="182"/>
      <c r="F162" s="110"/>
      <c r="G162" s="274"/>
      <c r="H162" s="110"/>
      <c r="I162" s="110"/>
      <c r="J162" s="237" t="b">
        <f>Age_Sex_BY[[#This Row],[Total Spending After Applying Truncation at the Member Level]]+Age_Sex_BY[[#This Row],[Total Dollars Excluded from Spending After Applying Truncation at the Member Level]]=Age_Sex_BY[[#This Row],[Total Spending before Truncation is Applied]]</f>
        <v>1</v>
      </c>
    </row>
    <row r="163" spans="1:10" x14ac:dyDescent="0.25">
      <c r="A163" s="101"/>
      <c r="B163" s="104"/>
      <c r="C163" s="105"/>
      <c r="D163" s="273"/>
      <c r="E163" s="182"/>
      <c r="F163" s="110"/>
      <c r="G163" s="274"/>
      <c r="H163" s="110"/>
      <c r="I163" s="110"/>
      <c r="J163" s="237" t="b">
        <f>Age_Sex_BY[[#This Row],[Total Spending After Applying Truncation at the Member Level]]+Age_Sex_BY[[#This Row],[Total Dollars Excluded from Spending After Applying Truncation at the Member Level]]=Age_Sex_BY[[#This Row],[Total Spending before Truncation is Applied]]</f>
        <v>1</v>
      </c>
    </row>
    <row r="164" spans="1:10" x14ac:dyDescent="0.25">
      <c r="A164" s="101"/>
      <c r="B164" s="104"/>
      <c r="C164" s="105"/>
      <c r="D164" s="273"/>
      <c r="E164" s="182"/>
      <c r="F164" s="110"/>
      <c r="G164" s="274"/>
      <c r="H164" s="110"/>
      <c r="I164" s="110"/>
      <c r="J164" s="237" t="b">
        <f>Age_Sex_BY[[#This Row],[Total Spending After Applying Truncation at the Member Level]]+Age_Sex_BY[[#This Row],[Total Dollars Excluded from Spending After Applying Truncation at the Member Level]]=Age_Sex_BY[[#This Row],[Total Spending before Truncation is Applied]]</f>
        <v>1</v>
      </c>
    </row>
    <row r="165" spans="1:10" x14ac:dyDescent="0.25">
      <c r="A165" s="101"/>
      <c r="B165" s="104"/>
      <c r="C165" s="105"/>
      <c r="D165" s="273"/>
      <c r="E165" s="182"/>
      <c r="F165" s="110"/>
      <c r="G165" s="274"/>
      <c r="H165" s="110"/>
      <c r="I165" s="110"/>
      <c r="J165" s="237" t="b">
        <f>Age_Sex_BY[[#This Row],[Total Spending After Applying Truncation at the Member Level]]+Age_Sex_BY[[#This Row],[Total Dollars Excluded from Spending After Applying Truncation at the Member Level]]=Age_Sex_BY[[#This Row],[Total Spending before Truncation is Applied]]</f>
        <v>1</v>
      </c>
    </row>
    <row r="166" spans="1:10" x14ac:dyDescent="0.25">
      <c r="A166" s="101"/>
      <c r="B166" s="104"/>
      <c r="C166" s="105"/>
      <c r="D166" s="273"/>
      <c r="E166" s="182"/>
      <c r="F166" s="110"/>
      <c r="G166" s="274"/>
      <c r="H166" s="110"/>
      <c r="I166" s="110"/>
      <c r="J166" s="237" t="b">
        <f>Age_Sex_BY[[#This Row],[Total Spending After Applying Truncation at the Member Level]]+Age_Sex_BY[[#This Row],[Total Dollars Excluded from Spending After Applying Truncation at the Member Level]]=Age_Sex_BY[[#This Row],[Total Spending before Truncation is Applied]]</f>
        <v>1</v>
      </c>
    </row>
    <row r="167" spans="1:10" x14ac:dyDescent="0.25">
      <c r="A167" s="101"/>
      <c r="B167" s="104"/>
      <c r="C167" s="105"/>
      <c r="D167" s="273"/>
      <c r="E167" s="182"/>
      <c r="F167" s="110"/>
      <c r="G167" s="274"/>
      <c r="H167" s="110"/>
      <c r="I167" s="110"/>
      <c r="J167" s="237" t="b">
        <f>Age_Sex_BY[[#This Row],[Total Spending After Applying Truncation at the Member Level]]+Age_Sex_BY[[#This Row],[Total Dollars Excluded from Spending After Applying Truncation at the Member Level]]=Age_Sex_BY[[#This Row],[Total Spending before Truncation is Applied]]</f>
        <v>1</v>
      </c>
    </row>
    <row r="168" spans="1:10" x14ac:dyDescent="0.25">
      <c r="A168" s="101"/>
      <c r="B168" s="104"/>
      <c r="C168" s="105"/>
      <c r="D168" s="273"/>
      <c r="E168" s="182"/>
      <c r="F168" s="110"/>
      <c r="G168" s="274"/>
      <c r="H168" s="110"/>
      <c r="I168" s="110"/>
      <c r="J168" s="237" t="b">
        <f>Age_Sex_BY[[#This Row],[Total Spending After Applying Truncation at the Member Level]]+Age_Sex_BY[[#This Row],[Total Dollars Excluded from Spending After Applying Truncation at the Member Level]]=Age_Sex_BY[[#This Row],[Total Spending before Truncation is Applied]]</f>
        <v>1</v>
      </c>
    </row>
    <row r="169" spans="1:10" x14ac:dyDescent="0.25">
      <c r="A169" s="101"/>
      <c r="B169" s="104"/>
      <c r="C169" s="105"/>
      <c r="D169" s="273"/>
      <c r="E169" s="182"/>
      <c r="F169" s="110"/>
      <c r="G169" s="274"/>
      <c r="H169" s="110"/>
      <c r="I169" s="110"/>
      <c r="J169" s="237" t="b">
        <f>Age_Sex_BY[[#This Row],[Total Spending After Applying Truncation at the Member Level]]+Age_Sex_BY[[#This Row],[Total Dollars Excluded from Spending After Applying Truncation at the Member Level]]=Age_Sex_BY[[#This Row],[Total Spending before Truncation is Applied]]</f>
        <v>1</v>
      </c>
    </row>
    <row r="170" spans="1:10" x14ac:dyDescent="0.25">
      <c r="A170" s="101"/>
      <c r="B170" s="104"/>
      <c r="C170" s="105"/>
      <c r="D170" s="273"/>
      <c r="E170" s="182"/>
      <c r="F170" s="110"/>
      <c r="G170" s="274"/>
      <c r="H170" s="110"/>
      <c r="I170" s="110"/>
      <c r="J170" s="237" t="b">
        <f>Age_Sex_BY[[#This Row],[Total Spending After Applying Truncation at the Member Level]]+Age_Sex_BY[[#This Row],[Total Dollars Excluded from Spending After Applying Truncation at the Member Level]]=Age_Sex_BY[[#This Row],[Total Spending before Truncation is Applied]]</f>
        <v>1</v>
      </c>
    </row>
    <row r="171" spans="1:10" x14ac:dyDescent="0.25">
      <c r="A171" s="101"/>
      <c r="B171" s="104"/>
      <c r="C171" s="105"/>
      <c r="D171" s="273"/>
      <c r="E171" s="182"/>
      <c r="F171" s="110"/>
      <c r="G171" s="274"/>
      <c r="H171" s="110"/>
      <c r="I171" s="110"/>
      <c r="J171" s="237" t="b">
        <f>Age_Sex_BY[[#This Row],[Total Spending After Applying Truncation at the Member Level]]+Age_Sex_BY[[#This Row],[Total Dollars Excluded from Spending After Applying Truncation at the Member Level]]=Age_Sex_BY[[#This Row],[Total Spending before Truncation is Applied]]</f>
        <v>1</v>
      </c>
    </row>
    <row r="172" spans="1:10" x14ac:dyDescent="0.25">
      <c r="A172" s="101"/>
      <c r="B172" s="104"/>
      <c r="C172" s="105"/>
      <c r="D172" s="273"/>
      <c r="E172" s="182"/>
      <c r="F172" s="110"/>
      <c r="G172" s="274"/>
      <c r="H172" s="110"/>
      <c r="I172" s="110"/>
      <c r="J172" s="237" t="b">
        <f>Age_Sex_BY[[#This Row],[Total Spending After Applying Truncation at the Member Level]]+Age_Sex_BY[[#This Row],[Total Dollars Excluded from Spending After Applying Truncation at the Member Level]]=Age_Sex_BY[[#This Row],[Total Spending before Truncation is Applied]]</f>
        <v>1</v>
      </c>
    </row>
    <row r="173" spans="1:10" x14ac:dyDescent="0.25">
      <c r="A173" s="101"/>
      <c r="B173" s="104"/>
      <c r="C173" s="105"/>
      <c r="D173" s="273"/>
      <c r="E173" s="182"/>
      <c r="F173" s="110"/>
      <c r="G173" s="274"/>
      <c r="H173" s="110"/>
      <c r="I173" s="110"/>
      <c r="J173" s="237" t="b">
        <f>Age_Sex_BY[[#This Row],[Total Spending After Applying Truncation at the Member Level]]+Age_Sex_BY[[#This Row],[Total Dollars Excluded from Spending After Applying Truncation at the Member Level]]=Age_Sex_BY[[#This Row],[Total Spending before Truncation is Applied]]</f>
        <v>1</v>
      </c>
    </row>
    <row r="174" spans="1:10" x14ac:dyDescent="0.25">
      <c r="A174" s="101"/>
      <c r="B174" s="104"/>
      <c r="C174" s="105"/>
      <c r="D174" s="273"/>
      <c r="E174" s="182"/>
      <c r="F174" s="110"/>
      <c r="G174" s="274"/>
      <c r="H174" s="110"/>
      <c r="I174" s="110"/>
      <c r="J174" s="237" t="b">
        <f>Age_Sex_BY[[#This Row],[Total Spending After Applying Truncation at the Member Level]]+Age_Sex_BY[[#This Row],[Total Dollars Excluded from Spending After Applying Truncation at the Member Level]]=Age_Sex_BY[[#This Row],[Total Spending before Truncation is Applied]]</f>
        <v>1</v>
      </c>
    </row>
    <row r="175" spans="1:10" x14ac:dyDescent="0.25">
      <c r="A175" s="101"/>
      <c r="B175" s="104"/>
      <c r="C175" s="105"/>
      <c r="D175" s="273"/>
      <c r="E175" s="182"/>
      <c r="F175" s="110"/>
      <c r="G175" s="274"/>
      <c r="H175" s="110"/>
      <c r="I175" s="110"/>
      <c r="J175" s="237" t="b">
        <f>Age_Sex_BY[[#This Row],[Total Spending After Applying Truncation at the Member Level]]+Age_Sex_BY[[#This Row],[Total Dollars Excluded from Spending After Applying Truncation at the Member Level]]=Age_Sex_BY[[#This Row],[Total Spending before Truncation is Applied]]</f>
        <v>1</v>
      </c>
    </row>
    <row r="176" spans="1:10" x14ac:dyDescent="0.25">
      <c r="A176" s="101"/>
      <c r="B176" s="104"/>
      <c r="C176" s="105"/>
      <c r="D176" s="273"/>
      <c r="E176" s="182"/>
      <c r="F176" s="110"/>
      <c r="G176" s="274"/>
      <c r="H176" s="110"/>
      <c r="I176" s="110"/>
      <c r="J176" s="237" t="b">
        <f>Age_Sex_BY[[#This Row],[Total Spending After Applying Truncation at the Member Level]]+Age_Sex_BY[[#This Row],[Total Dollars Excluded from Spending After Applying Truncation at the Member Level]]=Age_Sex_BY[[#This Row],[Total Spending before Truncation is Applied]]</f>
        <v>1</v>
      </c>
    </row>
    <row r="177" spans="1:10" x14ac:dyDescent="0.25">
      <c r="A177" s="101"/>
      <c r="B177" s="104"/>
      <c r="C177" s="105"/>
      <c r="D177" s="273"/>
      <c r="E177" s="182"/>
      <c r="F177" s="110"/>
      <c r="G177" s="274"/>
      <c r="H177" s="110"/>
      <c r="I177" s="110"/>
      <c r="J177" s="237" t="b">
        <f>Age_Sex_BY[[#This Row],[Total Spending After Applying Truncation at the Member Level]]+Age_Sex_BY[[#This Row],[Total Dollars Excluded from Spending After Applying Truncation at the Member Level]]=Age_Sex_BY[[#This Row],[Total Spending before Truncation is Applied]]</f>
        <v>1</v>
      </c>
    </row>
    <row r="178" spans="1:10" x14ac:dyDescent="0.25">
      <c r="A178" s="101"/>
      <c r="B178" s="104"/>
      <c r="C178" s="105"/>
      <c r="D178" s="273"/>
      <c r="E178" s="182"/>
      <c r="F178" s="110"/>
      <c r="G178" s="274"/>
      <c r="H178" s="110"/>
      <c r="I178" s="110"/>
      <c r="J178" s="237" t="b">
        <f>Age_Sex_BY[[#This Row],[Total Spending After Applying Truncation at the Member Level]]+Age_Sex_BY[[#This Row],[Total Dollars Excluded from Spending After Applying Truncation at the Member Level]]=Age_Sex_BY[[#This Row],[Total Spending before Truncation is Applied]]</f>
        <v>1</v>
      </c>
    </row>
    <row r="179" spans="1:10" x14ac:dyDescent="0.25">
      <c r="A179" s="101"/>
      <c r="B179" s="104"/>
      <c r="C179" s="105"/>
      <c r="D179" s="273"/>
      <c r="E179" s="182"/>
      <c r="F179" s="110"/>
      <c r="G179" s="274"/>
      <c r="H179" s="110"/>
      <c r="I179" s="110"/>
      <c r="J179" s="237" t="b">
        <f>Age_Sex_BY[[#This Row],[Total Spending After Applying Truncation at the Member Level]]+Age_Sex_BY[[#This Row],[Total Dollars Excluded from Spending After Applying Truncation at the Member Level]]=Age_Sex_BY[[#This Row],[Total Spending before Truncation is Applied]]</f>
        <v>1</v>
      </c>
    </row>
    <row r="180" spans="1:10" x14ac:dyDescent="0.25">
      <c r="A180" s="101"/>
      <c r="B180" s="104"/>
      <c r="C180" s="105"/>
      <c r="D180" s="273"/>
      <c r="E180" s="182"/>
      <c r="F180" s="110"/>
      <c r="G180" s="274"/>
      <c r="H180" s="110"/>
      <c r="I180" s="110"/>
      <c r="J180" s="237" t="b">
        <f>Age_Sex_BY[[#This Row],[Total Spending After Applying Truncation at the Member Level]]+Age_Sex_BY[[#This Row],[Total Dollars Excluded from Spending After Applying Truncation at the Member Level]]=Age_Sex_BY[[#This Row],[Total Spending before Truncation is Applied]]</f>
        <v>1</v>
      </c>
    </row>
    <row r="181" spans="1:10" x14ac:dyDescent="0.25">
      <c r="A181" s="101"/>
      <c r="B181" s="104"/>
      <c r="C181" s="105"/>
      <c r="D181" s="273"/>
      <c r="E181" s="182"/>
      <c r="F181" s="110"/>
      <c r="G181" s="274"/>
      <c r="H181" s="110"/>
      <c r="I181" s="110"/>
      <c r="J181" s="237" t="b">
        <f>Age_Sex_BY[[#This Row],[Total Spending After Applying Truncation at the Member Level]]+Age_Sex_BY[[#This Row],[Total Dollars Excluded from Spending After Applying Truncation at the Member Level]]=Age_Sex_BY[[#This Row],[Total Spending before Truncation is Applied]]</f>
        <v>1</v>
      </c>
    </row>
    <row r="182" spans="1:10" x14ac:dyDescent="0.25">
      <c r="A182" s="101"/>
      <c r="B182" s="104"/>
      <c r="C182" s="105"/>
      <c r="D182" s="273"/>
      <c r="E182" s="182"/>
      <c r="F182" s="110"/>
      <c r="G182" s="274"/>
      <c r="H182" s="110"/>
      <c r="I182" s="110"/>
      <c r="J182" s="237" t="b">
        <f>Age_Sex_BY[[#This Row],[Total Spending After Applying Truncation at the Member Level]]+Age_Sex_BY[[#This Row],[Total Dollars Excluded from Spending After Applying Truncation at the Member Level]]=Age_Sex_BY[[#This Row],[Total Spending before Truncation is Applied]]</f>
        <v>1</v>
      </c>
    </row>
    <row r="183" spans="1:10" x14ac:dyDescent="0.25">
      <c r="A183" s="101"/>
      <c r="B183" s="104"/>
      <c r="C183" s="105"/>
      <c r="D183" s="273"/>
      <c r="E183" s="182"/>
      <c r="F183" s="110"/>
      <c r="G183" s="274"/>
      <c r="H183" s="110"/>
      <c r="I183" s="110"/>
      <c r="J183" s="237" t="b">
        <f>Age_Sex_BY[[#This Row],[Total Spending After Applying Truncation at the Member Level]]+Age_Sex_BY[[#This Row],[Total Dollars Excluded from Spending After Applying Truncation at the Member Level]]=Age_Sex_BY[[#This Row],[Total Spending before Truncation is Applied]]</f>
        <v>1</v>
      </c>
    </row>
    <row r="184" spans="1:10" x14ac:dyDescent="0.25">
      <c r="A184" s="101"/>
      <c r="B184" s="104"/>
      <c r="C184" s="105"/>
      <c r="D184" s="273"/>
      <c r="E184" s="182"/>
      <c r="F184" s="110"/>
      <c r="G184" s="274"/>
      <c r="H184" s="110"/>
      <c r="I184" s="110"/>
      <c r="J184" s="237" t="b">
        <f>Age_Sex_BY[[#This Row],[Total Spending After Applying Truncation at the Member Level]]+Age_Sex_BY[[#This Row],[Total Dollars Excluded from Spending After Applying Truncation at the Member Level]]=Age_Sex_BY[[#This Row],[Total Spending before Truncation is Applied]]</f>
        <v>1</v>
      </c>
    </row>
    <row r="185" spans="1:10" x14ac:dyDescent="0.25">
      <c r="A185" s="101"/>
      <c r="B185" s="104"/>
      <c r="C185" s="105"/>
      <c r="D185" s="273"/>
      <c r="E185" s="182"/>
      <c r="F185" s="110"/>
      <c r="G185" s="274"/>
      <c r="H185" s="110"/>
      <c r="I185" s="110"/>
      <c r="J185" s="237" t="b">
        <f>Age_Sex_BY[[#This Row],[Total Spending After Applying Truncation at the Member Level]]+Age_Sex_BY[[#This Row],[Total Dollars Excluded from Spending After Applying Truncation at the Member Level]]=Age_Sex_BY[[#This Row],[Total Spending before Truncation is Applied]]</f>
        <v>1</v>
      </c>
    </row>
    <row r="186" spans="1:10" x14ac:dyDescent="0.25">
      <c r="A186" s="101"/>
      <c r="B186" s="104"/>
      <c r="C186" s="105"/>
      <c r="D186" s="273"/>
      <c r="E186" s="182"/>
      <c r="F186" s="110"/>
      <c r="G186" s="274"/>
      <c r="H186" s="110"/>
      <c r="I186" s="110"/>
      <c r="J186" s="237" t="b">
        <f>Age_Sex_BY[[#This Row],[Total Spending After Applying Truncation at the Member Level]]+Age_Sex_BY[[#This Row],[Total Dollars Excluded from Spending After Applying Truncation at the Member Level]]=Age_Sex_BY[[#This Row],[Total Spending before Truncation is Applied]]</f>
        <v>1</v>
      </c>
    </row>
    <row r="187" spans="1:10" x14ac:dyDescent="0.25">
      <c r="A187" s="101"/>
      <c r="B187" s="104"/>
      <c r="C187" s="105"/>
      <c r="D187" s="273"/>
      <c r="E187" s="182"/>
      <c r="F187" s="110"/>
      <c r="G187" s="274"/>
      <c r="H187" s="110"/>
      <c r="I187" s="110"/>
      <c r="J187" s="237" t="b">
        <f>Age_Sex_BY[[#This Row],[Total Spending After Applying Truncation at the Member Level]]+Age_Sex_BY[[#This Row],[Total Dollars Excluded from Spending After Applying Truncation at the Member Level]]=Age_Sex_BY[[#This Row],[Total Spending before Truncation is Applied]]</f>
        <v>1</v>
      </c>
    </row>
    <row r="188" spans="1:10" x14ac:dyDescent="0.25">
      <c r="A188" s="101"/>
      <c r="B188" s="104"/>
      <c r="C188" s="105"/>
      <c r="D188" s="273"/>
      <c r="E188" s="182"/>
      <c r="F188" s="110"/>
      <c r="G188" s="274"/>
      <c r="H188" s="110"/>
      <c r="I188" s="110"/>
      <c r="J188" s="237" t="b">
        <f>Age_Sex_BY[[#This Row],[Total Spending After Applying Truncation at the Member Level]]+Age_Sex_BY[[#This Row],[Total Dollars Excluded from Spending After Applying Truncation at the Member Level]]=Age_Sex_BY[[#This Row],[Total Spending before Truncation is Applied]]</f>
        <v>1</v>
      </c>
    </row>
    <row r="189" spans="1:10" x14ac:dyDescent="0.25">
      <c r="A189" s="101"/>
      <c r="B189" s="104"/>
      <c r="C189" s="105"/>
      <c r="D189" s="273"/>
      <c r="E189" s="182"/>
      <c r="F189" s="110"/>
      <c r="G189" s="274"/>
      <c r="H189" s="110"/>
      <c r="I189" s="110"/>
      <c r="J189" s="237" t="b">
        <f>Age_Sex_BY[[#This Row],[Total Spending After Applying Truncation at the Member Level]]+Age_Sex_BY[[#This Row],[Total Dollars Excluded from Spending After Applying Truncation at the Member Level]]=Age_Sex_BY[[#This Row],[Total Spending before Truncation is Applied]]</f>
        <v>1</v>
      </c>
    </row>
    <row r="190" spans="1:10" x14ac:dyDescent="0.25">
      <c r="A190" s="101"/>
      <c r="B190" s="104"/>
      <c r="C190" s="105"/>
      <c r="D190" s="273"/>
      <c r="E190" s="182"/>
      <c r="F190" s="110"/>
      <c r="G190" s="274"/>
      <c r="H190" s="110"/>
      <c r="I190" s="110"/>
      <c r="J190" s="237" t="b">
        <f>Age_Sex_BY[[#This Row],[Total Spending After Applying Truncation at the Member Level]]+Age_Sex_BY[[#This Row],[Total Dollars Excluded from Spending After Applying Truncation at the Member Level]]=Age_Sex_BY[[#This Row],[Total Spending before Truncation is Applied]]</f>
        <v>1</v>
      </c>
    </row>
    <row r="191" spans="1:10" x14ac:dyDescent="0.25">
      <c r="A191" s="101"/>
      <c r="B191" s="104"/>
      <c r="C191" s="105"/>
      <c r="D191" s="273"/>
      <c r="E191" s="182"/>
      <c r="F191" s="110"/>
      <c r="G191" s="274"/>
      <c r="H191" s="110"/>
      <c r="I191" s="110"/>
      <c r="J191" s="237" t="b">
        <f>Age_Sex_BY[[#This Row],[Total Spending After Applying Truncation at the Member Level]]+Age_Sex_BY[[#This Row],[Total Dollars Excluded from Spending After Applying Truncation at the Member Level]]=Age_Sex_BY[[#This Row],[Total Spending before Truncation is Applied]]</f>
        <v>1</v>
      </c>
    </row>
    <row r="192" spans="1:10" x14ac:dyDescent="0.25">
      <c r="A192" s="101"/>
      <c r="B192" s="104"/>
      <c r="C192" s="105"/>
      <c r="D192" s="273"/>
      <c r="E192" s="182"/>
      <c r="F192" s="110"/>
      <c r="G192" s="274"/>
      <c r="H192" s="110"/>
      <c r="I192" s="110"/>
      <c r="J192" s="237" t="b">
        <f>Age_Sex_BY[[#This Row],[Total Spending After Applying Truncation at the Member Level]]+Age_Sex_BY[[#This Row],[Total Dollars Excluded from Spending After Applying Truncation at the Member Level]]=Age_Sex_BY[[#This Row],[Total Spending before Truncation is Applied]]</f>
        <v>1</v>
      </c>
    </row>
    <row r="193" spans="1:10" x14ac:dyDescent="0.25">
      <c r="A193" s="101"/>
      <c r="B193" s="104"/>
      <c r="C193" s="105"/>
      <c r="D193" s="273"/>
      <c r="E193" s="182"/>
      <c r="F193" s="110"/>
      <c r="G193" s="274"/>
      <c r="H193" s="110"/>
      <c r="I193" s="110"/>
      <c r="J193" s="237" t="b">
        <f>Age_Sex_BY[[#This Row],[Total Spending After Applying Truncation at the Member Level]]+Age_Sex_BY[[#This Row],[Total Dollars Excluded from Spending After Applying Truncation at the Member Level]]=Age_Sex_BY[[#This Row],[Total Spending before Truncation is Applied]]</f>
        <v>1</v>
      </c>
    </row>
    <row r="194" spans="1:10" x14ac:dyDescent="0.25">
      <c r="A194" s="101"/>
      <c r="B194" s="104"/>
      <c r="C194" s="105"/>
      <c r="D194" s="273"/>
      <c r="E194" s="182"/>
      <c r="F194" s="110"/>
      <c r="G194" s="274"/>
      <c r="H194" s="110"/>
      <c r="I194" s="110"/>
      <c r="J194" s="237" t="b">
        <f>Age_Sex_BY[[#This Row],[Total Spending After Applying Truncation at the Member Level]]+Age_Sex_BY[[#This Row],[Total Dollars Excluded from Spending After Applying Truncation at the Member Level]]=Age_Sex_BY[[#This Row],[Total Spending before Truncation is Applied]]</f>
        <v>1</v>
      </c>
    </row>
    <row r="195" spans="1:10" x14ac:dyDescent="0.25">
      <c r="A195" s="101"/>
      <c r="B195" s="104"/>
      <c r="C195" s="105"/>
      <c r="D195" s="273"/>
      <c r="E195" s="182"/>
      <c r="F195" s="110"/>
      <c r="G195" s="274"/>
      <c r="H195" s="110"/>
      <c r="I195" s="110"/>
      <c r="J195" s="237" t="b">
        <f>Age_Sex_BY[[#This Row],[Total Spending After Applying Truncation at the Member Level]]+Age_Sex_BY[[#This Row],[Total Dollars Excluded from Spending After Applying Truncation at the Member Level]]=Age_Sex_BY[[#This Row],[Total Spending before Truncation is Applied]]</f>
        <v>1</v>
      </c>
    </row>
    <row r="196" spans="1:10" x14ac:dyDescent="0.25">
      <c r="A196" s="101"/>
      <c r="B196" s="104"/>
      <c r="C196" s="105"/>
      <c r="D196" s="273"/>
      <c r="E196" s="182"/>
      <c r="F196" s="110"/>
      <c r="G196" s="274"/>
      <c r="H196" s="110"/>
      <c r="I196" s="110"/>
      <c r="J196" s="237" t="b">
        <f>Age_Sex_BY[[#This Row],[Total Spending After Applying Truncation at the Member Level]]+Age_Sex_BY[[#This Row],[Total Dollars Excluded from Spending After Applying Truncation at the Member Level]]=Age_Sex_BY[[#This Row],[Total Spending before Truncation is Applied]]</f>
        <v>1</v>
      </c>
    </row>
    <row r="197" spans="1:10" x14ac:dyDescent="0.25">
      <c r="A197" s="101"/>
      <c r="B197" s="104"/>
      <c r="C197" s="105"/>
      <c r="D197" s="273"/>
      <c r="E197" s="182"/>
      <c r="F197" s="110"/>
      <c r="G197" s="274"/>
      <c r="H197" s="110"/>
      <c r="I197" s="110"/>
      <c r="J197" s="237" t="b">
        <f>Age_Sex_BY[[#This Row],[Total Spending After Applying Truncation at the Member Level]]+Age_Sex_BY[[#This Row],[Total Dollars Excluded from Spending After Applying Truncation at the Member Level]]=Age_Sex_BY[[#This Row],[Total Spending before Truncation is Applied]]</f>
        <v>1</v>
      </c>
    </row>
    <row r="198" spans="1:10" x14ac:dyDescent="0.25">
      <c r="A198" s="101"/>
      <c r="B198" s="104"/>
      <c r="C198" s="105"/>
      <c r="D198" s="273"/>
      <c r="E198" s="182"/>
      <c r="F198" s="110"/>
      <c r="G198" s="274"/>
      <c r="H198" s="110"/>
      <c r="I198" s="110"/>
      <c r="J198" s="237" t="b">
        <f>Age_Sex_BY[[#This Row],[Total Spending After Applying Truncation at the Member Level]]+Age_Sex_BY[[#This Row],[Total Dollars Excluded from Spending After Applying Truncation at the Member Level]]=Age_Sex_BY[[#This Row],[Total Spending before Truncation is Applied]]</f>
        <v>1</v>
      </c>
    </row>
    <row r="199" spans="1:10" x14ac:dyDescent="0.25">
      <c r="A199" s="101"/>
      <c r="B199" s="104"/>
      <c r="C199" s="105"/>
      <c r="D199" s="273"/>
      <c r="E199" s="182"/>
      <c r="F199" s="110"/>
      <c r="G199" s="274"/>
      <c r="H199" s="110"/>
      <c r="I199" s="110"/>
      <c r="J199" s="237" t="b">
        <f>Age_Sex_BY[[#This Row],[Total Spending After Applying Truncation at the Member Level]]+Age_Sex_BY[[#This Row],[Total Dollars Excluded from Spending After Applying Truncation at the Member Level]]=Age_Sex_BY[[#This Row],[Total Spending before Truncation is Applied]]</f>
        <v>1</v>
      </c>
    </row>
    <row r="200" spans="1:10" x14ac:dyDescent="0.25">
      <c r="A200" s="101"/>
      <c r="B200" s="104"/>
      <c r="C200" s="105"/>
      <c r="D200" s="273"/>
      <c r="E200" s="182"/>
      <c r="F200" s="110"/>
      <c r="G200" s="274"/>
      <c r="H200" s="110"/>
      <c r="I200" s="110"/>
      <c r="J200" s="237" t="b">
        <f>Age_Sex_BY[[#This Row],[Total Spending After Applying Truncation at the Member Level]]+Age_Sex_BY[[#This Row],[Total Dollars Excluded from Spending After Applying Truncation at the Member Level]]=Age_Sex_BY[[#This Row],[Total Spending before Truncation is Applied]]</f>
        <v>1</v>
      </c>
    </row>
    <row r="201" spans="1:10" x14ac:dyDescent="0.25">
      <c r="A201" s="101"/>
      <c r="B201" s="104"/>
      <c r="C201" s="105"/>
      <c r="D201" s="273"/>
      <c r="E201" s="182"/>
      <c r="F201" s="110"/>
      <c r="G201" s="274"/>
      <c r="H201" s="110"/>
      <c r="I201" s="110"/>
      <c r="J201" s="237" t="b">
        <f>Age_Sex_BY[[#This Row],[Total Spending After Applying Truncation at the Member Level]]+Age_Sex_BY[[#This Row],[Total Dollars Excluded from Spending After Applying Truncation at the Member Level]]=Age_Sex_BY[[#This Row],[Total Spending before Truncation is Applied]]</f>
        <v>1</v>
      </c>
    </row>
    <row r="202" spans="1:10" x14ac:dyDescent="0.25">
      <c r="A202" s="101"/>
      <c r="B202" s="104"/>
      <c r="C202" s="105"/>
      <c r="D202" s="273"/>
      <c r="E202" s="182"/>
      <c r="F202" s="110"/>
      <c r="G202" s="274"/>
      <c r="H202" s="110"/>
      <c r="I202" s="110"/>
      <c r="J202" s="237" t="b">
        <f>Age_Sex_BY[[#This Row],[Total Spending After Applying Truncation at the Member Level]]+Age_Sex_BY[[#This Row],[Total Dollars Excluded from Spending After Applying Truncation at the Member Level]]=Age_Sex_BY[[#This Row],[Total Spending before Truncation is Applied]]</f>
        <v>1</v>
      </c>
    </row>
    <row r="203" spans="1:10" x14ac:dyDescent="0.25">
      <c r="A203" s="101"/>
      <c r="B203" s="104"/>
      <c r="C203" s="105"/>
      <c r="D203" s="273"/>
      <c r="E203" s="182"/>
      <c r="F203" s="110"/>
      <c r="G203" s="274"/>
      <c r="H203" s="110"/>
      <c r="I203" s="110"/>
      <c r="J203" s="237" t="b">
        <f>Age_Sex_BY[[#This Row],[Total Spending After Applying Truncation at the Member Level]]+Age_Sex_BY[[#This Row],[Total Dollars Excluded from Spending After Applying Truncation at the Member Level]]=Age_Sex_BY[[#This Row],[Total Spending before Truncation is Applied]]</f>
        <v>1</v>
      </c>
    </row>
    <row r="204" spans="1:10" x14ac:dyDescent="0.25">
      <c r="A204" s="101"/>
      <c r="B204" s="104"/>
      <c r="C204" s="105"/>
      <c r="D204" s="273"/>
      <c r="E204" s="182"/>
      <c r="F204" s="110"/>
      <c r="G204" s="274"/>
      <c r="H204" s="110"/>
      <c r="I204" s="110"/>
      <c r="J204" s="237" t="b">
        <f>Age_Sex_BY[[#This Row],[Total Spending After Applying Truncation at the Member Level]]+Age_Sex_BY[[#This Row],[Total Dollars Excluded from Spending After Applying Truncation at the Member Level]]=Age_Sex_BY[[#This Row],[Total Spending before Truncation is Applied]]</f>
        <v>1</v>
      </c>
    </row>
    <row r="205" spans="1:10" x14ac:dyDescent="0.25">
      <c r="A205" s="101"/>
      <c r="B205" s="104"/>
      <c r="C205" s="105"/>
      <c r="D205" s="273"/>
      <c r="E205" s="182"/>
      <c r="F205" s="110"/>
      <c r="G205" s="274"/>
      <c r="H205" s="110"/>
      <c r="I205" s="110"/>
      <c r="J205" s="237" t="b">
        <f>Age_Sex_BY[[#This Row],[Total Spending After Applying Truncation at the Member Level]]+Age_Sex_BY[[#This Row],[Total Dollars Excluded from Spending After Applying Truncation at the Member Level]]=Age_Sex_BY[[#This Row],[Total Spending before Truncation is Applied]]</f>
        <v>1</v>
      </c>
    </row>
    <row r="206" spans="1:10" x14ac:dyDescent="0.25">
      <c r="A206" s="101"/>
      <c r="B206" s="104"/>
      <c r="C206" s="105"/>
      <c r="D206" s="273"/>
      <c r="E206" s="182"/>
      <c r="F206" s="110"/>
      <c r="G206" s="274"/>
      <c r="H206" s="110"/>
      <c r="I206" s="110"/>
      <c r="J206" s="237" t="b">
        <f>Age_Sex_BY[[#This Row],[Total Spending After Applying Truncation at the Member Level]]+Age_Sex_BY[[#This Row],[Total Dollars Excluded from Spending After Applying Truncation at the Member Level]]=Age_Sex_BY[[#This Row],[Total Spending before Truncation is Applied]]</f>
        <v>1</v>
      </c>
    </row>
    <row r="207" spans="1:10" x14ac:dyDescent="0.25">
      <c r="A207" s="101"/>
      <c r="B207" s="104"/>
      <c r="C207" s="105"/>
      <c r="D207" s="273"/>
      <c r="E207" s="182"/>
      <c r="F207" s="110"/>
      <c r="G207" s="274"/>
      <c r="H207" s="110"/>
      <c r="I207" s="110"/>
      <c r="J207" s="237" t="b">
        <f>Age_Sex_BY[[#This Row],[Total Spending After Applying Truncation at the Member Level]]+Age_Sex_BY[[#This Row],[Total Dollars Excluded from Spending After Applying Truncation at the Member Level]]=Age_Sex_BY[[#This Row],[Total Spending before Truncation is Applied]]</f>
        <v>1</v>
      </c>
    </row>
    <row r="208" spans="1:10" x14ac:dyDescent="0.25">
      <c r="A208" s="101"/>
      <c r="B208" s="104"/>
      <c r="C208" s="105"/>
      <c r="D208" s="273"/>
      <c r="E208" s="182"/>
      <c r="F208" s="110"/>
      <c r="G208" s="274"/>
      <c r="H208" s="110"/>
      <c r="I208" s="110"/>
      <c r="J208" s="237" t="b">
        <f>Age_Sex_BY[[#This Row],[Total Spending After Applying Truncation at the Member Level]]+Age_Sex_BY[[#This Row],[Total Dollars Excluded from Spending After Applying Truncation at the Member Level]]=Age_Sex_BY[[#This Row],[Total Spending before Truncation is Applied]]</f>
        <v>1</v>
      </c>
    </row>
    <row r="209" spans="1:10" x14ac:dyDescent="0.25">
      <c r="A209" s="101"/>
      <c r="B209" s="104"/>
      <c r="C209" s="105"/>
      <c r="D209" s="273"/>
      <c r="E209" s="182"/>
      <c r="F209" s="110"/>
      <c r="G209" s="274"/>
      <c r="H209" s="110"/>
      <c r="I209" s="110"/>
      <c r="J209" s="237" t="b">
        <f>Age_Sex_BY[[#This Row],[Total Spending After Applying Truncation at the Member Level]]+Age_Sex_BY[[#This Row],[Total Dollars Excluded from Spending After Applying Truncation at the Member Level]]=Age_Sex_BY[[#This Row],[Total Spending before Truncation is Applied]]</f>
        <v>1</v>
      </c>
    </row>
    <row r="210" spans="1:10" x14ac:dyDescent="0.25">
      <c r="A210" s="101"/>
      <c r="B210" s="104"/>
      <c r="C210" s="105"/>
      <c r="D210" s="273"/>
      <c r="E210" s="182"/>
      <c r="F210" s="110"/>
      <c r="G210" s="274"/>
      <c r="H210" s="110"/>
      <c r="I210" s="110"/>
      <c r="J210" s="237" t="b">
        <f>Age_Sex_BY[[#This Row],[Total Spending After Applying Truncation at the Member Level]]+Age_Sex_BY[[#This Row],[Total Dollars Excluded from Spending After Applying Truncation at the Member Level]]=Age_Sex_BY[[#This Row],[Total Spending before Truncation is Applied]]</f>
        <v>1</v>
      </c>
    </row>
    <row r="211" spans="1:10" x14ac:dyDescent="0.25">
      <c r="A211" s="101"/>
      <c r="B211" s="104"/>
      <c r="C211" s="105"/>
      <c r="D211" s="273"/>
      <c r="E211" s="182"/>
      <c r="F211" s="110"/>
      <c r="G211" s="274"/>
      <c r="H211" s="110"/>
      <c r="I211" s="110"/>
      <c r="J211" s="237" t="b">
        <f>Age_Sex_BY[[#This Row],[Total Spending After Applying Truncation at the Member Level]]+Age_Sex_BY[[#This Row],[Total Dollars Excluded from Spending After Applying Truncation at the Member Level]]=Age_Sex_BY[[#This Row],[Total Spending before Truncation is Applied]]</f>
        <v>1</v>
      </c>
    </row>
    <row r="212" spans="1:10" x14ac:dyDescent="0.25">
      <c r="A212" s="101"/>
      <c r="B212" s="104"/>
      <c r="C212" s="105"/>
      <c r="D212" s="273"/>
      <c r="E212" s="182"/>
      <c r="F212" s="110"/>
      <c r="G212" s="274"/>
      <c r="H212" s="110"/>
      <c r="I212" s="110"/>
      <c r="J212" s="237" t="b">
        <f>Age_Sex_BY[[#This Row],[Total Spending After Applying Truncation at the Member Level]]+Age_Sex_BY[[#This Row],[Total Dollars Excluded from Spending After Applying Truncation at the Member Level]]=Age_Sex_BY[[#This Row],[Total Spending before Truncation is Applied]]</f>
        <v>1</v>
      </c>
    </row>
    <row r="213" spans="1:10" x14ac:dyDescent="0.25">
      <c r="A213" s="101"/>
      <c r="B213" s="104"/>
      <c r="C213" s="105"/>
      <c r="D213" s="273"/>
      <c r="E213" s="182"/>
      <c r="F213" s="110"/>
      <c r="G213" s="274"/>
      <c r="H213" s="110"/>
      <c r="I213" s="110"/>
      <c r="J213" s="237" t="b">
        <f>Age_Sex_BY[[#This Row],[Total Spending After Applying Truncation at the Member Level]]+Age_Sex_BY[[#This Row],[Total Dollars Excluded from Spending After Applying Truncation at the Member Level]]=Age_Sex_BY[[#This Row],[Total Spending before Truncation is Applied]]</f>
        <v>1</v>
      </c>
    </row>
    <row r="214" spans="1:10" x14ac:dyDescent="0.25">
      <c r="A214" s="101"/>
      <c r="B214" s="104"/>
      <c r="C214" s="105"/>
      <c r="D214" s="273"/>
      <c r="E214" s="182"/>
      <c r="F214" s="110"/>
      <c r="G214" s="274"/>
      <c r="H214" s="110"/>
      <c r="I214" s="110"/>
      <c r="J214" s="237" t="b">
        <f>Age_Sex_BY[[#This Row],[Total Spending After Applying Truncation at the Member Level]]+Age_Sex_BY[[#This Row],[Total Dollars Excluded from Spending After Applying Truncation at the Member Level]]=Age_Sex_BY[[#This Row],[Total Spending before Truncation is Applied]]</f>
        <v>1</v>
      </c>
    </row>
    <row r="215" spans="1:10" x14ac:dyDescent="0.25">
      <c r="A215" s="101"/>
      <c r="B215" s="104"/>
      <c r="C215" s="105"/>
      <c r="D215" s="273"/>
      <c r="E215" s="182"/>
      <c r="F215" s="110"/>
      <c r="G215" s="274"/>
      <c r="H215" s="110"/>
      <c r="I215" s="110"/>
      <c r="J215" s="237" t="b">
        <f>Age_Sex_BY[[#This Row],[Total Spending After Applying Truncation at the Member Level]]+Age_Sex_BY[[#This Row],[Total Dollars Excluded from Spending After Applying Truncation at the Member Level]]=Age_Sex_BY[[#This Row],[Total Spending before Truncation is Applied]]</f>
        <v>1</v>
      </c>
    </row>
    <row r="216" spans="1:10" x14ac:dyDescent="0.25">
      <c r="A216" s="101"/>
      <c r="B216" s="104"/>
      <c r="C216" s="105"/>
      <c r="D216" s="273"/>
      <c r="E216" s="182"/>
      <c r="F216" s="110"/>
      <c r="G216" s="274"/>
      <c r="H216" s="110"/>
      <c r="I216" s="110"/>
      <c r="J216" s="237" t="b">
        <f>Age_Sex_BY[[#This Row],[Total Spending After Applying Truncation at the Member Level]]+Age_Sex_BY[[#This Row],[Total Dollars Excluded from Spending After Applying Truncation at the Member Level]]=Age_Sex_BY[[#This Row],[Total Spending before Truncation is Applied]]</f>
        <v>1</v>
      </c>
    </row>
    <row r="217" spans="1:10" x14ac:dyDescent="0.25">
      <c r="A217" s="101"/>
      <c r="B217" s="104"/>
      <c r="C217" s="105"/>
      <c r="D217" s="273"/>
      <c r="E217" s="182"/>
      <c r="F217" s="110"/>
      <c r="G217" s="274"/>
      <c r="H217" s="110"/>
      <c r="I217" s="110"/>
      <c r="J217" s="237" t="b">
        <f>Age_Sex_BY[[#This Row],[Total Spending After Applying Truncation at the Member Level]]+Age_Sex_BY[[#This Row],[Total Dollars Excluded from Spending After Applying Truncation at the Member Level]]=Age_Sex_BY[[#This Row],[Total Spending before Truncation is Applied]]</f>
        <v>1</v>
      </c>
    </row>
    <row r="218" spans="1:10" x14ac:dyDescent="0.25">
      <c r="A218" s="101"/>
      <c r="B218" s="104"/>
      <c r="C218" s="105"/>
      <c r="D218" s="273"/>
      <c r="E218" s="182"/>
      <c r="F218" s="110"/>
      <c r="G218" s="274"/>
      <c r="H218" s="110"/>
      <c r="I218" s="110"/>
      <c r="J218" s="237" t="b">
        <f>Age_Sex_BY[[#This Row],[Total Spending After Applying Truncation at the Member Level]]+Age_Sex_BY[[#This Row],[Total Dollars Excluded from Spending After Applying Truncation at the Member Level]]=Age_Sex_BY[[#This Row],[Total Spending before Truncation is Applied]]</f>
        <v>1</v>
      </c>
    </row>
    <row r="219" spans="1:10" x14ac:dyDescent="0.25">
      <c r="A219" s="101"/>
      <c r="B219" s="104"/>
      <c r="C219" s="105"/>
      <c r="D219" s="273"/>
      <c r="E219" s="182"/>
      <c r="F219" s="110"/>
      <c r="G219" s="274"/>
      <c r="H219" s="110"/>
      <c r="I219" s="110"/>
      <c r="J219" s="237" t="b">
        <f>Age_Sex_BY[[#This Row],[Total Spending After Applying Truncation at the Member Level]]+Age_Sex_BY[[#This Row],[Total Dollars Excluded from Spending After Applying Truncation at the Member Level]]=Age_Sex_BY[[#This Row],[Total Spending before Truncation is Applied]]</f>
        <v>1</v>
      </c>
    </row>
    <row r="220" spans="1:10" x14ac:dyDescent="0.25">
      <c r="A220" s="101"/>
      <c r="B220" s="104"/>
      <c r="C220" s="105"/>
      <c r="D220" s="273"/>
      <c r="E220" s="182"/>
      <c r="F220" s="110"/>
      <c r="G220" s="274"/>
      <c r="H220" s="110"/>
      <c r="I220" s="110"/>
      <c r="J220" s="237" t="b">
        <f>Age_Sex_BY[[#This Row],[Total Spending After Applying Truncation at the Member Level]]+Age_Sex_BY[[#This Row],[Total Dollars Excluded from Spending After Applying Truncation at the Member Level]]=Age_Sex_BY[[#This Row],[Total Spending before Truncation is Applied]]</f>
        <v>1</v>
      </c>
    </row>
    <row r="221" spans="1:10" x14ac:dyDescent="0.25">
      <c r="A221" s="101"/>
      <c r="B221" s="104"/>
      <c r="C221" s="105"/>
      <c r="D221" s="273"/>
      <c r="E221" s="182"/>
      <c r="F221" s="110"/>
      <c r="G221" s="274"/>
      <c r="H221" s="110"/>
      <c r="I221" s="110"/>
      <c r="J221" s="237" t="b">
        <f>Age_Sex_BY[[#This Row],[Total Spending After Applying Truncation at the Member Level]]+Age_Sex_BY[[#This Row],[Total Dollars Excluded from Spending After Applying Truncation at the Member Level]]=Age_Sex_BY[[#This Row],[Total Spending before Truncation is Applied]]</f>
        <v>1</v>
      </c>
    </row>
    <row r="222" spans="1:10" x14ac:dyDescent="0.25">
      <c r="A222" s="101"/>
      <c r="B222" s="104"/>
      <c r="C222" s="105"/>
      <c r="D222" s="273"/>
      <c r="E222" s="182"/>
      <c r="F222" s="110"/>
      <c r="G222" s="274"/>
      <c r="H222" s="110"/>
      <c r="I222" s="110"/>
      <c r="J222" s="237" t="b">
        <f>Age_Sex_BY[[#This Row],[Total Spending After Applying Truncation at the Member Level]]+Age_Sex_BY[[#This Row],[Total Dollars Excluded from Spending After Applying Truncation at the Member Level]]=Age_Sex_BY[[#This Row],[Total Spending before Truncation is Applied]]</f>
        <v>1</v>
      </c>
    </row>
    <row r="223" spans="1:10" x14ac:dyDescent="0.25">
      <c r="A223" s="101"/>
      <c r="B223" s="104"/>
      <c r="C223" s="105"/>
      <c r="D223" s="273"/>
      <c r="E223" s="182"/>
      <c r="F223" s="110"/>
      <c r="G223" s="274"/>
      <c r="H223" s="110"/>
      <c r="I223" s="110"/>
      <c r="J223" s="237" t="b">
        <f>Age_Sex_BY[[#This Row],[Total Spending After Applying Truncation at the Member Level]]+Age_Sex_BY[[#This Row],[Total Dollars Excluded from Spending After Applying Truncation at the Member Level]]=Age_Sex_BY[[#This Row],[Total Spending before Truncation is Applied]]</f>
        <v>1</v>
      </c>
    </row>
    <row r="224" spans="1:10" x14ac:dyDescent="0.25">
      <c r="A224" s="101"/>
      <c r="B224" s="104"/>
      <c r="C224" s="105"/>
      <c r="D224" s="273"/>
      <c r="E224" s="182"/>
      <c r="F224" s="110"/>
      <c r="G224" s="274"/>
      <c r="H224" s="110"/>
      <c r="I224" s="110"/>
      <c r="J224" s="237" t="b">
        <f>Age_Sex_BY[[#This Row],[Total Spending After Applying Truncation at the Member Level]]+Age_Sex_BY[[#This Row],[Total Dollars Excluded from Spending After Applying Truncation at the Member Level]]=Age_Sex_BY[[#This Row],[Total Spending before Truncation is Applied]]</f>
        <v>1</v>
      </c>
    </row>
    <row r="225" spans="1:10" x14ac:dyDescent="0.25">
      <c r="A225" s="101"/>
      <c r="B225" s="104"/>
      <c r="C225" s="105"/>
      <c r="D225" s="273"/>
      <c r="E225" s="182"/>
      <c r="F225" s="110"/>
      <c r="G225" s="274"/>
      <c r="H225" s="110"/>
      <c r="I225" s="110"/>
      <c r="J225" s="237" t="b">
        <f>Age_Sex_BY[[#This Row],[Total Spending After Applying Truncation at the Member Level]]+Age_Sex_BY[[#This Row],[Total Dollars Excluded from Spending After Applying Truncation at the Member Level]]=Age_Sex_BY[[#This Row],[Total Spending before Truncation is Applied]]</f>
        <v>1</v>
      </c>
    </row>
    <row r="226" spans="1:10" x14ac:dyDescent="0.25">
      <c r="A226" s="101"/>
      <c r="B226" s="104"/>
      <c r="C226" s="105"/>
      <c r="D226" s="273"/>
      <c r="E226" s="182"/>
      <c r="F226" s="110"/>
      <c r="G226" s="274"/>
      <c r="H226" s="110"/>
      <c r="I226" s="110"/>
      <c r="J226" s="237" t="b">
        <f>Age_Sex_BY[[#This Row],[Total Spending After Applying Truncation at the Member Level]]+Age_Sex_BY[[#This Row],[Total Dollars Excluded from Spending After Applying Truncation at the Member Level]]=Age_Sex_BY[[#This Row],[Total Spending before Truncation is Applied]]</f>
        <v>1</v>
      </c>
    </row>
    <row r="227" spans="1:10" x14ac:dyDescent="0.25">
      <c r="A227" s="101"/>
      <c r="B227" s="104"/>
      <c r="C227" s="105"/>
      <c r="D227" s="273"/>
      <c r="E227" s="182"/>
      <c r="F227" s="110"/>
      <c r="G227" s="274"/>
      <c r="H227" s="110"/>
      <c r="I227" s="110"/>
      <c r="J227" s="237" t="b">
        <f>Age_Sex_BY[[#This Row],[Total Spending After Applying Truncation at the Member Level]]+Age_Sex_BY[[#This Row],[Total Dollars Excluded from Spending After Applying Truncation at the Member Level]]=Age_Sex_BY[[#This Row],[Total Spending before Truncation is Applied]]</f>
        <v>1</v>
      </c>
    </row>
    <row r="228" spans="1:10" x14ac:dyDescent="0.25">
      <c r="A228" s="101"/>
      <c r="B228" s="104"/>
      <c r="C228" s="105"/>
      <c r="D228" s="273"/>
      <c r="E228" s="182"/>
      <c r="F228" s="110"/>
      <c r="G228" s="274"/>
      <c r="H228" s="110"/>
      <c r="I228" s="110"/>
      <c r="J228" s="237" t="b">
        <f>Age_Sex_BY[[#This Row],[Total Spending After Applying Truncation at the Member Level]]+Age_Sex_BY[[#This Row],[Total Dollars Excluded from Spending After Applying Truncation at the Member Level]]=Age_Sex_BY[[#This Row],[Total Spending before Truncation is Applied]]</f>
        <v>1</v>
      </c>
    </row>
    <row r="229" spans="1:10" x14ac:dyDescent="0.25">
      <c r="A229" s="101"/>
      <c r="B229" s="104"/>
      <c r="C229" s="105"/>
      <c r="D229" s="273"/>
      <c r="E229" s="182"/>
      <c r="F229" s="110"/>
      <c r="G229" s="274"/>
      <c r="H229" s="110"/>
      <c r="I229" s="110"/>
      <c r="J229" s="237" t="b">
        <f>Age_Sex_BY[[#This Row],[Total Spending After Applying Truncation at the Member Level]]+Age_Sex_BY[[#This Row],[Total Dollars Excluded from Spending After Applying Truncation at the Member Level]]=Age_Sex_BY[[#This Row],[Total Spending before Truncation is Applied]]</f>
        <v>1</v>
      </c>
    </row>
    <row r="230" spans="1:10" x14ac:dyDescent="0.25">
      <c r="A230" s="101"/>
      <c r="B230" s="104"/>
      <c r="C230" s="105"/>
      <c r="D230" s="273"/>
      <c r="E230" s="182"/>
      <c r="F230" s="110"/>
      <c r="G230" s="274"/>
      <c r="H230" s="110"/>
      <c r="I230" s="110"/>
      <c r="J230" s="237" t="b">
        <f>Age_Sex_BY[[#This Row],[Total Spending After Applying Truncation at the Member Level]]+Age_Sex_BY[[#This Row],[Total Dollars Excluded from Spending After Applying Truncation at the Member Level]]=Age_Sex_BY[[#This Row],[Total Spending before Truncation is Applied]]</f>
        <v>1</v>
      </c>
    </row>
    <row r="231" spans="1:10" x14ac:dyDescent="0.25">
      <c r="A231" s="101"/>
      <c r="B231" s="104"/>
      <c r="C231" s="105"/>
      <c r="D231" s="273"/>
      <c r="E231" s="182"/>
      <c r="F231" s="110"/>
      <c r="G231" s="274"/>
      <c r="H231" s="110"/>
      <c r="I231" s="110"/>
      <c r="J231" s="237" t="b">
        <f>Age_Sex_BY[[#This Row],[Total Spending After Applying Truncation at the Member Level]]+Age_Sex_BY[[#This Row],[Total Dollars Excluded from Spending After Applying Truncation at the Member Level]]=Age_Sex_BY[[#This Row],[Total Spending before Truncation is Applied]]</f>
        <v>1</v>
      </c>
    </row>
    <row r="232" spans="1:10" x14ac:dyDescent="0.25">
      <c r="A232" s="101"/>
      <c r="B232" s="104"/>
      <c r="C232" s="105"/>
      <c r="D232" s="273"/>
      <c r="E232" s="182"/>
      <c r="F232" s="110"/>
      <c r="G232" s="274"/>
      <c r="H232" s="110"/>
      <c r="I232" s="110"/>
      <c r="J232" s="237" t="b">
        <f>Age_Sex_BY[[#This Row],[Total Spending After Applying Truncation at the Member Level]]+Age_Sex_BY[[#This Row],[Total Dollars Excluded from Spending After Applying Truncation at the Member Level]]=Age_Sex_BY[[#This Row],[Total Spending before Truncation is Applied]]</f>
        <v>1</v>
      </c>
    </row>
    <row r="233" spans="1:10" x14ac:dyDescent="0.25">
      <c r="A233" s="101"/>
      <c r="B233" s="104"/>
      <c r="C233" s="105"/>
      <c r="D233" s="273"/>
      <c r="E233" s="182"/>
      <c r="F233" s="110"/>
      <c r="G233" s="274"/>
      <c r="H233" s="110"/>
      <c r="I233" s="110"/>
      <c r="J233" s="237" t="b">
        <f>Age_Sex_BY[[#This Row],[Total Spending After Applying Truncation at the Member Level]]+Age_Sex_BY[[#This Row],[Total Dollars Excluded from Spending After Applying Truncation at the Member Level]]=Age_Sex_BY[[#This Row],[Total Spending before Truncation is Applied]]</f>
        <v>1</v>
      </c>
    </row>
    <row r="234" spans="1:10" x14ac:dyDescent="0.25">
      <c r="A234" s="101"/>
      <c r="B234" s="104"/>
      <c r="C234" s="105"/>
      <c r="D234" s="273"/>
      <c r="E234" s="182"/>
      <c r="F234" s="110"/>
      <c r="G234" s="274"/>
      <c r="H234" s="110"/>
      <c r="I234" s="110"/>
      <c r="J234" s="237" t="b">
        <f>Age_Sex_BY[[#This Row],[Total Spending After Applying Truncation at the Member Level]]+Age_Sex_BY[[#This Row],[Total Dollars Excluded from Spending After Applying Truncation at the Member Level]]=Age_Sex_BY[[#This Row],[Total Spending before Truncation is Applied]]</f>
        <v>1</v>
      </c>
    </row>
    <row r="235" spans="1:10" x14ac:dyDescent="0.25">
      <c r="A235" s="101"/>
      <c r="B235" s="104"/>
      <c r="C235" s="105"/>
      <c r="D235" s="273"/>
      <c r="E235" s="182"/>
      <c r="F235" s="110"/>
      <c r="G235" s="274"/>
      <c r="H235" s="110"/>
      <c r="I235" s="110"/>
      <c r="J235" s="237" t="b">
        <f>Age_Sex_BY[[#This Row],[Total Spending After Applying Truncation at the Member Level]]+Age_Sex_BY[[#This Row],[Total Dollars Excluded from Spending After Applying Truncation at the Member Level]]=Age_Sex_BY[[#This Row],[Total Spending before Truncation is Applied]]</f>
        <v>1</v>
      </c>
    </row>
    <row r="236" spans="1:10" x14ac:dyDescent="0.25">
      <c r="A236" s="101"/>
      <c r="B236" s="104"/>
      <c r="C236" s="105"/>
      <c r="D236" s="273"/>
      <c r="E236" s="182"/>
      <c r="F236" s="110"/>
      <c r="G236" s="274"/>
      <c r="H236" s="110"/>
      <c r="I236" s="110"/>
      <c r="J236" s="237" t="b">
        <f>Age_Sex_BY[[#This Row],[Total Spending After Applying Truncation at the Member Level]]+Age_Sex_BY[[#This Row],[Total Dollars Excluded from Spending After Applying Truncation at the Member Level]]=Age_Sex_BY[[#This Row],[Total Spending before Truncation is Applied]]</f>
        <v>1</v>
      </c>
    </row>
    <row r="237" spans="1:10" x14ac:dyDescent="0.25">
      <c r="A237" s="101"/>
      <c r="B237" s="104"/>
      <c r="C237" s="105"/>
      <c r="D237" s="273"/>
      <c r="E237" s="182"/>
      <c r="F237" s="110"/>
      <c r="G237" s="274"/>
      <c r="H237" s="110"/>
      <c r="I237" s="110"/>
      <c r="J237" s="237" t="b">
        <f>Age_Sex_BY[[#This Row],[Total Spending After Applying Truncation at the Member Level]]+Age_Sex_BY[[#This Row],[Total Dollars Excluded from Spending After Applying Truncation at the Member Level]]=Age_Sex_BY[[#This Row],[Total Spending before Truncation is Applied]]</f>
        <v>1</v>
      </c>
    </row>
    <row r="238" spans="1:10" x14ac:dyDescent="0.25">
      <c r="A238" s="101"/>
      <c r="B238" s="104"/>
      <c r="C238" s="105"/>
      <c r="D238" s="273"/>
      <c r="E238" s="182"/>
      <c r="F238" s="110"/>
      <c r="G238" s="274"/>
      <c r="H238" s="110"/>
      <c r="I238" s="110"/>
      <c r="J238" s="237" t="b">
        <f>Age_Sex_BY[[#This Row],[Total Spending After Applying Truncation at the Member Level]]+Age_Sex_BY[[#This Row],[Total Dollars Excluded from Spending After Applying Truncation at the Member Level]]=Age_Sex_BY[[#This Row],[Total Spending before Truncation is Applied]]</f>
        <v>1</v>
      </c>
    </row>
    <row r="239" spans="1:10" x14ac:dyDescent="0.25">
      <c r="A239" s="101"/>
      <c r="B239" s="104"/>
      <c r="C239" s="105"/>
      <c r="D239" s="273"/>
      <c r="E239" s="182"/>
      <c r="F239" s="110"/>
      <c r="G239" s="274"/>
      <c r="H239" s="110"/>
      <c r="I239" s="110"/>
      <c r="J239" s="237" t="b">
        <f>Age_Sex_BY[[#This Row],[Total Spending After Applying Truncation at the Member Level]]+Age_Sex_BY[[#This Row],[Total Dollars Excluded from Spending After Applying Truncation at the Member Level]]=Age_Sex_BY[[#This Row],[Total Spending before Truncation is Applied]]</f>
        <v>1</v>
      </c>
    </row>
    <row r="240" spans="1:10" x14ac:dyDescent="0.25">
      <c r="A240" s="101"/>
      <c r="B240" s="104"/>
      <c r="C240" s="105"/>
      <c r="D240" s="273"/>
      <c r="E240" s="182"/>
      <c r="F240" s="110"/>
      <c r="G240" s="274"/>
      <c r="H240" s="110"/>
      <c r="I240" s="110"/>
      <c r="J240" s="237" t="b">
        <f>Age_Sex_BY[[#This Row],[Total Spending After Applying Truncation at the Member Level]]+Age_Sex_BY[[#This Row],[Total Dollars Excluded from Spending After Applying Truncation at the Member Level]]=Age_Sex_BY[[#This Row],[Total Spending before Truncation is Applied]]</f>
        <v>1</v>
      </c>
    </row>
    <row r="241" spans="1:10" x14ac:dyDescent="0.25">
      <c r="A241" s="101"/>
      <c r="B241" s="104"/>
      <c r="C241" s="105"/>
      <c r="D241" s="273"/>
      <c r="E241" s="182"/>
      <c r="F241" s="110"/>
      <c r="G241" s="274"/>
      <c r="H241" s="110"/>
      <c r="I241" s="110"/>
      <c r="J241" s="237" t="b">
        <f>Age_Sex_BY[[#This Row],[Total Spending After Applying Truncation at the Member Level]]+Age_Sex_BY[[#This Row],[Total Dollars Excluded from Spending After Applying Truncation at the Member Level]]=Age_Sex_BY[[#This Row],[Total Spending before Truncation is Applied]]</f>
        <v>1</v>
      </c>
    </row>
    <row r="242" spans="1:10" x14ac:dyDescent="0.25">
      <c r="A242" s="101"/>
      <c r="B242" s="104"/>
      <c r="C242" s="105"/>
      <c r="D242" s="273"/>
      <c r="E242" s="182"/>
      <c r="F242" s="110"/>
      <c r="G242" s="274"/>
      <c r="H242" s="110"/>
      <c r="I242" s="110"/>
      <c r="J242" s="237" t="b">
        <f>Age_Sex_BY[[#This Row],[Total Spending After Applying Truncation at the Member Level]]+Age_Sex_BY[[#This Row],[Total Dollars Excluded from Spending After Applying Truncation at the Member Level]]=Age_Sex_BY[[#This Row],[Total Spending before Truncation is Applied]]</f>
        <v>1</v>
      </c>
    </row>
    <row r="243" spans="1:10" x14ac:dyDescent="0.25">
      <c r="A243" s="101"/>
      <c r="B243" s="104"/>
      <c r="C243" s="105"/>
      <c r="D243" s="273"/>
      <c r="E243" s="182"/>
      <c r="F243" s="110"/>
      <c r="G243" s="274"/>
      <c r="H243" s="110"/>
      <c r="I243" s="110"/>
      <c r="J243" s="237" t="b">
        <f>Age_Sex_BY[[#This Row],[Total Spending After Applying Truncation at the Member Level]]+Age_Sex_BY[[#This Row],[Total Dollars Excluded from Spending After Applying Truncation at the Member Level]]=Age_Sex_BY[[#This Row],[Total Spending before Truncation is Applied]]</f>
        <v>1</v>
      </c>
    </row>
    <row r="244" spans="1:10" x14ac:dyDescent="0.25">
      <c r="A244" s="101"/>
      <c r="B244" s="104"/>
      <c r="C244" s="105"/>
      <c r="D244" s="273"/>
      <c r="E244" s="182"/>
      <c r="F244" s="110"/>
      <c r="G244" s="274"/>
      <c r="H244" s="110"/>
      <c r="I244" s="110"/>
      <c r="J244" s="237" t="b">
        <f>Age_Sex_BY[[#This Row],[Total Spending After Applying Truncation at the Member Level]]+Age_Sex_BY[[#This Row],[Total Dollars Excluded from Spending After Applying Truncation at the Member Level]]=Age_Sex_BY[[#This Row],[Total Spending before Truncation is Applied]]</f>
        <v>1</v>
      </c>
    </row>
    <row r="245" spans="1:10" x14ac:dyDescent="0.25">
      <c r="A245" s="101"/>
      <c r="B245" s="104"/>
      <c r="C245" s="105"/>
      <c r="D245" s="273"/>
      <c r="E245" s="182"/>
      <c r="F245" s="110"/>
      <c r="G245" s="274"/>
      <c r="H245" s="110"/>
      <c r="I245" s="110"/>
      <c r="J245" s="237" t="b">
        <f>Age_Sex_BY[[#This Row],[Total Spending After Applying Truncation at the Member Level]]+Age_Sex_BY[[#This Row],[Total Dollars Excluded from Spending After Applying Truncation at the Member Level]]=Age_Sex_BY[[#This Row],[Total Spending before Truncation is Applied]]</f>
        <v>1</v>
      </c>
    </row>
    <row r="246" spans="1:10" x14ac:dyDescent="0.25">
      <c r="A246" s="101"/>
      <c r="B246" s="104"/>
      <c r="C246" s="105"/>
      <c r="D246" s="273"/>
      <c r="E246" s="182"/>
      <c r="F246" s="110"/>
      <c r="G246" s="274"/>
      <c r="H246" s="110"/>
      <c r="I246" s="110"/>
      <c r="J246" s="237" t="b">
        <f>Age_Sex_BY[[#This Row],[Total Spending After Applying Truncation at the Member Level]]+Age_Sex_BY[[#This Row],[Total Dollars Excluded from Spending After Applying Truncation at the Member Level]]=Age_Sex_BY[[#This Row],[Total Spending before Truncation is Applied]]</f>
        <v>1</v>
      </c>
    </row>
    <row r="247" spans="1:10" x14ac:dyDescent="0.25">
      <c r="A247" s="101"/>
      <c r="B247" s="104"/>
      <c r="C247" s="105"/>
      <c r="D247" s="273"/>
      <c r="E247" s="182"/>
      <c r="F247" s="110"/>
      <c r="G247" s="274"/>
      <c r="H247" s="110"/>
      <c r="I247" s="110"/>
      <c r="J247" s="237" t="b">
        <f>Age_Sex_BY[[#This Row],[Total Spending After Applying Truncation at the Member Level]]+Age_Sex_BY[[#This Row],[Total Dollars Excluded from Spending After Applying Truncation at the Member Level]]=Age_Sex_BY[[#This Row],[Total Spending before Truncation is Applied]]</f>
        <v>1</v>
      </c>
    </row>
    <row r="248" spans="1:10" x14ac:dyDescent="0.25">
      <c r="A248" s="101"/>
      <c r="B248" s="104"/>
      <c r="C248" s="105"/>
      <c r="D248" s="273"/>
      <c r="E248" s="182"/>
      <c r="F248" s="110"/>
      <c r="G248" s="274"/>
      <c r="H248" s="110"/>
      <c r="I248" s="110"/>
      <c r="J248" s="237" t="b">
        <f>Age_Sex_BY[[#This Row],[Total Spending After Applying Truncation at the Member Level]]+Age_Sex_BY[[#This Row],[Total Dollars Excluded from Spending After Applying Truncation at the Member Level]]=Age_Sex_BY[[#This Row],[Total Spending before Truncation is Applied]]</f>
        <v>1</v>
      </c>
    </row>
    <row r="249" spans="1:10" x14ac:dyDescent="0.25">
      <c r="A249" s="101"/>
      <c r="B249" s="104"/>
      <c r="C249" s="105"/>
      <c r="D249" s="273"/>
      <c r="E249" s="182"/>
      <c r="F249" s="110"/>
      <c r="G249" s="274"/>
      <c r="H249" s="110"/>
      <c r="I249" s="110"/>
      <c r="J249" s="237" t="b">
        <f>Age_Sex_BY[[#This Row],[Total Spending After Applying Truncation at the Member Level]]+Age_Sex_BY[[#This Row],[Total Dollars Excluded from Spending After Applying Truncation at the Member Level]]=Age_Sex_BY[[#This Row],[Total Spending before Truncation is Applied]]</f>
        <v>1</v>
      </c>
    </row>
    <row r="250" spans="1:10" x14ac:dyDescent="0.25">
      <c r="A250" s="101"/>
      <c r="B250" s="104"/>
      <c r="C250" s="105"/>
      <c r="D250" s="273"/>
      <c r="E250" s="182"/>
      <c r="F250" s="110"/>
      <c r="G250" s="274"/>
      <c r="H250" s="110"/>
      <c r="I250" s="110"/>
      <c r="J250" s="237" t="b">
        <f>Age_Sex_BY[[#This Row],[Total Spending After Applying Truncation at the Member Level]]+Age_Sex_BY[[#This Row],[Total Dollars Excluded from Spending After Applying Truncation at the Member Level]]=Age_Sex_BY[[#This Row],[Total Spending before Truncation is Applied]]</f>
        <v>1</v>
      </c>
    </row>
    <row r="251" spans="1:10" x14ac:dyDescent="0.25">
      <c r="A251" s="101"/>
      <c r="B251" s="104"/>
      <c r="C251" s="105"/>
      <c r="D251" s="273"/>
      <c r="E251" s="182"/>
      <c r="F251" s="110"/>
      <c r="G251" s="274"/>
      <c r="H251" s="110"/>
      <c r="I251" s="110"/>
      <c r="J251" s="237" t="b">
        <f>Age_Sex_BY[[#This Row],[Total Spending After Applying Truncation at the Member Level]]+Age_Sex_BY[[#This Row],[Total Dollars Excluded from Spending After Applying Truncation at the Member Level]]=Age_Sex_BY[[#This Row],[Total Spending before Truncation is Applied]]</f>
        <v>1</v>
      </c>
    </row>
    <row r="252" spans="1:10" x14ac:dyDescent="0.25">
      <c r="A252" s="101"/>
      <c r="B252" s="104"/>
      <c r="C252" s="105"/>
      <c r="D252" s="273"/>
      <c r="E252" s="182"/>
      <c r="F252" s="110"/>
      <c r="G252" s="274"/>
      <c r="H252" s="110"/>
      <c r="I252" s="110"/>
      <c r="J252" s="237" t="b">
        <f>Age_Sex_BY[[#This Row],[Total Spending After Applying Truncation at the Member Level]]+Age_Sex_BY[[#This Row],[Total Dollars Excluded from Spending After Applying Truncation at the Member Level]]=Age_Sex_BY[[#This Row],[Total Spending before Truncation is Applied]]</f>
        <v>1</v>
      </c>
    </row>
    <row r="253" spans="1:10" x14ac:dyDescent="0.25">
      <c r="A253" s="101"/>
      <c r="B253" s="104"/>
      <c r="C253" s="105"/>
      <c r="D253" s="273"/>
      <c r="E253" s="182"/>
      <c r="F253" s="110"/>
      <c r="G253" s="274"/>
      <c r="H253" s="110"/>
      <c r="I253" s="110"/>
      <c r="J253" s="237" t="b">
        <f>Age_Sex_BY[[#This Row],[Total Spending After Applying Truncation at the Member Level]]+Age_Sex_BY[[#This Row],[Total Dollars Excluded from Spending After Applying Truncation at the Member Level]]=Age_Sex_BY[[#This Row],[Total Spending before Truncation is Applied]]</f>
        <v>1</v>
      </c>
    </row>
    <row r="254" spans="1:10" x14ac:dyDescent="0.25">
      <c r="A254" s="101"/>
      <c r="B254" s="104"/>
      <c r="C254" s="105"/>
      <c r="D254" s="273"/>
      <c r="E254" s="182"/>
      <c r="F254" s="110"/>
      <c r="G254" s="274"/>
      <c r="H254" s="110"/>
      <c r="I254" s="110"/>
      <c r="J254" s="237" t="b">
        <f>Age_Sex_BY[[#This Row],[Total Spending After Applying Truncation at the Member Level]]+Age_Sex_BY[[#This Row],[Total Dollars Excluded from Spending After Applying Truncation at the Member Level]]=Age_Sex_BY[[#This Row],[Total Spending before Truncation is Applied]]</f>
        <v>1</v>
      </c>
    </row>
    <row r="255" spans="1:10" x14ac:dyDescent="0.25">
      <c r="A255" s="101"/>
      <c r="B255" s="104"/>
      <c r="C255" s="105"/>
      <c r="D255" s="273"/>
      <c r="E255" s="182"/>
      <c r="F255" s="110"/>
      <c r="G255" s="274"/>
      <c r="H255" s="110"/>
      <c r="I255" s="110"/>
      <c r="J255" s="237" t="b">
        <f>Age_Sex_BY[[#This Row],[Total Spending After Applying Truncation at the Member Level]]+Age_Sex_BY[[#This Row],[Total Dollars Excluded from Spending After Applying Truncation at the Member Level]]=Age_Sex_BY[[#This Row],[Total Spending before Truncation is Applied]]</f>
        <v>1</v>
      </c>
    </row>
    <row r="256" spans="1:10" x14ac:dyDescent="0.25">
      <c r="A256" s="101"/>
      <c r="B256" s="104"/>
      <c r="C256" s="105"/>
      <c r="D256" s="273"/>
      <c r="E256" s="182"/>
      <c r="F256" s="110"/>
      <c r="G256" s="274"/>
      <c r="H256" s="110"/>
      <c r="I256" s="110"/>
      <c r="J256" s="237" t="b">
        <f>Age_Sex_BY[[#This Row],[Total Spending After Applying Truncation at the Member Level]]+Age_Sex_BY[[#This Row],[Total Dollars Excluded from Spending After Applying Truncation at the Member Level]]=Age_Sex_BY[[#This Row],[Total Spending before Truncation is Applied]]</f>
        <v>1</v>
      </c>
    </row>
    <row r="257" spans="1:10" x14ac:dyDescent="0.25">
      <c r="A257" s="101"/>
      <c r="B257" s="104"/>
      <c r="C257" s="105"/>
      <c r="D257" s="273"/>
      <c r="E257" s="182"/>
      <c r="F257" s="110"/>
      <c r="G257" s="274"/>
      <c r="H257" s="110"/>
      <c r="I257" s="110"/>
      <c r="J257" s="237" t="b">
        <f>Age_Sex_BY[[#This Row],[Total Spending After Applying Truncation at the Member Level]]+Age_Sex_BY[[#This Row],[Total Dollars Excluded from Spending After Applying Truncation at the Member Level]]=Age_Sex_BY[[#This Row],[Total Spending before Truncation is Applied]]</f>
        <v>1</v>
      </c>
    </row>
    <row r="258" spans="1:10" x14ac:dyDescent="0.25">
      <c r="A258" s="101"/>
      <c r="B258" s="104"/>
      <c r="C258" s="105"/>
      <c r="D258" s="273"/>
      <c r="E258" s="182"/>
      <c r="F258" s="110"/>
      <c r="G258" s="274"/>
      <c r="H258" s="110"/>
      <c r="I258" s="110"/>
      <c r="J258" s="237" t="b">
        <f>Age_Sex_BY[[#This Row],[Total Spending After Applying Truncation at the Member Level]]+Age_Sex_BY[[#This Row],[Total Dollars Excluded from Spending After Applying Truncation at the Member Level]]=Age_Sex_BY[[#This Row],[Total Spending before Truncation is Applied]]</f>
        <v>1</v>
      </c>
    </row>
    <row r="259" spans="1:10" x14ac:dyDescent="0.25">
      <c r="A259" s="101"/>
      <c r="B259" s="104"/>
      <c r="C259" s="105"/>
      <c r="D259" s="273"/>
      <c r="E259" s="182"/>
      <c r="F259" s="110"/>
      <c r="G259" s="274"/>
      <c r="H259" s="110"/>
      <c r="I259" s="110"/>
      <c r="J259" s="237" t="b">
        <f>Age_Sex_BY[[#This Row],[Total Spending After Applying Truncation at the Member Level]]+Age_Sex_BY[[#This Row],[Total Dollars Excluded from Spending After Applying Truncation at the Member Level]]=Age_Sex_BY[[#This Row],[Total Spending before Truncation is Applied]]</f>
        <v>1</v>
      </c>
    </row>
    <row r="260" spans="1:10" x14ac:dyDescent="0.25">
      <c r="A260" s="101"/>
      <c r="B260" s="104"/>
      <c r="C260" s="105"/>
      <c r="D260" s="273"/>
      <c r="E260" s="182"/>
      <c r="F260" s="110"/>
      <c r="G260" s="274"/>
      <c r="H260" s="110"/>
      <c r="I260" s="110"/>
      <c r="J260" s="237" t="b">
        <f>Age_Sex_BY[[#This Row],[Total Spending After Applying Truncation at the Member Level]]+Age_Sex_BY[[#This Row],[Total Dollars Excluded from Spending After Applying Truncation at the Member Level]]=Age_Sex_BY[[#This Row],[Total Spending before Truncation is Applied]]</f>
        <v>1</v>
      </c>
    </row>
    <row r="261" spans="1:10" x14ac:dyDescent="0.25">
      <c r="A261" s="101"/>
      <c r="B261" s="104"/>
      <c r="C261" s="105"/>
      <c r="D261" s="273"/>
      <c r="E261" s="182"/>
      <c r="F261" s="110"/>
      <c r="G261" s="274"/>
      <c r="H261" s="110"/>
      <c r="I261" s="110"/>
      <c r="J261" s="237" t="b">
        <f>Age_Sex_BY[[#This Row],[Total Spending After Applying Truncation at the Member Level]]+Age_Sex_BY[[#This Row],[Total Dollars Excluded from Spending After Applying Truncation at the Member Level]]=Age_Sex_BY[[#This Row],[Total Spending before Truncation is Applied]]</f>
        <v>1</v>
      </c>
    </row>
    <row r="262" spans="1:10" x14ac:dyDescent="0.25">
      <c r="A262" s="101"/>
      <c r="B262" s="104"/>
      <c r="C262" s="105"/>
      <c r="D262" s="273"/>
      <c r="E262" s="182"/>
      <c r="F262" s="110"/>
      <c r="G262" s="274"/>
      <c r="H262" s="110"/>
      <c r="I262" s="110"/>
      <c r="J262" s="237" t="b">
        <f>Age_Sex_BY[[#This Row],[Total Spending After Applying Truncation at the Member Level]]+Age_Sex_BY[[#This Row],[Total Dollars Excluded from Spending After Applying Truncation at the Member Level]]=Age_Sex_BY[[#This Row],[Total Spending before Truncation is Applied]]</f>
        <v>1</v>
      </c>
    </row>
    <row r="263" spans="1:10" x14ac:dyDescent="0.25">
      <c r="A263" s="101"/>
      <c r="B263" s="104"/>
      <c r="C263" s="105"/>
      <c r="D263" s="273"/>
      <c r="E263" s="182"/>
      <c r="F263" s="110"/>
      <c r="G263" s="274"/>
      <c r="H263" s="110"/>
      <c r="I263" s="110"/>
      <c r="J263" s="237" t="b">
        <f>Age_Sex_BY[[#This Row],[Total Spending After Applying Truncation at the Member Level]]+Age_Sex_BY[[#This Row],[Total Dollars Excluded from Spending After Applying Truncation at the Member Level]]=Age_Sex_BY[[#This Row],[Total Spending before Truncation is Applied]]</f>
        <v>1</v>
      </c>
    </row>
    <row r="264" spans="1:10" x14ac:dyDescent="0.25">
      <c r="A264" s="101"/>
      <c r="B264" s="104"/>
      <c r="C264" s="105"/>
      <c r="D264" s="273"/>
      <c r="E264" s="182"/>
      <c r="F264" s="110"/>
      <c r="G264" s="274"/>
      <c r="H264" s="110"/>
      <c r="I264" s="110"/>
      <c r="J264" s="237" t="b">
        <f>Age_Sex_BY[[#This Row],[Total Spending After Applying Truncation at the Member Level]]+Age_Sex_BY[[#This Row],[Total Dollars Excluded from Spending After Applying Truncation at the Member Level]]=Age_Sex_BY[[#This Row],[Total Spending before Truncation is Applied]]</f>
        <v>1</v>
      </c>
    </row>
    <row r="265" spans="1:10" x14ac:dyDescent="0.25">
      <c r="A265" s="101"/>
      <c r="B265" s="104"/>
      <c r="C265" s="105"/>
      <c r="D265" s="273"/>
      <c r="E265" s="182"/>
      <c r="F265" s="110"/>
      <c r="G265" s="274"/>
      <c r="H265" s="110"/>
      <c r="I265" s="110"/>
      <c r="J265" s="237" t="b">
        <f>Age_Sex_BY[[#This Row],[Total Spending After Applying Truncation at the Member Level]]+Age_Sex_BY[[#This Row],[Total Dollars Excluded from Spending After Applying Truncation at the Member Level]]=Age_Sex_BY[[#This Row],[Total Spending before Truncation is Applied]]</f>
        <v>1</v>
      </c>
    </row>
    <row r="266" spans="1:10" x14ac:dyDescent="0.25">
      <c r="A266" s="101"/>
      <c r="B266" s="104"/>
      <c r="C266" s="105"/>
      <c r="D266" s="273"/>
      <c r="E266" s="182"/>
      <c r="F266" s="110"/>
      <c r="G266" s="274"/>
      <c r="H266" s="110"/>
      <c r="I266" s="110"/>
      <c r="J266" s="237" t="b">
        <f>Age_Sex_BY[[#This Row],[Total Spending After Applying Truncation at the Member Level]]+Age_Sex_BY[[#This Row],[Total Dollars Excluded from Spending After Applying Truncation at the Member Level]]=Age_Sex_BY[[#This Row],[Total Spending before Truncation is Applied]]</f>
        <v>1</v>
      </c>
    </row>
    <row r="267" spans="1:10" x14ac:dyDescent="0.25">
      <c r="A267" s="101"/>
      <c r="B267" s="104"/>
      <c r="C267" s="105"/>
      <c r="D267" s="273"/>
      <c r="E267" s="182"/>
      <c r="F267" s="110"/>
      <c r="G267" s="274"/>
      <c r="H267" s="110"/>
      <c r="I267" s="110"/>
      <c r="J267" s="237" t="b">
        <f>Age_Sex_BY[[#This Row],[Total Spending After Applying Truncation at the Member Level]]+Age_Sex_BY[[#This Row],[Total Dollars Excluded from Spending After Applying Truncation at the Member Level]]=Age_Sex_BY[[#This Row],[Total Spending before Truncation is Applied]]</f>
        <v>1</v>
      </c>
    </row>
    <row r="268" spans="1:10" x14ac:dyDescent="0.25">
      <c r="A268" s="101"/>
      <c r="B268" s="104"/>
      <c r="C268" s="105"/>
      <c r="D268" s="273"/>
      <c r="E268" s="182"/>
      <c r="F268" s="110"/>
      <c r="G268" s="274"/>
      <c r="H268" s="110"/>
      <c r="I268" s="110"/>
      <c r="J268" s="237" t="b">
        <f>Age_Sex_BY[[#This Row],[Total Spending After Applying Truncation at the Member Level]]+Age_Sex_BY[[#This Row],[Total Dollars Excluded from Spending After Applying Truncation at the Member Level]]=Age_Sex_BY[[#This Row],[Total Spending before Truncation is Applied]]</f>
        <v>1</v>
      </c>
    </row>
    <row r="269" spans="1:10" x14ac:dyDescent="0.25">
      <c r="A269" s="101"/>
      <c r="B269" s="104"/>
      <c r="C269" s="105"/>
      <c r="D269" s="273"/>
      <c r="E269" s="182"/>
      <c r="F269" s="110"/>
      <c r="G269" s="274"/>
      <c r="H269" s="110"/>
      <c r="I269" s="110"/>
      <c r="J269" s="237" t="b">
        <f>Age_Sex_BY[[#This Row],[Total Spending After Applying Truncation at the Member Level]]+Age_Sex_BY[[#This Row],[Total Dollars Excluded from Spending After Applying Truncation at the Member Level]]=Age_Sex_BY[[#This Row],[Total Spending before Truncation is Applied]]</f>
        <v>1</v>
      </c>
    </row>
    <row r="270" spans="1:10" x14ac:dyDescent="0.25">
      <c r="A270" s="101"/>
      <c r="B270" s="104"/>
      <c r="C270" s="105"/>
      <c r="D270" s="273"/>
      <c r="E270" s="182"/>
      <c r="F270" s="110"/>
      <c r="G270" s="274"/>
      <c r="H270" s="110"/>
      <c r="I270" s="110"/>
      <c r="J270" s="237" t="b">
        <f>Age_Sex_BY[[#This Row],[Total Spending After Applying Truncation at the Member Level]]+Age_Sex_BY[[#This Row],[Total Dollars Excluded from Spending After Applying Truncation at the Member Level]]=Age_Sex_BY[[#This Row],[Total Spending before Truncation is Applied]]</f>
        <v>1</v>
      </c>
    </row>
    <row r="271" spans="1:10" x14ac:dyDescent="0.25">
      <c r="A271" s="101"/>
      <c r="B271" s="104"/>
      <c r="C271" s="105"/>
      <c r="D271" s="273"/>
      <c r="E271" s="182"/>
      <c r="F271" s="110"/>
      <c r="G271" s="274"/>
      <c r="H271" s="110"/>
      <c r="I271" s="110"/>
      <c r="J271" s="237" t="b">
        <f>Age_Sex_BY[[#This Row],[Total Spending After Applying Truncation at the Member Level]]+Age_Sex_BY[[#This Row],[Total Dollars Excluded from Spending After Applying Truncation at the Member Level]]=Age_Sex_BY[[#This Row],[Total Spending before Truncation is Applied]]</f>
        <v>1</v>
      </c>
    </row>
    <row r="272" spans="1:10" x14ac:dyDescent="0.25">
      <c r="A272" s="101"/>
      <c r="B272" s="104"/>
      <c r="C272" s="105"/>
      <c r="D272" s="273"/>
      <c r="E272" s="182"/>
      <c r="F272" s="110"/>
      <c r="G272" s="274"/>
      <c r="H272" s="110"/>
      <c r="I272" s="110"/>
      <c r="J272" s="237" t="b">
        <f>Age_Sex_BY[[#This Row],[Total Spending After Applying Truncation at the Member Level]]+Age_Sex_BY[[#This Row],[Total Dollars Excluded from Spending After Applying Truncation at the Member Level]]=Age_Sex_BY[[#This Row],[Total Spending before Truncation is Applied]]</f>
        <v>1</v>
      </c>
    </row>
    <row r="273" spans="1:10" x14ac:dyDescent="0.25">
      <c r="A273" s="101"/>
      <c r="B273" s="104"/>
      <c r="C273" s="105"/>
      <c r="D273" s="273"/>
      <c r="E273" s="182"/>
      <c r="F273" s="110"/>
      <c r="G273" s="274"/>
      <c r="H273" s="110"/>
      <c r="I273" s="110"/>
      <c r="J273" s="237" t="b">
        <f>Age_Sex_BY[[#This Row],[Total Spending After Applying Truncation at the Member Level]]+Age_Sex_BY[[#This Row],[Total Dollars Excluded from Spending After Applying Truncation at the Member Level]]=Age_Sex_BY[[#This Row],[Total Spending before Truncation is Applied]]</f>
        <v>1</v>
      </c>
    </row>
    <row r="274" spans="1:10" x14ac:dyDescent="0.25">
      <c r="A274" s="101"/>
      <c r="B274" s="104"/>
      <c r="C274" s="105"/>
      <c r="D274" s="273"/>
      <c r="E274" s="182"/>
      <c r="F274" s="110"/>
      <c r="G274" s="274"/>
      <c r="H274" s="110"/>
      <c r="I274" s="110"/>
      <c r="J274" s="237" t="b">
        <f>Age_Sex_BY[[#This Row],[Total Spending After Applying Truncation at the Member Level]]+Age_Sex_BY[[#This Row],[Total Dollars Excluded from Spending After Applying Truncation at the Member Level]]=Age_Sex_BY[[#This Row],[Total Spending before Truncation is Applied]]</f>
        <v>1</v>
      </c>
    </row>
    <row r="275" spans="1:10" x14ac:dyDescent="0.25">
      <c r="A275" s="101"/>
      <c r="B275" s="104"/>
      <c r="C275" s="105"/>
      <c r="D275" s="273"/>
      <c r="E275" s="182"/>
      <c r="F275" s="110"/>
      <c r="G275" s="274"/>
      <c r="H275" s="110"/>
      <c r="I275" s="110"/>
      <c r="J275" s="237" t="b">
        <f>Age_Sex_BY[[#This Row],[Total Spending After Applying Truncation at the Member Level]]+Age_Sex_BY[[#This Row],[Total Dollars Excluded from Spending After Applying Truncation at the Member Level]]=Age_Sex_BY[[#This Row],[Total Spending before Truncation is Applied]]</f>
        <v>1</v>
      </c>
    </row>
    <row r="276" spans="1:10" x14ac:dyDescent="0.25">
      <c r="A276" s="101"/>
      <c r="B276" s="104"/>
      <c r="C276" s="105"/>
      <c r="D276" s="273"/>
      <c r="E276" s="182"/>
      <c r="F276" s="110"/>
      <c r="G276" s="274"/>
      <c r="H276" s="110"/>
      <c r="I276" s="110"/>
      <c r="J276" s="237" t="b">
        <f>Age_Sex_BY[[#This Row],[Total Spending After Applying Truncation at the Member Level]]+Age_Sex_BY[[#This Row],[Total Dollars Excluded from Spending After Applying Truncation at the Member Level]]=Age_Sex_BY[[#This Row],[Total Spending before Truncation is Applied]]</f>
        <v>1</v>
      </c>
    </row>
    <row r="277" spans="1:10" x14ac:dyDescent="0.25">
      <c r="A277" s="101"/>
      <c r="B277" s="104"/>
      <c r="C277" s="105"/>
      <c r="D277" s="273"/>
      <c r="E277" s="182"/>
      <c r="F277" s="110"/>
      <c r="G277" s="274"/>
      <c r="H277" s="110"/>
      <c r="I277" s="110"/>
      <c r="J277" s="237" t="b">
        <f>Age_Sex_BY[[#This Row],[Total Spending After Applying Truncation at the Member Level]]+Age_Sex_BY[[#This Row],[Total Dollars Excluded from Spending After Applying Truncation at the Member Level]]=Age_Sex_BY[[#This Row],[Total Spending before Truncation is Applied]]</f>
        <v>1</v>
      </c>
    </row>
    <row r="278" spans="1:10" x14ac:dyDescent="0.25">
      <c r="A278" s="101"/>
      <c r="B278" s="104"/>
      <c r="C278" s="105"/>
      <c r="D278" s="273"/>
      <c r="E278" s="182"/>
      <c r="F278" s="110"/>
      <c r="G278" s="274"/>
      <c r="H278" s="110"/>
      <c r="I278" s="110"/>
      <c r="J278" s="237" t="b">
        <f>Age_Sex_BY[[#This Row],[Total Spending After Applying Truncation at the Member Level]]+Age_Sex_BY[[#This Row],[Total Dollars Excluded from Spending After Applying Truncation at the Member Level]]=Age_Sex_BY[[#This Row],[Total Spending before Truncation is Applied]]</f>
        <v>1</v>
      </c>
    </row>
    <row r="279" spans="1:10" x14ac:dyDescent="0.25">
      <c r="A279" s="101"/>
      <c r="B279" s="104"/>
      <c r="C279" s="105"/>
      <c r="D279" s="273"/>
      <c r="E279" s="182"/>
      <c r="F279" s="110"/>
      <c r="G279" s="274"/>
      <c r="H279" s="110"/>
      <c r="I279" s="110"/>
      <c r="J279" s="237" t="b">
        <f>Age_Sex_BY[[#This Row],[Total Spending After Applying Truncation at the Member Level]]+Age_Sex_BY[[#This Row],[Total Dollars Excluded from Spending After Applying Truncation at the Member Level]]=Age_Sex_BY[[#This Row],[Total Spending before Truncation is Applied]]</f>
        <v>1</v>
      </c>
    </row>
    <row r="280" spans="1:10" x14ac:dyDescent="0.25">
      <c r="A280" s="101"/>
      <c r="B280" s="104"/>
      <c r="C280" s="105"/>
      <c r="D280" s="273"/>
      <c r="E280" s="182"/>
      <c r="F280" s="110"/>
      <c r="G280" s="274"/>
      <c r="H280" s="110"/>
      <c r="I280" s="110"/>
      <c r="J280" s="237" t="b">
        <f>Age_Sex_BY[[#This Row],[Total Spending After Applying Truncation at the Member Level]]+Age_Sex_BY[[#This Row],[Total Dollars Excluded from Spending After Applying Truncation at the Member Level]]=Age_Sex_BY[[#This Row],[Total Spending before Truncation is Applied]]</f>
        <v>1</v>
      </c>
    </row>
    <row r="281" spans="1:10" x14ac:dyDescent="0.25">
      <c r="A281" s="101"/>
      <c r="B281" s="104"/>
      <c r="C281" s="105"/>
      <c r="D281" s="273"/>
      <c r="E281" s="182"/>
      <c r="F281" s="110"/>
      <c r="G281" s="274"/>
      <c r="H281" s="110"/>
      <c r="I281" s="110"/>
      <c r="J281" s="237" t="b">
        <f>Age_Sex_BY[[#This Row],[Total Spending After Applying Truncation at the Member Level]]+Age_Sex_BY[[#This Row],[Total Dollars Excluded from Spending After Applying Truncation at the Member Level]]=Age_Sex_BY[[#This Row],[Total Spending before Truncation is Applied]]</f>
        <v>1</v>
      </c>
    </row>
    <row r="282" spans="1:10" x14ac:dyDescent="0.25">
      <c r="A282" s="101"/>
      <c r="B282" s="104"/>
      <c r="C282" s="105"/>
      <c r="D282" s="273"/>
      <c r="E282" s="182"/>
      <c r="F282" s="110"/>
      <c r="G282" s="274"/>
      <c r="H282" s="110"/>
      <c r="I282" s="110"/>
      <c r="J282" s="237" t="b">
        <f>Age_Sex_BY[[#This Row],[Total Spending After Applying Truncation at the Member Level]]+Age_Sex_BY[[#This Row],[Total Dollars Excluded from Spending After Applying Truncation at the Member Level]]=Age_Sex_BY[[#This Row],[Total Spending before Truncation is Applied]]</f>
        <v>1</v>
      </c>
    </row>
    <row r="283" spans="1:10" x14ac:dyDescent="0.25">
      <c r="A283" s="101"/>
      <c r="B283" s="104"/>
      <c r="C283" s="105"/>
      <c r="D283" s="273"/>
      <c r="E283" s="182"/>
      <c r="F283" s="110"/>
      <c r="G283" s="274"/>
      <c r="H283" s="110"/>
      <c r="I283" s="110"/>
      <c r="J283" s="237" t="b">
        <f>Age_Sex_BY[[#This Row],[Total Spending After Applying Truncation at the Member Level]]+Age_Sex_BY[[#This Row],[Total Dollars Excluded from Spending After Applying Truncation at the Member Level]]=Age_Sex_BY[[#This Row],[Total Spending before Truncation is Applied]]</f>
        <v>1</v>
      </c>
    </row>
    <row r="284" spans="1:10" x14ac:dyDescent="0.25">
      <c r="A284" s="101"/>
      <c r="B284" s="104"/>
      <c r="C284" s="105"/>
      <c r="D284" s="273"/>
      <c r="E284" s="182"/>
      <c r="F284" s="110"/>
      <c r="G284" s="274"/>
      <c r="H284" s="110"/>
      <c r="I284" s="110"/>
      <c r="J284" s="237" t="b">
        <f>Age_Sex_BY[[#This Row],[Total Spending After Applying Truncation at the Member Level]]+Age_Sex_BY[[#This Row],[Total Dollars Excluded from Spending After Applying Truncation at the Member Level]]=Age_Sex_BY[[#This Row],[Total Spending before Truncation is Applied]]</f>
        <v>1</v>
      </c>
    </row>
    <row r="285" spans="1:10" x14ac:dyDescent="0.25">
      <c r="A285" s="101"/>
      <c r="B285" s="104"/>
      <c r="C285" s="105"/>
      <c r="D285" s="273"/>
      <c r="E285" s="182"/>
      <c r="F285" s="110"/>
      <c r="G285" s="274"/>
      <c r="H285" s="110"/>
      <c r="I285" s="110"/>
      <c r="J285" s="237" t="b">
        <f>Age_Sex_BY[[#This Row],[Total Spending After Applying Truncation at the Member Level]]+Age_Sex_BY[[#This Row],[Total Dollars Excluded from Spending After Applying Truncation at the Member Level]]=Age_Sex_BY[[#This Row],[Total Spending before Truncation is Applied]]</f>
        <v>1</v>
      </c>
    </row>
    <row r="286" spans="1:10" x14ac:dyDescent="0.25">
      <c r="A286" s="101"/>
      <c r="B286" s="104"/>
      <c r="C286" s="105"/>
      <c r="D286" s="273"/>
      <c r="E286" s="182"/>
      <c r="F286" s="110"/>
      <c r="G286" s="274"/>
      <c r="H286" s="110"/>
      <c r="I286" s="110"/>
      <c r="J286" s="237" t="b">
        <f>Age_Sex_BY[[#This Row],[Total Spending After Applying Truncation at the Member Level]]+Age_Sex_BY[[#This Row],[Total Dollars Excluded from Spending After Applying Truncation at the Member Level]]=Age_Sex_BY[[#This Row],[Total Spending before Truncation is Applied]]</f>
        <v>1</v>
      </c>
    </row>
    <row r="287" spans="1:10" x14ac:dyDescent="0.25">
      <c r="A287" s="101"/>
      <c r="B287" s="104"/>
      <c r="C287" s="105"/>
      <c r="D287" s="273"/>
      <c r="E287" s="182"/>
      <c r="F287" s="110"/>
      <c r="G287" s="274"/>
      <c r="H287" s="110"/>
      <c r="I287" s="110"/>
      <c r="J287" s="237" t="b">
        <f>Age_Sex_BY[[#This Row],[Total Spending After Applying Truncation at the Member Level]]+Age_Sex_BY[[#This Row],[Total Dollars Excluded from Spending After Applying Truncation at the Member Level]]=Age_Sex_BY[[#This Row],[Total Spending before Truncation is Applied]]</f>
        <v>1</v>
      </c>
    </row>
    <row r="288" spans="1:10" x14ac:dyDescent="0.25">
      <c r="A288" s="101"/>
      <c r="B288" s="104"/>
      <c r="C288" s="105"/>
      <c r="D288" s="273"/>
      <c r="E288" s="182"/>
      <c r="F288" s="110"/>
      <c r="G288" s="274"/>
      <c r="H288" s="110"/>
      <c r="I288" s="110"/>
      <c r="J288" s="237" t="b">
        <f>Age_Sex_BY[[#This Row],[Total Spending After Applying Truncation at the Member Level]]+Age_Sex_BY[[#This Row],[Total Dollars Excluded from Spending After Applying Truncation at the Member Level]]=Age_Sex_BY[[#This Row],[Total Spending before Truncation is Applied]]</f>
        <v>1</v>
      </c>
    </row>
    <row r="289" spans="1:10" x14ac:dyDescent="0.25">
      <c r="A289" s="101"/>
      <c r="B289" s="104"/>
      <c r="C289" s="105"/>
      <c r="D289" s="273"/>
      <c r="E289" s="182"/>
      <c r="F289" s="110"/>
      <c r="G289" s="274"/>
      <c r="H289" s="110"/>
      <c r="I289" s="110"/>
      <c r="J289" s="237" t="b">
        <f>Age_Sex_BY[[#This Row],[Total Spending After Applying Truncation at the Member Level]]+Age_Sex_BY[[#This Row],[Total Dollars Excluded from Spending After Applying Truncation at the Member Level]]=Age_Sex_BY[[#This Row],[Total Spending before Truncation is Applied]]</f>
        <v>1</v>
      </c>
    </row>
    <row r="290" spans="1:10" x14ac:dyDescent="0.25">
      <c r="A290" s="101"/>
      <c r="B290" s="104"/>
      <c r="C290" s="105"/>
      <c r="D290" s="273"/>
      <c r="E290" s="182"/>
      <c r="F290" s="110"/>
      <c r="G290" s="274"/>
      <c r="H290" s="110"/>
      <c r="I290" s="110"/>
      <c r="J290" s="237" t="b">
        <f>Age_Sex_BY[[#This Row],[Total Spending After Applying Truncation at the Member Level]]+Age_Sex_BY[[#This Row],[Total Dollars Excluded from Spending After Applying Truncation at the Member Level]]=Age_Sex_BY[[#This Row],[Total Spending before Truncation is Applied]]</f>
        <v>1</v>
      </c>
    </row>
    <row r="291" spans="1:10" x14ac:dyDescent="0.25">
      <c r="A291" s="101"/>
      <c r="B291" s="104"/>
      <c r="C291" s="105"/>
      <c r="D291" s="273"/>
      <c r="E291" s="182"/>
      <c r="F291" s="110"/>
      <c r="G291" s="274"/>
      <c r="H291" s="110"/>
      <c r="I291" s="110"/>
      <c r="J291" s="237" t="b">
        <f>Age_Sex_BY[[#This Row],[Total Spending After Applying Truncation at the Member Level]]+Age_Sex_BY[[#This Row],[Total Dollars Excluded from Spending After Applying Truncation at the Member Level]]=Age_Sex_BY[[#This Row],[Total Spending before Truncation is Applied]]</f>
        <v>1</v>
      </c>
    </row>
    <row r="292" spans="1:10" x14ac:dyDescent="0.25">
      <c r="A292" s="101"/>
      <c r="B292" s="104"/>
      <c r="C292" s="105"/>
      <c r="D292" s="273"/>
      <c r="E292" s="182"/>
      <c r="F292" s="110"/>
      <c r="G292" s="274"/>
      <c r="H292" s="110"/>
      <c r="I292" s="110"/>
      <c r="J292" s="237" t="b">
        <f>Age_Sex_BY[[#This Row],[Total Spending After Applying Truncation at the Member Level]]+Age_Sex_BY[[#This Row],[Total Dollars Excluded from Spending After Applying Truncation at the Member Level]]=Age_Sex_BY[[#This Row],[Total Spending before Truncation is Applied]]</f>
        <v>1</v>
      </c>
    </row>
    <row r="293" spans="1:10" x14ac:dyDescent="0.25">
      <c r="A293" s="101"/>
      <c r="B293" s="104"/>
      <c r="C293" s="105"/>
      <c r="D293" s="273"/>
      <c r="E293" s="182"/>
      <c r="F293" s="110"/>
      <c r="G293" s="274"/>
      <c r="H293" s="110"/>
      <c r="I293" s="110"/>
      <c r="J293" s="237" t="b">
        <f>Age_Sex_BY[[#This Row],[Total Spending After Applying Truncation at the Member Level]]+Age_Sex_BY[[#This Row],[Total Dollars Excluded from Spending After Applying Truncation at the Member Level]]=Age_Sex_BY[[#This Row],[Total Spending before Truncation is Applied]]</f>
        <v>1</v>
      </c>
    </row>
    <row r="294" spans="1:10" x14ac:dyDescent="0.25">
      <c r="A294" s="101"/>
      <c r="B294" s="104"/>
      <c r="C294" s="105"/>
      <c r="D294" s="273"/>
      <c r="E294" s="182"/>
      <c r="F294" s="110"/>
      <c r="G294" s="274"/>
      <c r="H294" s="110"/>
      <c r="I294" s="110"/>
      <c r="J294" s="237" t="b">
        <f>Age_Sex_BY[[#This Row],[Total Spending After Applying Truncation at the Member Level]]+Age_Sex_BY[[#This Row],[Total Dollars Excluded from Spending After Applying Truncation at the Member Level]]=Age_Sex_BY[[#This Row],[Total Spending before Truncation is Applied]]</f>
        <v>1</v>
      </c>
    </row>
    <row r="295" spans="1:10" x14ac:dyDescent="0.25">
      <c r="A295" s="101"/>
      <c r="B295" s="104"/>
      <c r="C295" s="105"/>
      <c r="D295" s="273"/>
      <c r="E295" s="182"/>
      <c r="F295" s="110"/>
      <c r="G295" s="274"/>
      <c r="H295" s="110"/>
      <c r="I295" s="110"/>
      <c r="J295" s="237" t="b">
        <f>Age_Sex_BY[[#This Row],[Total Spending After Applying Truncation at the Member Level]]+Age_Sex_BY[[#This Row],[Total Dollars Excluded from Spending After Applying Truncation at the Member Level]]=Age_Sex_BY[[#This Row],[Total Spending before Truncation is Applied]]</f>
        <v>1</v>
      </c>
    </row>
    <row r="296" spans="1:10" x14ac:dyDescent="0.25">
      <c r="A296" s="101"/>
      <c r="B296" s="104"/>
      <c r="C296" s="105"/>
      <c r="D296" s="273"/>
      <c r="E296" s="182"/>
      <c r="F296" s="110"/>
      <c r="G296" s="274"/>
      <c r="H296" s="110"/>
      <c r="I296" s="110"/>
      <c r="J296" s="237" t="b">
        <f>Age_Sex_BY[[#This Row],[Total Spending After Applying Truncation at the Member Level]]+Age_Sex_BY[[#This Row],[Total Dollars Excluded from Spending After Applying Truncation at the Member Level]]=Age_Sex_BY[[#This Row],[Total Spending before Truncation is Applied]]</f>
        <v>1</v>
      </c>
    </row>
    <row r="297" spans="1:10" x14ac:dyDescent="0.25">
      <c r="A297" s="101"/>
      <c r="B297" s="104"/>
      <c r="C297" s="105"/>
      <c r="D297" s="273"/>
      <c r="E297" s="182"/>
      <c r="F297" s="110"/>
      <c r="G297" s="274"/>
      <c r="H297" s="110"/>
      <c r="I297" s="110"/>
      <c r="J297" s="237" t="b">
        <f>Age_Sex_BY[[#This Row],[Total Spending After Applying Truncation at the Member Level]]+Age_Sex_BY[[#This Row],[Total Dollars Excluded from Spending After Applying Truncation at the Member Level]]=Age_Sex_BY[[#This Row],[Total Spending before Truncation is Applied]]</f>
        <v>1</v>
      </c>
    </row>
    <row r="298" spans="1:10" x14ac:dyDescent="0.25">
      <c r="A298" s="101"/>
      <c r="B298" s="104"/>
      <c r="C298" s="105"/>
      <c r="D298" s="273"/>
      <c r="E298" s="182"/>
      <c r="F298" s="110"/>
      <c r="G298" s="274"/>
      <c r="H298" s="110"/>
      <c r="I298" s="110"/>
      <c r="J298" s="237" t="b">
        <f>Age_Sex_BY[[#This Row],[Total Spending After Applying Truncation at the Member Level]]+Age_Sex_BY[[#This Row],[Total Dollars Excluded from Spending After Applying Truncation at the Member Level]]=Age_Sex_BY[[#This Row],[Total Spending before Truncation is Applied]]</f>
        <v>1</v>
      </c>
    </row>
    <row r="299" spans="1:10" x14ac:dyDescent="0.25">
      <c r="A299" s="101"/>
      <c r="B299" s="104"/>
      <c r="C299" s="105"/>
      <c r="D299" s="273"/>
      <c r="E299" s="182"/>
      <c r="F299" s="110"/>
      <c r="G299" s="274"/>
      <c r="H299" s="110"/>
      <c r="I299" s="110"/>
      <c r="J299" s="237" t="b">
        <f>Age_Sex_BY[[#This Row],[Total Spending After Applying Truncation at the Member Level]]+Age_Sex_BY[[#This Row],[Total Dollars Excluded from Spending After Applying Truncation at the Member Level]]=Age_Sex_BY[[#This Row],[Total Spending before Truncation is Applied]]</f>
        <v>1</v>
      </c>
    </row>
    <row r="300" spans="1:10" x14ac:dyDescent="0.25">
      <c r="A300" s="101"/>
      <c r="B300" s="104"/>
      <c r="C300" s="105"/>
      <c r="D300" s="273"/>
      <c r="E300" s="182"/>
      <c r="F300" s="110"/>
      <c r="G300" s="274"/>
      <c r="H300" s="110"/>
      <c r="I300" s="110"/>
      <c r="J300" s="237" t="b">
        <f>Age_Sex_BY[[#This Row],[Total Spending After Applying Truncation at the Member Level]]+Age_Sex_BY[[#This Row],[Total Dollars Excluded from Spending After Applying Truncation at the Member Level]]=Age_Sex_BY[[#This Row],[Total Spending before Truncation is Applied]]</f>
        <v>1</v>
      </c>
    </row>
    <row r="301" spans="1:10" x14ac:dyDescent="0.25">
      <c r="A301" s="101"/>
      <c r="B301" s="104"/>
      <c r="C301" s="105"/>
      <c r="D301" s="273"/>
      <c r="E301" s="182"/>
      <c r="F301" s="110"/>
      <c r="G301" s="274"/>
      <c r="H301" s="110"/>
      <c r="I301" s="110"/>
      <c r="J301" s="237" t="b">
        <f>Age_Sex_BY[[#This Row],[Total Spending After Applying Truncation at the Member Level]]+Age_Sex_BY[[#This Row],[Total Dollars Excluded from Spending After Applying Truncation at the Member Level]]=Age_Sex_BY[[#This Row],[Total Spending before Truncation is Applied]]</f>
        <v>1</v>
      </c>
    </row>
    <row r="302" spans="1:10" x14ac:dyDescent="0.25">
      <c r="A302" s="101"/>
      <c r="B302" s="104"/>
      <c r="C302" s="105"/>
      <c r="D302" s="273"/>
      <c r="E302" s="182"/>
      <c r="F302" s="110"/>
      <c r="G302" s="274"/>
      <c r="H302" s="110"/>
      <c r="I302" s="110"/>
      <c r="J302" s="237" t="b">
        <f>Age_Sex_BY[[#This Row],[Total Spending After Applying Truncation at the Member Level]]+Age_Sex_BY[[#This Row],[Total Dollars Excluded from Spending After Applying Truncation at the Member Level]]=Age_Sex_BY[[#This Row],[Total Spending before Truncation is Applied]]</f>
        <v>1</v>
      </c>
    </row>
    <row r="303" spans="1:10" x14ac:dyDescent="0.25">
      <c r="A303" s="101"/>
      <c r="B303" s="104"/>
      <c r="C303" s="105"/>
      <c r="D303" s="273"/>
      <c r="E303" s="182"/>
      <c r="F303" s="110"/>
      <c r="G303" s="274"/>
      <c r="H303" s="110"/>
      <c r="I303" s="110"/>
      <c r="J303" s="237" t="b">
        <f>Age_Sex_BY[[#This Row],[Total Spending After Applying Truncation at the Member Level]]+Age_Sex_BY[[#This Row],[Total Dollars Excluded from Spending After Applying Truncation at the Member Level]]=Age_Sex_BY[[#This Row],[Total Spending before Truncation is Applied]]</f>
        <v>1</v>
      </c>
    </row>
    <row r="304" spans="1:10" x14ac:dyDescent="0.25">
      <c r="A304" s="101"/>
      <c r="B304" s="104"/>
      <c r="C304" s="105"/>
      <c r="D304" s="273"/>
      <c r="E304" s="182"/>
      <c r="F304" s="110"/>
      <c r="G304" s="274"/>
      <c r="H304" s="110"/>
      <c r="I304" s="110"/>
      <c r="J304" s="237" t="b">
        <f>Age_Sex_BY[[#This Row],[Total Spending After Applying Truncation at the Member Level]]+Age_Sex_BY[[#This Row],[Total Dollars Excluded from Spending After Applying Truncation at the Member Level]]=Age_Sex_BY[[#This Row],[Total Spending before Truncation is Applied]]</f>
        <v>1</v>
      </c>
    </row>
    <row r="305" spans="1:10" x14ac:dyDescent="0.25">
      <c r="A305" s="101"/>
      <c r="B305" s="104"/>
      <c r="C305" s="105"/>
      <c r="D305" s="273"/>
      <c r="E305" s="182"/>
      <c r="F305" s="110"/>
      <c r="G305" s="274"/>
      <c r="H305" s="110"/>
      <c r="I305" s="110"/>
      <c r="J305" s="237" t="b">
        <f>Age_Sex_BY[[#This Row],[Total Spending After Applying Truncation at the Member Level]]+Age_Sex_BY[[#This Row],[Total Dollars Excluded from Spending After Applying Truncation at the Member Level]]=Age_Sex_BY[[#This Row],[Total Spending before Truncation is Applied]]</f>
        <v>1</v>
      </c>
    </row>
    <row r="306" spans="1:10" x14ac:dyDescent="0.25">
      <c r="A306" s="101"/>
      <c r="B306" s="104"/>
      <c r="C306" s="105"/>
      <c r="D306" s="273"/>
      <c r="E306" s="182"/>
      <c r="F306" s="110"/>
      <c r="G306" s="274"/>
      <c r="H306" s="110"/>
      <c r="I306" s="110"/>
      <c r="J306" s="237" t="b">
        <f>Age_Sex_BY[[#This Row],[Total Spending After Applying Truncation at the Member Level]]+Age_Sex_BY[[#This Row],[Total Dollars Excluded from Spending After Applying Truncation at the Member Level]]=Age_Sex_BY[[#This Row],[Total Spending before Truncation is Applied]]</f>
        <v>1</v>
      </c>
    </row>
    <row r="307" spans="1:10" x14ac:dyDescent="0.25">
      <c r="A307" s="101"/>
      <c r="B307" s="104"/>
      <c r="C307" s="105"/>
      <c r="D307" s="273"/>
      <c r="E307" s="182"/>
      <c r="F307" s="110"/>
      <c r="G307" s="274"/>
      <c r="H307" s="110"/>
      <c r="I307" s="110"/>
      <c r="J307" s="237" t="b">
        <f>Age_Sex_BY[[#This Row],[Total Spending After Applying Truncation at the Member Level]]+Age_Sex_BY[[#This Row],[Total Dollars Excluded from Spending After Applying Truncation at the Member Level]]=Age_Sex_BY[[#This Row],[Total Spending before Truncation is Applied]]</f>
        <v>1</v>
      </c>
    </row>
    <row r="308" spans="1:10" x14ac:dyDescent="0.25">
      <c r="A308" s="101"/>
      <c r="B308" s="104"/>
      <c r="C308" s="105"/>
      <c r="D308" s="273"/>
      <c r="E308" s="182"/>
      <c r="F308" s="110"/>
      <c r="G308" s="274"/>
      <c r="H308" s="110"/>
      <c r="I308" s="110"/>
      <c r="J308" s="237" t="b">
        <f>Age_Sex_BY[[#This Row],[Total Spending After Applying Truncation at the Member Level]]+Age_Sex_BY[[#This Row],[Total Dollars Excluded from Spending After Applying Truncation at the Member Level]]=Age_Sex_BY[[#This Row],[Total Spending before Truncation is Applied]]</f>
        <v>1</v>
      </c>
    </row>
    <row r="309" spans="1:10" x14ac:dyDescent="0.25">
      <c r="A309" s="101"/>
      <c r="B309" s="104"/>
      <c r="C309" s="105"/>
      <c r="D309" s="273"/>
      <c r="E309" s="182"/>
      <c r="F309" s="110"/>
      <c r="G309" s="274"/>
      <c r="H309" s="110"/>
      <c r="I309" s="110"/>
      <c r="J309" s="237" t="b">
        <f>Age_Sex_BY[[#This Row],[Total Spending After Applying Truncation at the Member Level]]+Age_Sex_BY[[#This Row],[Total Dollars Excluded from Spending After Applying Truncation at the Member Level]]=Age_Sex_BY[[#This Row],[Total Spending before Truncation is Applied]]</f>
        <v>1</v>
      </c>
    </row>
    <row r="310" spans="1:10" x14ac:dyDescent="0.25">
      <c r="A310" s="101"/>
      <c r="B310" s="104"/>
      <c r="C310" s="105"/>
      <c r="D310" s="273"/>
      <c r="E310" s="182"/>
      <c r="F310" s="110"/>
      <c r="G310" s="274"/>
      <c r="H310" s="110"/>
      <c r="I310" s="110"/>
      <c r="J310" s="237" t="b">
        <f>Age_Sex_BY[[#This Row],[Total Spending After Applying Truncation at the Member Level]]+Age_Sex_BY[[#This Row],[Total Dollars Excluded from Spending After Applying Truncation at the Member Level]]=Age_Sex_BY[[#This Row],[Total Spending before Truncation is Applied]]</f>
        <v>1</v>
      </c>
    </row>
    <row r="311" spans="1:10" x14ac:dyDescent="0.25">
      <c r="A311" s="101"/>
      <c r="B311" s="104"/>
      <c r="C311" s="105"/>
      <c r="D311" s="273"/>
      <c r="E311" s="182"/>
      <c r="F311" s="110"/>
      <c r="G311" s="274"/>
      <c r="H311" s="110"/>
      <c r="I311" s="110"/>
      <c r="J311" s="237" t="b">
        <f>Age_Sex_BY[[#This Row],[Total Spending After Applying Truncation at the Member Level]]+Age_Sex_BY[[#This Row],[Total Dollars Excluded from Spending After Applying Truncation at the Member Level]]=Age_Sex_BY[[#This Row],[Total Spending before Truncation is Applied]]</f>
        <v>1</v>
      </c>
    </row>
    <row r="312" spans="1:10" x14ac:dyDescent="0.25">
      <c r="A312" s="101"/>
      <c r="B312" s="104"/>
      <c r="C312" s="105"/>
      <c r="D312" s="273"/>
      <c r="E312" s="182"/>
      <c r="F312" s="110"/>
      <c r="G312" s="274"/>
      <c r="H312" s="110"/>
      <c r="I312" s="110"/>
      <c r="J312" s="237" t="b">
        <f>Age_Sex_BY[[#This Row],[Total Spending After Applying Truncation at the Member Level]]+Age_Sex_BY[[#This Row],[Total Dollars Excluded from Spending After Applying Truncation at the Member Level]]=Age_Sex_BY[[#This Row],[Total Spending before Truncation is Applied]]</f>
        <v>1</v>
      </c>
    </row>
    <row r="313" spans="1:10" x14ac:dyDescent="0.25">
      <c r="A313" s="101"/>
      <c r="B313" s="104"/>
      <c r="C313" s="105"/>
      <c r="D313" s="273"/>
      <c r="E313" s="182"/>
      <c r="F313" s="110"/>
      <c r="G313" s="274"/>
      <c r="H313" s="110"/>
      <c r="I313" s="110"/>
      <c r="J313" s="237" t="b">
        <f>Age_Sex_BY[[#This Row],[Total Spending After Applying Truncation at the Member Level]]+Age_Sex_BY[[#This Row],[Total Dollars Excluded from Spending After Applying Truncation at the Member Level]]=Age_Sex_BY[[#This Row],[Total Spending before Truncation is Applied]]</f>
        <v>1</v>
      </c>
    </row>
    <row r="314" spans="1:10" x14ac:dyDescent="0.25">
      <c r="A314" s="101"/>
      <c r="B314" s="104"/>
      <c r="C314" s="105"/>
      <c r="D314" s="273"/>
      <c r="E314" s="182"/>
      <c r="F314" s="110"/>
      <c r="G314" s="274"/>
      <c r="H314" s="110"/>
      <c r="I314" s="110"/>
      <c r="J314" s="237" t="b">
        <f>Age_Sex_BY[[#This Row],[Total Spending After Applying Truncation at the Member Level]]+Age_Sex_BY[[#This Row],[Total Dollars Excluded from Spending After Applying Truncation at the Member Level]]=Age_Sex_BY[[#This Row],[Total Spending before Truncation is Applied]]</f>
        <v>1</v>
      </c>
    </row>
    <row r="315" spans="1:10" x14ac:dyDescent="0.25">
      <c r="A315" s="101"/>
      <c r="B315" s="104"/>
      <c r="C315" s="105"/>
      <c r="D315" s="273"/>
      <c r="E315" s="182"/>
      <c r="F315" s="110"/>
      <c r="G315" s="274"/>
      <c r="H315" s="110"/>
      <c r="I315" s="110"/>
      <c r="J315" s="237" t="b">
        <f>Age_Sex_BY[[#This Row],[Total Spending After Applying Truncation at the Member Level]]+Age_Sex_BY[[#This Row],[Total Dollars Excluded from Spending After Applying Truncation at the Member Level]]=Age_Sex_BY[[#This Row],[Total Spending before Truncation is Applied]]</f>
        <v>1</v>
      </c>
    </row>
    <row r="316" spans="1:10" x14ac:dyDescent="0.25">
      <c r="A316" s="101"/>
      <c r="B316" s="104"/>
      <c r="C316" s="105"/>
      <c r="D316" s="273"/>
      <c r="E316" s="182"/>
      <c r="F316" s="110"/>
      <c r="G316" s="274"/>
      <c r="H316" s="110"/>
      <c r="I316" s="110"/>
      <c r="J316" s="237" t="b">
        <f>Age_Sex_BY[[#This Row],[Total Spending After Applying Truncation at the Member Level]]+Age_Sex_BY[[#This Row],[Total Dollars Excluded from Spending After Applying Truncation at the Member Level]]=Age_Sex_BY[[#This Row],[Total Spending before Truncation is Applied]]</f>
        <v>1</v>
      </c>
    </row>
    <row r="317" spans="1:10" x14ac:dyDescent="0.25">
      <c r="A317" s="101"/>
      <c r="B317" s="104"/>
      <c r="C317" s="105"/>
      <c r="D317" s="273"/>
      <c r="E317" s="182"/>
      <c r="F317" s="110"/>
      <c r="G317" s="274"/>
      <c r="H317" s="110"/>
      <c r="I317" s="110"/>
      <c r="J317" s="237" t="b">
        <f>Age_Sex_BY[[#This Row],[Total Spending After Applying Truncation at the Member Level]]+Age_Sex_BY[[#This Row],[Total Dollars Excluded from Spending After Applying Truncation at the Member Level]]=Age_Sex_BY[[#This Row],[Total Spending before Truncation is Applied]]</f>
        <v>1</v>
      </c>
    </row>
    <row r="318" spans="1:10" x14ac:dyDescent="0.25">
      <c r="A318" s="101"/>
      <c r="B318" s="104"/>
      <c r="C318" s="105"/>
      <c r="D318" s="273"/>
      <c r="E318" s="182"/>
      <c r="F318" s="110"/>
      <c r="G318" s="274"/>
      <c r="H318" s="110"/>
      <c r="I318" s="110"/>
      <c r="J318" s="237" t="b">
        <f>Age_Sex_BY[[#This Row],[Total Spending After Applying Truncation at the Member Level]]+Age_Sex_BY[[#This Row],[Total Dollars Excluded from Spending After Applying Truncation at the Member Level]]=Age_Sex_BY[[#This Row],[Total Spending before Truncation is Applied]]</f>
        <v>1</v>
      </c>
    </row>
    <row r="319" spans="1:10" x14ac:dyDescent="0.25">
      <c r="A319" s="101"/>
      <c r="B319" s="104"/>
      <c r="C319" s="105"/>
      <c r="D319" s="273"/>
      <c r="E319" s="182"/>
      <c r="F319" s="110"/>
      <c r="G319" s="274"/>
      <c r="H319" s="110"/>
      <c r="I319" s="110"/>
      <c r="J319" s="237" t="b">
        <f>Age_Sex_BY[[#This Row],[Total Spending After Applying Truncation at the Member Level]]+Age_Sex_BY[[#This Row],[Total Dollars Excluded from Spending After Applying Truncation at the Member Level]]=Age_Sex_BY[[#This Row],[Total Spending before Truncation is Applied]]</f>
        <v>1</v>
      </c>
    </row>
    <row r="320" spans="1:10" x14ac:dyDescent="0.25">
      <c r="A320" s="101"/>
      <c r="B320" s="104"/>
      <c r="C320" s="105"/>
      <c r="D320" s="273"/>
      <c r="E320" s="182"/>
      <c r="F320" s="110"/>
      <c r="G320" s="274"/>
      <c r="H320" s="110"/>
      <c r="I320" s="110"/>
      <c r="J320" s="237" t="b">
        <f>Age_Sex_BY[[#This Row],[Total Spending After Applying Truncation at the Member Level]]+Age_Sex_BY[[#This Row],[Total Dollars Excluded from Spending After Applying Truncation at the Member Level]]=Age_Sex_BY[[#This Row],[Total Spending before Truncation is Applied]]</f>
        <v>1</v>
      </c>
    </row>
    <row r="321" spans="1:10" x14ac:dyDescent="0.25">
      <c r="A321" s="101"/>
      <c r="B321" s="104"/>
      <c r="C321" s="105"/>
      <c r="D321" s="273"/>
      <c r="E321" s="182"/>
      <c r="F321" s="110"/>
      <c r="G321" s="274"/>
      <c r="H321" s="110"/>
      <c r="I321" s="110"/>
      <c r="J321" s="237" t="b">
        <f>Age_Sex_BY[[#This Row],[Total Spending After Applying Truncation at the Member Level]]+Age_Sex_BY[[#This Row],[Total Dollars Excluded from Spending After Applying Truncation at the Member Level]]=Age_Sex_BY[[#This Row],[Total Spending before Truncation is Applied]]</f>
        <v>1</v>
      </c>
    </row>
    <row r="322" spans="1:10" x14ac:dyDescent="0.25">
      <c r="A322" s="101"/>
      <c r="B322" s="104"/>
      <c r="C322" s="105"/>
      <c r="D322" s="273"/>
      <c r="E322" s="182"/>
      <c r="F322" s="110"/>
      <c r="G322" s="274"/>
      <c r="H322" s="110"/>
      <c r="I322" s="110"/>
      <c r="J322" s="237" t="b">
        <f>Age_Sex_BY[[#This Row],[Total Spending After Applying Truncation at the Member Level]]+Age_Sex_BY[[#This Row],[Total Dollars Excluded from Spending After Applying Truncation at the Member Level]]=Age_Sex_BY[[#This Row],[Total Spending before Truncation is Applied]]</f>
        <v>1</v>
      </c>
    </row>
    <row r="323" spans="1:10" x14ac:dyDescent="0.25">
      <c r="A323" s="101"/>
      <c r="B323" s="104"/>
      <c r="C323" s="105"/>
      <c r="D323" s="273"/>
      <c r="E323" s="182"/>
      <c r="F323" s="110"/>
      <c r="G323" s="274"/>
      <c r="H323" s="110"/>
      <c r="I323" s="110"/>
      <c r="J323" s="237" t="b">
        <f>Age_Sex_BY[[#This Row],[Total Spending After Applying Truncation at the Member Level]]+Age_Sex_BY[[#This Row],[Total Dollars Excluded from Spending After Applying Truncation at the Member Level]]=Age_Sex_BY[[#This Row],[Total Spending before Truncation is Applied]]</f>
        <v>1</v>
      </c>
    </row>
    <row r="324" spans="1:10" x14ac:dyDescent="0.25">
      <c r="A324" s="101"/>
      <c r="B324" s="104"/>
      <c r="C324" s="105"/>
      <c r="D324" s="273"/>
      <c r="E324" s="182"/>
      <c r="F324" s="110"/>
      <c r="G324" s="274"/>
      <c r="H324" s="110"/>
      <c r="I324" s="110"/>
      <c r="J324" s="237" t="b">
        <f>Age_Sex_BY[[#This Row],[Total Spending After Applying Truncation at the Member Level]]+Age_Sex_BY[[#This Row],[Total Dollars Excluded from Spending After Applying Truncation at the Member Level]]=Age_Sex_BY[[#This Row],[Total Spending before Truncation is Applied]]</f>
        <v>1</v>
      </c>
    </row>
    <row r="325" spans="1:10" x14ac:dyDescent="0.25">
      <c r="A325" s="101"/>
      <c r="B325" s="104"/>
      <c r="C325" s="105"/>
      <c r="D325" s="273"/>
      <c r="E325" s="182"/>
      <c r="F325" s="110"/>
      <c r="G325" s="274"/>
      <c r="H325" s="110"/>
      <c r="I325" s="110"/>
      <c r="J325" s="237" t="b">
        <f>Age_Sex_BY[[#This Row],[Total Spending After Applying Truncation at the Member Level]]+Age_Sex_BY[[#This Row],[Total Dollars Excluded from Spending After Applying Truncation at the Member Level]]=Age_Sex_BY[[#This Row],[Total Spending before Truncation is Applied]]</f>
        <v>1</v>
      </c>
    </row>
    <row r="326" spans="1:10" x14ac:dyDescent="0.25">
      <c r="A326" s="101"/>
      <c r="B326" s="104"/>
      <c r="C326" s="105"/>
      <c r="D326" s="273"/>
      <c r="E326" s="182"/>
      <c r="F326" s="110"/>
      <c r="G326" s="274"/>
      <c r="H326" s="110"/>
      <c r="I326" s="110"/>
      <c r="J326" s="237" t="b">
        <f>Age_Sex_BY[[#This Row],[Total Spending After Applying Truncation at the Member Level]]+Age_Sex_BY[[#This Row],[Total Dollars Excluded from Spending After Applying Truncation at the Member Level]]=Age_Sex_BY[[#This Row],[Total Spending before Truncation is Applied]]</f>
        <v>1</v>
      </c>
    </row>
    <row r="327" spans="1:10" x14ac:dyDescent="0.25">
      <c r="A327" s="101"/>
      <c r="B327" s="104"/>
      <c r="C327" s="105"/>
      <c r="D327" s="273"/>
      <c r="E327" s="182"/>
      <c r="F327" s="110"/>
      <c r="G327" s="274"/>
      <c r="H327" s="110"/>
      <c r="I327" s="110"/>
      <c r="J327" s="237" t="b">
        <f>Age_Sex_BY[[#This Row],[Total Spending After Applying Truncation at the Member Level]]+Age_Sex_BY[[#This Row],[Total Dollars Excluded from Spending After Applying Truncation at the Member Level]]=Age_Sex_BY[[#This Row],[Total Spending before Truncation is Applied]]</f>
        <v>1</v>
      </c>
    </row>
    <row r="328" spans="1:10" x14ac:dyDescent="0.25">
      <c r="A328" s="101"/>
      <c r="B328" s="104"/>
      <c r="C328" s="105"/>
      <c r="D328" s="273"/>
      <c r="E328" s="182"/>
      <c r="F328" s="110"/>
      <c r="G328" s="274"/>
      <c r="H328" s="110"/>
      <c r="I328" s="110"/>
      <c r="J328" s="237" t="b">
        <f>Age_Sex_BY[[#This Row],[Total Spending After Applying Truncation at the Member Level]]+Age_Sex_BY[[#This Row],[Total Dollars Excluded from Spending After Applying Truncation at the Member Level]]=Age_Sex_BY[[#This Row],[Total Spending before Truncation is Applied]]</f>
        <v>1</v>
      </c>
    </row>
    <row r="329" spans="1:10" x14ac:dyDescent="0.25">
      <c r="A329" s="101"/>
      <c r="B329" s="104"/>
      <c r="C329" s="105"/>
      <c r="D329" s="273"/>
      <c r="E329" s="182"/>
      <c r="F329" s="110"/>
      <c r="G329" s="274"/>
      <c r="H329" s="110"/>
      <c r="I329" s="110"/>
      <c r="J329" s="237" t="b">
        <f>Age_Sex_BY[[#This Row],[Total Spending After Applying Truncation at the Member Level]]+Age_Sex_BY[[#This Row],[Total Dollars Excluded from Spending After Applying Truncation at the Member Level]]=Age_Sex_BY[[#This Row],[Total Spending before Truncation is Applied]]</f>
        <v>1</v>
      </c>
    </row>
    <row r="330" spans="1:10" x14ac:dyDescent="0.25">
      <c r="A330" s="101"/>
      <c r="B330" s="104"/>
      <c r="C330" s="105"/>
      <c r="D330" s="273"/>
      <c r="E330" s="182"/>
      <c r="F330" s="110"/>
      <c r="G330" s="274"/>
      <c r="H330" s="110"/>
      <c r="I330" s="110"/>
      <c r="J330" s="237" t="b">
        <f>Age_Sex_BY[[#This Row],[Total Spending After Applying Truncation at the Member Level]]+Age_Sex_BY[[#This Row],[Total Dollars Excluded from Spending After Applying Truncation at the Member Level]]=Age_Sex_BY[[#This Row],[Total Spending before Truncation is Applied]]</f>
        <v>1</v>
      </c>
    </row>
    <row r="331" spans="1:10" x14ac:dyDescent="0.25">
      <c r="A331" s="101"/>
      <c r="B331" s="104"/>
      <c r="C331" s="105"/>
      <c r="D331" s="273"/>
      <c r="E331" s="182"/>
      <c r="F331" s="110"/>
      <c r="G331" s="274"/>
      <c r="H331" s="110"/>
      <c r="I331" s="110"/>
      <c r="J331" s="237" t="b">
        <f>Age_Sex_BY[[#This Row],[Total Spending After Applying Truncation at the Member Level]]+Age_Sex_BY[[#This Row],[Total Dollars Excluded from Spending After Applying Truncation at the Member Level]]=Age_Sex_BY[[#This Row],[Total Spending before Truncation is Applied]]</f>
        <v>1</v>
      </c>
    </row>
    <row r="332" spans="1:10" x14ac:dyDescent="0.25">
      <c r="A332" s="101"/>
      <c r="B332" s="104"/>
      <c r="C332" s="105"/>
      <c r="D332" s="273"/>
      <c r="E332" s="182"/>
      <c r="F332" s="110"/>
      <c r="G332" s="274"/>
      <c r="H332" s="110"/>
      <c r="I332" s="110"/>
      <c r="J332" s="237" t="b">
        <f>Age_Sex_BY[[#This Row],[Total Spending After Applying Truncation at the Member Level]]+Age_Sex_BY[[#This Row],[Total Dollars Excluded from Spending After Applying Truncation at the Member Level]]=Age_Sex_BY[[#This Row],[Total Spending before Truncation is Applied]]</f>
        <v>1</v>
      </c>
    </row>
    <row r="333" spans="1:10" x14ac:dyDescent="0.25">
      <c r="A333" s="101"/>
      <c r="B333" s="104"/>
      <c r="C333" s="105"/>
      <c r="D333" s="273"/>
      <c r="E333" s="182"/>
      <c r="F333" s="110"/>
      <c r="G333" s="274"/>
      <c r="H333" s="110"/>
      <c r="I333" s="110"/>
      <c r="J333" s="237" t="b">
        <f>Age_Sex_BY[[#This Row],[Total Spending After Applying Truncation at the Member Level]]+Age_Sex_BY[[#This Row],[Total Dollars Excluded from Spending After Applying Truncation at the Member Level]]=Age_Sex_BY[[#This Row],[Total Spending before Truncation is Applied]]</f>
        <v>1</v>
      </c>
    </row>
    <row r="334" spans="1:10" x14ac:dyDescent="0.25">
      <c r="A334" s="101"/>
      <c r="B334" s="104"/>
      <c r="C334" s="105"/>
      <c r="D334" s="273"/>
      <c r="E334" s="182"/>
      <c r="F334" s="110"/>
      <c r="G334" s="274"/>
      <c r="H334" s="110"/>
      <c r="I334" s="110"/>
      <c r="J334" s="237" t="b">
        <f>Age_Sex_BY[[#This Row],[Total Spending After Applying Truncation at the Member Level]]+Age_Sex_BY[[#This Row],[Total Dollars Excluded from Spending After Applying Truncation at the Member Level]]=Age_Sex_BY[[#This Row],[Total Spending before Truncation is Applied]]</f>
        <v>1</v>
      </c>
    </row>
    <row r="335" spans="1:10" x14ac:dyDescent="0.25">
      <c r="A335" s="101"/>
      <c r="B335" s="104"/>
      <c r="C335" s="105"/>
      <c r="D335" s="273"/>
      <c r="E335" s="182"/>
      <c r="F335" s="110"/>
      <c r="G335" s="274"/>
      <c r="H335" s="110"/>
      <c r="I335" s="110"/>
      <c r="J335" s="237" t="b">
        <f>Age_Sex_BY[[#This Row],[Total Spending After Applying Truncation at the Member Level]]+Age_Sex_BY[[#This Row],[Total Dollars Excluded from Spending After Applying Truncation at the Member Level]]=Age_Sex_BY[[#This Row],[Total Spending before Truncation is Applied]]</f>
        <v>1</v>
      </c>
    </row>
    <row r="336" spans="1:10" x14ac:dyDescent="0.25">
      <c r="A336" s="101"/>
      <c r="B336" s="104"/>
      <c r="C336" s="105"/>
      <c r="D336" s="273"/>
      <c r="E336" s="182"/>
      <c r="F336" s="110"/>
      <c r="G336" s="274"/>
      <c r="H336" s="110"/>
      <c r="I336" s="110"/>
      <c r="J336" s="237" t="b">
        <f>Age_Sex_BY[[#This Row],[Total Spending After Applying Truncation at the Member Level]]+Age_Sex_BY[[#This Row],[Total Dollars Excluded from Spending After Applying Truncation at the Member Level]]=Age_Sex_BY[[#This Row],[Total Spending before Truncation is Applied]]</f>
        <v>1</v>
      </c>
    </row>
    <row r="337" spans="1:10" x14ac:dyDescent="0.25">
      <c r="A337" s="101"/>
      <c r="B337" s="104"/>
      <c r="C337" s="105"/>
      <c r="D337" s="273"/>
      <c r="E337" s="182"/>
      <c r="F337" s="110"/>
      <c r="G337" s="274"/>
      <c r="H337" s="110"/>
      <c r="I337" s="110"/>
      <c r="J337" s="237" t="b">
        <f>Age_Sex_BY[[#This Row],[Total Spending After Applying Truncation at the Member Level]]+Age_Sex_BY[[#This Row],[Total Dollars Excluded from Spending After Applying Truncation at the Member Level]]=Age_Sex_BY[[#This Row],[Total Spending before Truncation is Applied]]</f>
        <v>1</v>
      </c>
    </row>
    <row r="338" spans="1:10" x14ac:dyDescent="0.25">
      <c r="A338" s="101"/>
      <c r="B338" s="104"/>
      <c r="C338" s="105"/>
      <c r="D338" s="273"/>
      <c r="E338" s="182"/>
      <c r="F338" s="110"/>
      <c r="G338" s="274"/>
      <c r="H338" s="110"/>
      <c r="I338" s="110"/>
      <c r="J338" s="237" t="b">
        <f>Age_Sex_BY[[#This Row],[Total Spending After Applying Truncation at the Member Level]]+Age_Sex_BY[[#This Row],[Total Dollars Excluded from Spending After Applying Truncation at the Member Level]]=Age_Sex_BY[[#This Row],[Total Spending before Truncation is Applied]]</f>
        <v>1</v>
      </c>
    </row>
    <row r="339" spans="1:10" x14ac:dyDescent="0.25">
      <c r="A339" s="101"/>
      <c r="B339" s="104"/>
      <c r="C339" s="105"/>
      <c r="D339" s="273"/>
      <c r="E339" s="182"/>
      <c r="F339" s="110"/>
      <c r="G339" s="274"/>
      <c r="H339" s="110"/>
      <c r="I339" s="110"/>
      <c r="J339" s="237" t="b">
        <f>Age_Sex_BY[[#This Row],[Total Spending After Applying Truncation at the Member Level]]+Age_Sex_BY[[#This Row],[Total Dollars Excluded from Spending After Applying Truncation at the Member Level]]=Age_Sex_BY[[#This Row],[Total Spending before Truncation is Applied]]</f>
        <v>1</v>
      </c>
    </row>
    <row r="340" spans="1:10" x14ac:dyDescent="0.25">
      <c r="A340" s="101"/>
      <c r="B340" s="104"/>
      <c r="C340" s="105"/>
      <c r="D340" s="273"/>
      <c r="E340" s="182"/>
      <c r="F340" s="110"/>
      <c r="G340" s="274"/>
      <c r="H340" s="110"/>
      <c r="I340" s="110"/>
      <c r="J340" s="237" t="b">
        <f>Age_Sex_BY[[#This Row],[Total Spending After Applying Truncation at the Member Level]]+Age_Sex_BY[[#This Row],[Total Dollars Excluded from Spending After Applying Truncation at the Member Level]]=Age_Sex_BY[[#This Row],[Total Spending before Truncation is Applied]]</f>
        <v>1</v>
      </c>
    </row>
    <row r="341" spans="1:10" x14ac:dyDescent="0.25">
      <c r="A341" s="101"/>
      <c r="B341" s="104"/>
      <c r="C341" s="105"/>
      <c r="D341" s="273"/>
      <c r="E341" s="182"/>
      <c r="F341" s="110"/>
      <c r="G341" s="274"/>
      <c r="H341" s="110"/>
      <c r="I341" s="110"/>
      <c r="J341" s="237" t="b">
        <f>Age_Sex_BY[[#This Row],[Total Spending After Applying Truncation at the Member Level]]+Age_Sex_BY[[#This Row],[Total Dollars Excluded from Spending After Applying Truncation at the Member Level]]=Age_Sex_BY[[#This Row],[Total Spending before Truncation is Applied]]</f>
        <v>1</v>
      </c>
    </row>
    <row r="342" spans="1:10" x14ac:dyDescent="0.25">
      <c r="A342" s="101"/>
      <c r="B342" s="104"/>
      <c r="C342" s="105"/>
      <c r="D342" s="273"/>
      <c r="E342" s="182"/>
      <c r="F342" s="110"/>
      <c r="G342" s="274"/>
      <c r="H342" s="110"/>
      <c r="I342" s="110"/>
      <c r="J342" s="237" t="b">
        <f>Age_Sex_BY[[#This Row],[Total Spending After Applying Truncation at the Member Level]]+Age_Sex_BY[[#This Row],[Total Dollars Excluded from Spending After Applying Truncation at the Member Level]]=Age_Sex_BY[[#This Row],[Total Spending before Truncation is Applied]]</f>
        <v>1</v>
      </c>
    </row>
    <row r="343" spans="1:10" x14ac:dyDescent="0.25">
      <c r="A343" s="101"/>
      <c r="B343" s="104"/>
      <c r="C343" s="105"/>
      <c r="D343" s="273"/>
      <c r="E343" s="182"/>
      <c r="F343" s="110"/>
      <c r="G343" s="274"/>
      <c r="H343" s="110"/>
      <c r="I343" s="110"/>
      <c r="J343" s="237" t="b">
        <f>Age_Sex_BY[[#This Row],[Total Spending After Applying Truncation at the Member Level]]+Age_Sex_BY[[#This Row],[Total Dollars Excluded from Spending After Applying Truncation at the Member Level]]=Age_Sex_BY[[#This Row],[Total Spending before Truncation is Applied]]</f>
        <v>1</v>
      </c>
    </row>
    <row r="344" spans="1:10" x14ac:dyDescent="0.25">
      <c r="A344" s="101"/>
      <c r="B344" s="104"/>
      <c r="C344" s="105"/>
      <c r="D344" s="273"/>
      <c r="E344" s="182"/>
      <c r="F344" s="110"/>
      <c r="G344" s="274"/>
      <c r="H344" s="110"/>
      <c r="I344" s="110"/>
      <c r="J344" s="237" t="b">
        <f>Age_Sex_BY[[#This Row],[Total Spending After Applying Truncation at the Member Level]]+Age_Sex_BY[[#This Row],[Total Dollars Excluded from Spending After Applying Truncation at the Member Level]]=Age_Sex_BY[[#This Row],[Total Spending before Truncation is Applied]]</f>
        <v>1</v>
      </c>
    </row>
    <row r="345" spans="1:10" x14ac:dyDescent="0.25">
      <c r="A345" s="101"/>
      <c r="B345" s="104"/>
      <c r="C345" s="105"/>
      <c r="D345" s="273"/>
      <c r="E345" s="182"/>
      <c r="F345" s="110"/>
      <c r="G345" s="274"/>
      <c r="H345" s="110"/>
      <c r="I345" s="110"/>
      <c r="J345" s="237" t="b">
        <f>Age_Sex_BY[[#This Row],[Total Spending After Applying Truncation at the Member Level]]+Age_Sex_BY[[#This Row],[Total Dollars Excluded from Spending After Applying Truncation at the Member Level]]=Age_Sex_BY[[#This Row],[Total Spending before Truncation is Applied]]</f>
        <v>1</v>
      </c>
    </row>
    <row r="346" spans="1:10" x14ac:dyDescent="0.25">
      <c r="A346" s="101"/>
      <c r="B346" s="104"/>
      <c r="C346" s="105"/>
      <c r="D346" s="273"/>
      <c r="E346" s="182"/>
      <c r="F346" s="110"/>
      <c r="G346" s="274"/>
      <c r="H346" s="110"/>
      <c r="I346" s="110"/>
      <c r="J346" s="237" t="b">
        <f>Age_Sex_BY[[#This Row],[Total Spending After Applying Truncation at the Member Level]]+Age_Sex_BY[[#This Row],[Total Dollars Excluded from Spending After Applying Truncation at the Member Level]]=Age_Sex_BY[[#This Row],[Total Spending before Truncation is Applied]]</f>
        <v>1</v>
      </c>
    </row>
    <row r="347" spans="1:10" x14ac:dyDescent="0.25">
      <c r="A347" s="101"/>
      <c r="B347" s="104"/>
      <c r="C347" s="105"/>
      <c r="D347" s="273"/>
      <c r="E347" s="182"/>
      <c r="F347" s="110"/>
      <c r="G347" s="274"/>
      <c r="H347" s="110"/>
      <c r="I347" s="110"/>
      <c r="J347" s="237" t="b">
        <f>Age_Sex_BY[[#This Row],[Total Spending After Applying Truncation at the Member Level]]+Age_Sex_BY[[#This Row],[Total Dollars Excluded from Spending After Applying Truncation at the Member Level]]=Age_Sex_BY[[#This Row],[Total Spending before Truncation is Applied]]</f>
        <v>1</v>
      </c>
    </row>
    <row r="348" spans="1:10" x14ac:dyDescent="0.25">
      <c r="A348" s="101"/>
      <c r="B348" s="104"/>
      <c r="C348" s="105"/>
      <c r="D348" s="273"/>
      <c r="E348" s="182"/>
      <c r="F348" s="110"/>
      <c r="G348" s="274"/>
      <c r="H348" s="110"/>
      <c r="I348" s="110"/>
      <c r="J348" s="237" t="b">
        <f>Age_Sex_BY[[#This Row],[Total Spending After Applying Truncation at the Member Level]]+Age_Sex_BY[[#This Row],[Total Dollars Excluded from Spending After Applying Truncation at the Member Level]]=Age_Sex_BY[[#This Row],[Total Spending before Truncation is Applied]]</f>
        <v>1</v>
      </c>
    </row>
    <row r="349" spans="1:10" x14ac:dyDescent="0.25">
      <c r="A349" s="101"/>
      <c r="B349" s="104"/>
      <c r="C349" s="105"/>
      <c r="D349" s="273"/>
      <c r="E349" s="182"/>
      <c r="F349" s="110"/>
      <c r="G349" s="274"/>
      <c r="H349" s="110"/>
      <c r="I349" s="110"/>
      <c r="J349" s="237" t="b">
        <f>Age_Sex_BY[[#This Row],[Total Spending After Applying Truncation at the Member Level]]+Age_Sex_BY[[#This Row],[Total Dollars Excluded from Spending After Applying Truncation at the Member Level]]=Age_Sex_BY[[#This Row],[Total Spending before Truncation is Applied]]</f>
        <v>1</v>
      </c>
    </row>
    <row r="350" spans="1:10" x14ac:dyDescent="0.25">
      <c r="A350" s="101"/>
      <c r="B350" s="104"/>
      <c r="C350" s="105"/>
      <c r="D350" s="273"/>
      <c r="E350" s="182"/>
      <c r="F350" s="110"/>
      <c r="G350" s="274"/>
      <c r="H350" s="110"/>
      <c r="I350" s="110"/>
      <c r="J350" s="237" t="b">
        <f>Age_Sex_BY[[#This Row],[Total Spending After Applying Truncation at the Member Level]]+Age_Sex_BY[[#This Row],[Total Dollars Excluded from Spending After Applying Truncation at the Member Level]]=Age_Sex_BY[[#This Row],[Total Spending before Truncation is Applied]]</f>
        <v>1</v>
      </c>
    </row>
    <row r="351" spans="1:10" x14ac:dyDescent="0.25">
      <c r="A351" s="101"/>
      <c r="B351" s="104"/>
      <c r="C351" s="105"/>
      <c r="D351" s="273"/>
      <c r="E351" s="182"/>
      <c r="F351" s="110"/>
      <c r="G351" s="274"/>
      <c r="H351" s="110"/>
      <c r="I351" s="110"/>
      <c r="J351" s="237" t="b">
        <f>Age_Sex_BY[[#This Row],[Total Spending After Applying Truncation at the Member Level]]+Age_Sex_BY[[#This Row],[Total Dollars Excluded from Spending After Applying Truncation at the Member Level]]=Age_Sex_BY[[#This Row],[Total Spending before Truncation is Applied]]</f>
        <v>1</v>
      </c>
    </row>
    <row r="352" spans="1:10" x14ac:dyDescent="0.25">
      <c r="A352" s="101"/>
      <c r="B352" s="104"/>
      <c r="C352" s="105"/>
      <c r="D352" s="273"/>
      <c r="E352" s="182"/>
      <c r="F352" s="110"/>
      <c r="G352" s="274"/>
      <c r="H352" s="110"/>
      <c r="I352" s="110"/>
      <c r="J352" s="237" t="b">
        <f>Age_Sex_BY[[#This Row],[Total Spending After Applying Truncation at the Member Level]]+Age_Sex_BY[[#This Row],[Total Dollars Excluded from Spending After Applying Truncation at the Member Level]]=Age_Sex_BY[[#This Row],[Total Spending before Truncation is Applied]]</f>
        <v>1</v>
      </c>
    </row>
    <row r="353" spans="1:10" x14ac:dyDescent="0.25">
      <c r="A353" s="101"/>
      <c r="B353" s="104"/>
      <c r="C353" s="105"/>
      <c r="D353" s="273"/>
      <c r="E353" s="182"/>
      <c r="F353" s="110"/>
      <c r="G353" s="274"/>
      <c r="H353" s="110"/>
      <c r="I353" s="110"/>
      <c r="J353" s="237" t="b">
        <f>Age_Sex_BY[[#This Row],[Total Spending After Applying Truncation at the Member Level]]+Age_Sex_BY[[#This Row],[Total Dollars Excluded from Spending After Applying Truncation at the Member Level]]=Age_Sex_BY[[#This Row],[Total Spending before Truncation is Applied]]</f>
        <v>1</v>
      </c>
    </row>
    <row r="354" spans="1:10" x14ac:dyDescent="0.25">
      <c r="A354" s="101"/>
      <c r="B354" s="104"/>
      <c r="C354" s="105"/>
      <c r="D354" s="273"/>
      <c r="E354" s="182"/>
      <c r="F354" s="110"/>
      <c r="G354" s="274"/>
      <c r="H354" s="110"/>
      <c r="I354" s="110"/>
      <c r="J354" s="237" t="b">
        <f>Age_Sex_BY[[#This Row],[Total Spending After Applying Truncation at the Member Level]]+Age_Sex_BY[[#This Row],[Total Dollars Excluded from Spending After Applying Truncation at the Member Level]]=Age_Sex_BY[[#This Row],[Total Spending before Truncation is Applied]]</f>
        <v>1</v>
      </c>
    </row>
    <row r="355" spans="1:10" x14ac:dyDescent="0.25">
      <c r="A355" s="101"/>
      <c r="B355" s="104"/>
      <c r="C355" s="105"/>
      <c r="D355" s="273"/>
      <c r="E355" s="182"/>
      <c r="F355" s="110"/>
      <c r="G355" s="274"/>
      <c r="H355" s="110"/>
      <c r="I355" s="110"/>
      <c r="J355" s="237" t="b">
        <f>Age_Sex_BY[[#This Row],[Total Spending After Applying Truncation at the Member Level]]+Age_Sex_BY[[#This Row],[Total Dollars Excluded from Spending After Applying Truncation at the Member Level]]=Age_Sex_BY[[#This Row],[Total Spending before Truncation is Applied]]</f>
        <v>1</v>
      </c>
    </row>
    <row r="356" spans="1:10" x14ac:dyDescent="0.25">
      <c r="A356" s="101"/>
      <c r="B356" s="104"/>
      <c r="C356" s="105"/>
      <c r="D356" s="273"/>
      <c r="E356" s="182"/>
      <c r="F356" s="110"/>
      <c r="G356" s="274"/>
      <c r="H356" s="110"/>
      <c r="I356" s="110"/>
      <c r="J356" s="237" t="b">
        <f>Age_Sex_BY[[#This Row],[Total Spending After Applying Truncation at the Member Level]]+Age_Sex_BY[[#This Row],[Total Dollars Excluded from Spending After Applying Truncation at the Member Level]]=Age_Sex_BY[[#This Row],[Total Spending before Truncation is Applied]]</f>
        <v>1</v>
      </c>
    </row>
    <row r="357" spans="1:10" x14ac:dyDescent="0.25">
      <c r="A357" s="101"/>
      <c r="B357" s="104"/>
      <c r="C357" s="105"/>
      <c r="D357" s="273"/>
      <c r="E357" s="182"/>
      <c r="F357" s="110"/>
      <c r="G357" s="274"/>
      <c r="H357" s="110"/>
      <c r="I357" s="110"/>
      <c r="J357" s="237" t="b">
        <f>Age_Sex_BY[[#This Row],[Total Spending After Applying Truncation at the Member Level]]+Age_Sex_BY[[#This Row],[Total Dollars Excluded from Spending After Applying Truncation at the Member Level]]=Age_Sex_BY[[#This Row],[Total Spending before Truncation is Applied]]</f>
        <v>1</v>
      </c>
    </row>
    <row r="358" spans="1:10" x14ac:dyDescent="0.25">
      <c r="A358" s="101"/>
      <c r="B358" s="104"/>
      <c r="C358" s="105"/>
      <c r="D358" s="273"/>
      <c r="E358" s="182"/>
      <c r="F358" s="110"/>
      <c r="G358" s="274"/>
      <c r="H358" s="110"/>
      <c r="I358" s="110"/>
      <c r="J358" s="237" t="b">
        <f>Age_Sex_BY[[#This Row],[Total Spending After Applying Truncation at the Member Level]]+Age_Sex_BY[[#This Row],[Total Dollars Excluded from Spending After Applying Truncation at the Member Level]]=Age_Sex_BY[[#This Row],[Total Spending before Truncation is Applied]]</f>
        <v>1</v>
      </c>
    </row>
    <row r="359" spans="1:10" x14ac:dyDescent="0.25">
      <c r="A359" s="101"/>
      <c r="B359" s="104"/>
      <c r="C359" s="105"/>
      <c r="D359" s="273"/>
      <c r="E359" s="182"/>
      <c r="F359" s="110"/>
      <c r="G359" s="274"/>
      <c r="H359" s="110"/>
      <c r="I359" s="110"/>
      <c r="J359" s="237" t="b">
        <f>Age_Sex_BY[[#This Row],[Total Spending After Applying Truncation at the Member Level]]+Age_Sex_BY[[#This Row],[Total Dollars Excluded from Spending After Applying Truncation at the Member Level]]=Age_Sex_BY[[#This Row],[Total Spending before Truncation is Applied]]</f>
        <v>1</v>
      </c>
    </row>
    <row r="360" spans="1:10" x14ac:dyDescent="0.25">
      <c r="A360" s="101"/>
      <c r="B360" s="104"/>
      <c r="C360" s="105"/>
      <c r="D360" s="273"/>
      <c r="E360" s="182"/>
      <c r="F360" s="110"/>
      <c r="G360" s="274"/>
      <c r="H360" s="110"/>
      <c r="I360" s="110"/>
      <c r="J360" s="237" t="b">
        <f>Age_Sex_BY[[#This Row],[Total Spending After Applying Truncation at the Member Level]]+Age_Sex_BY[[#This Row],[Total Dollars Excluded from Spending After Applying Truncation at the Member Level]]=Age_Sex_BY[[#This Row],[Total Spending before Truncation is Applied]]</f>
        <v>1</v>
      </c>
    </row>
    <row r="361" spans="1:10" x14ac:dyDescent="0.25">
      <c r="A361" s="101"/>
      <c r="B361" s="104"/>
      <c r="C361" s="105"/>
      <c r="D361" s="273"/>
      <c r="E361" s="182"/>
      <c r="F361" s="110"/>
      <c r="G361" s="274"/>
      <c r="H361" s="110"/>
      <c r="I361" s="110"/>
      <c r="J361" s="237" t="b">
        <f>Age_Sex_BY[[#This Row],[Total Spending After Applying Truncation at the Member Level]]+Age_Sex_BY[[#This Row],[Total Dollars Excluded from Spending After Applying Truncation at the Member Level]]=Age_Sex_BY[[#This Row],[Total Spending before Truncation is Applied]]</f>
        <v>1</v>
      </c>
    </row>
    <row r="362" spans="1:10" x14ac:dyDescent="0.25">
      <c r="A362" s="101"/>
      <c r="B362" s="104"/>
      <c r="C362" s="105"/>
      <c r="D362" s="273"/>
      <c r="E362" s="182"/>
      <c r="F362" s="110"/>
      <c r="G362" s="274"/>
      <c r="H362" s="110"/>
      <c r="I362" s="110"/>
      <c r="J362" s="237" t="b">
        <f>Age_Sex_BY[[#This Row],[Total Spending After Applying Truncation at the Member Level]]+Age_Sex_BY[[#This Row],[Total Dollars Excluded from Spending After Applying Truncation at the Member Level]]=Age_Sex_BY[[#This Row],[Total Spending before Truncation is Applied]]</f>
        <v>1</v>
      </c>
    </row>
    <row r="363" spans="1:10" x14ac:dyDescent="0.25">
      <c r="A363" s="101"/>
      <c r="B363" s="104"/>
      <c r="C363" s="105"/>
      <c r="D363" s="273"/>
      <c r="E363" s="182"/>
      <c r="F363" s="110"/>
      <c r="G363" s="274"/>
      <c r="H363" s="110"/>
      <c r="I363" s="110"/>
      <c r="J363" s="237" t="b">
        <f>Age_Sex_BY[[#This Row],[Total Spending After Applying Truncation at the Member Level]]+Age_Sex_BY[[#This Row],[Total Dollars Excluded from Spending After Applying Truncation at the Member Level]]=Age_Sex_BY[[#This Row],[Total Spending before Truncation is Applied]]</f>
        <v>1</v>
      </c>
    </row>
    <row r="364" spans="1:10" x14ac:dyDescent="0.25">
      <c r="A364" s="101"/>
      <c r="B364" s="104"/>
      <c r="C364" s="105"/>
      <c r="D364" s="273"/>
      <c r="E364" s="182"/>
      <c r="F364" s="110"/>
      <c r="G364" s="274"/>
      <c r="H364" s="110"/>
      <c r="I364" s="110"/>
      <c r="J364" s="237" t="b">
        <f>Age_Sex_BY[[#This Row],[Total Spending After Applying Truncation at the Member Level]]+Age_Sex_BY[[#This Row],[Total Dollars Excluded from Spending After Applying Truncation at the Member Level]]=Age_Sex_BY[[#This Row],[Total Spending before Truncation is Applied]]</f>
        <v>1</v>
      </c>
    </row>
    <row r="365" spans="1:10" x14ac:dyDescent="0.25">
      <c r="A365" s="101"/>
      <c r="B365" s="104"/>
      <c r="C365" s="105"/>
      <c r="D365" s="273"/>
      <c r="E365" s="182"/>
      <c r="F365" s="110"/>
      <c r="G365" s="274"/>
      <c r="H365" s="110"/>
      <c r="I365" s="110"/>
      <c r="J365" s="237" t="b">
        <f>Age_Sex_BY[[#This Row],[Total Spending After Applying Truncation at the Member Level]]+Age_Sex_BY[[#This Row],[Total Dollars Excluded from Spending After Applying Truncation at the Member Level]]=Age_Sex_BY[[#This Row],[Total Spending before Truncation is Applied]]</f>
        <v>1</v>
      </c>
    </row>
    <row r="366" spans="1:10" x14ac:dyDescent="0.25">
      <c r="A366" s="101"/>
      <c r="B366" s="104"/>
      <c r="C366" s="105"/>
      <c r="D366" s="273"/>
      <c r="E366" s="182"/>
      <c r="F366" s="110"/>
      <c r="G366" s="274"/>
      <c r="H366" s="110"/>
      <c r="I366" s="110"/>
      <c r="J366" s="237" t="b">
        <f>Age_Sex_BY[[#This Row],[Total Spending After Applying Truncation at the Member Level]]+Age_Sex_BY[[#This Row],[Total Dollars Excluded from Spending After Applying Truncation at the Member Level]]=Age_Sex_BY[[#This Row],[Total Spending before Truncation is Applied]]</f>
        <v>1</v>
      </c>
    </row>
    <row r="367" spans="1:10" x14ac:dyDescent="0.25">
      <c r="A367" s="101"/>
      <c r="B367" s="104"/>
      <c r="C367" s="105"/>
      <c r="D367" s="273"/>
      <c r="E367" s="182"/>
      <c r="F367" s="110"/>
      <c r="G367" s="274"/>
      <c r="H367" s="110"/>
      <c r="I367" s="110"/>
      <c r="J367" s="237" t="b">
        <f>Age_Sex_BY[[#This Row],[Total Spending After Applying Truncation at the Member Level]]+Age_Sex_BY[[#This Row],[Total Dollars Excluded from Spending After Applying Truncation at the Member Level]]=Age_Sex_BY[[#This Row],[Total Spending before Truncation is Applied]]</f>
        <v>1</v>
      </c>
    </row>
    <row r="368" spans="1:10" x14ac:dyDescent="0.25">
      <c r="A368" s="101"/>
      <c r="B368" s="104"/>
      <c r="C368" s="105"/>
      <c r="D368" s="273"/>
      <c r="E368" s="182"/>
      <c r="F368" s="110"/>
      <c r="G368" s="274"/>
      <c r="H368" s="110"/>
      <c r="I368" s="110"/>
      <c r="J368" s="237" t="b">
        <f>Age_Sex_BY[[#This Row],[Total Spending After Applying Truncation at the Member Level]]+Age_Sex_BY[[#This Row],[Total Dollars Excluded from Spending After Applying Truncation at the Member Level]]=Age_Sex_BY[[#This Row],[Total Spending before Truncation is Applied]]</f>
        <v>1</v>
      </c>
    </row>
    <row r="369" spans="1:10" x14ac:dyDescent="0.25">
      <c r="A369" s="101"/>
      <c r="B369" s="104"/>
      <c r="C369" s="105"/>
      <c r="D369" s="273"/>
      <c r="E369" s="182"/>
      <c r="F369" s="110"/>
      <c r="G369" s="274"/>
      <c r="H369" s="110"/>
      <c r="I369" s="110"/>
      <c r="J369" s="237" t="b">
        <f>Age_Sex_BY[[#This Row],[Total Spending After Applying Truncation at the Member Level]]+Age_Sex_BY[[#This Row],[Total Dollars Excluded from Spending After Applying Truncation at the Member Level]]=Age_Sex_BY[[#This Row],[Total Spending before Truncation is Applied]]</f>
        <v>1</v>
      </c>
    </row>
    <row r="370" spans="1:10" x14ac:dyDescent="0.25">
      <c r="A370" s="101"/>
      <c r="B370" s="104"/>
      <c r="C370" s="105"/>
      <c r="D370" s="273"/>
      <c r="E370" s="182"/>
      <c r="F370" s="110"/>
      <c r="G370" s="274"/>
      <c r="H370" s="110"/>
      <c r="I370" s="110"/>
      <c r="J370" s="237" t="b">
        <f>Age_Sex_BY[[#This Row],[Total Spending After Applying Truncation at the Member Level]]+Age_Sex_BY[[#This Row],[Total Dollars Excluded from Spending After Applying Truncation at the Member Level]]=Age_Sex_BY[[#This Row],[Total Spending before Truncation is Applied]]</f>
        <v>1</v>
      </c>
    </row>
    <row r="371" spans="1:10" x14ac:dyDescent="0.25">
      <c r="A371" s="101"/>
      <c r="B371" s="104"/>
      <c r="C371" s="105"/>
      <c r="D371" s="273"/>
      <c r="E371" s="182"/>
      <c r="F371" s="110"/>
      <c r="G371" s="274"/>
      <c r="H371" s="110"/>
      <c r="I371" s="110"/>
      <c r="J371" s="237" t="b">
        <f>Age_Sex_BY[[#This Row],[Total Spending After Applying Truncation at the Member Level]]+Age_Sex_BY[[#This Row],[Total Dollars Excluded from Spending After Applying Truncation at the Member Level]]=Age_Sex_BY[[#This Row],[Total Spending before Truncation is Applied]]</f>
        <v>1</v>
      </c>
    </row>
    <row r="372" spans="1:10" x14ac:dyDescent="0.25">
      <c r="A372" s="101"/>
      <c r="B372" s="104"/>
      <c r="C372" s="105"/>
      <c r="D372" s="273"/>
      <c r="E372" s="182"/>
      <c r="F372" s="110"/>
      <c r="G372" s="274"/>
      <c r="H372" s="110"/>
      <c r="I372" s="110"/>
      <c r="J372" s="237" t="b">
        <f>Age_Sex_BY[[#This Row],[Total Spending After Applying Truncation at the Member Level]]+Age_Sex_BY[[#This Row],[Total Dollars Excluded from Spending After Applying Truncation at the Member Level]]=Age_Sex_BY[[#This Row],[Total Spending before Truncation is Applied]]</f>
        <v>1</v>
      </c>
    </row>
    <row r="373" spans="1:10" x14ac:dyDescent="0.25">
      <c r="A373" s="101"/>
      <c r="B373" s="104"/>
      <c r="C373" s="105"/>
      <c r="D373" s="273"/>
      <c r="E373" s="182"/>
      <c r="F373" s="110"/>
      <c r="G373" s="274"/>
      <c r="H373" s="110"/>
      <c r="I373" s="110"/>
      <c r="J373" s="237" t="b">
        <f>Age_Sex_BY[[#This Row],[Total Spending After Applying Truncation at the Member Level]]+Age_Sex_BY[[#This Row],[Total Dollars Excluded from Spending After Applying Truncation at the Member Level]]=Age_Sex_BY[[#This Row],[Total Spending before Truncation is Applied]]</f>
        <v>1</v>
      </c>
    </row>
    <row r="374" spans="1:10" x14ac:dyDescent="0.25">
      <c r="A374" s="101"/>
      <c r="B374" s="104"/>
      <c r="C374" s="105"/>
      <c r="D374" s="273"/>
      <c r="E374" s="182"/>
      <c r="F374" s="110"/>
      <c r="G374" s="274"/>
      <c r="H374" s="110"/>
      <c r="I374" s="110"/>
      <c r="J374" s="237" t="b">
        <f>Age_Sex_BY[[#This Row],[Total Spending After Applying Truncation at the Member Level]]+Age_Sex_BY[[#This Row],[Total Dollars Excluded from Spending After Applying Truncation at the Member Level]]=Age_Sex_BY[[#This Row],[Total Spending before Truncation is Applied]]</f>
        <v>1</v>
      </c>
    </row>
    <row r="375" spans="1:10" x14ac:dyDescent="0.25">
      <c r="A375" s="101"/>
      <c r="B375" s="104"/>
      <c r="C375" s="105"/>
      <c r="D375" s="273"/>
      <c r="E375" s="182"/>
      <c r="F375" s="110"/>
      <c r="G375" s="274"/>
      <c r="H375" s="110"/>
      <c r="I375" s="110"/>
      <c r="J375" s="237" t="b">
        <f>Age_Sex_BY[[#This Row],[Total Spending After Applying Truncation at the Member Level]]+Age_Sex_BY[[#This Row],[Total Dollars Excluded from Spending After Applying Truncation at the Member Level]]=Age_Sex_BY[[#This Row],[Total Spending before Truncation is Applied]]</f>
        <v>1</v>
      </c>
    </row>
    <row r="376" spans="1:10" x14ac:dyDescent="0.25">
      <c r="A376" s="101"/>
      <c r="B376" s="104"/>
      <c r="C376" s="105"/>
      <c r="D376" s="273"/>
      <c r="E376" s="182"/>
      <c r="F376" s="110"/>
      <c r="G376" s="274"/>
      <c r="H376" s="110"/>
      <c r="I376" s="110"/>
      <c r="J376" s="237" t="b">
        <f>Age_Sex_BY[[#This Row],[Total Spending After Applying Truncation at the Member Level]]+Age_Sex_BY[[#This Row],[Total Dollars Excluded from Spending After Applying Truncation at the Member Level]]=Age_Sex_BY[[#This Row],[Total Spending before Truncation is Applied]]</f>
        <v>1</v>
      </c>
    </row>
    <row r="377" spans="1:10" x14ac:dyDescent="0.25">
      <c r="A377" s="101"/>
      <c r="B377" s="104"/>
      <c r="C377" s="105"/>
      <c r="D377" s="273"/>
      <c r="E377" s="182"/>
      <c r="F377" s="110"/>
      <c r="G377" s="274"/>
      <c r="H377" s="110"/>
      <c r="I377" s="110"/>
      <c r="J377" s="237" t="b">
        <f>Age_Sex_BY[[#This Row],[Total Spending After Applying Truncation at the Member Level]]+Age_Sex_BY[[#This Row],[Total Dollars Excluded from Spending After Applying Truncation at the Member Level]]=Age_Sex_BY[[#This Row],[Total Spending before Truncation is Applied]]</f>
        <v>1</v>
      </c>
    </row>
    <row r="378" spans="1:10" x14ac:dyDescent="0.25">
      <c r="A378" s="101"/>
      <c r="B378" s="104"/>
      <c r="C378" s="105"/>
      <c r="D378" s="273"/>
      <c r="E378" s="182"/>
      <c r="F378" s="110"/>
      <c r="G378" s="274"/>
      <c r="H378" s="110"/>
      <c r="I378" s="110"/>
      <c r="J378" s="237" t="b">
        <f>Age_Sex_BY[[#This Row],[Total Spending After Applying Truncation at the Member Level]]+Age_Sex_BY[[#This Row],[Total Dollars Excluded from Spending After Applying Truncation at the Member Level]]=Age_Sex_BY[[#This Row],[Total Spending before Truncation is Applied]]</f>
        <v>1</v>
      </c>
    </row>
    <row r="379" spans="1:10" x14ac:dyDescent="0.25">
      <c r="A379" s="101"/>
      <c r="B379" s="104"/>
      <c r="C379" s="105"/>
      <c r="D379" s="273"/>
      <c r="E379" s="182"/>
      <c r="F379" s="110"/>
      <c r="G379" s="274"/>
      <c r="H379" s="110"/>
      <c r="I379" s="110"/>
      <c r="J379" s="237" t="b">
        <f>Age_Sex_BY[[#This Row],[Total Spending After Applying Truncation at the Member Level]]+Age_Sex_BY[[#This Row],[Total Dollars Excluded from Spending After Applying Truncation at the Member Level]]=Age_Sex_BY[[#This Row],[Total Spending before Truncation is Applied]]</f>
        <v>1</v>
      </c>
    </row>
    <row r="380" spans="1:10" x14ac:dyDescent="0.25">
      <c r="A380" s="101"/>
      <c r="B380" s="104"/>
      <c r="C380" s="105"/>
      <c r="D380" s="273"/>
      <c r="E380" s="182"/>
      <c r="F380" s="110"/>
      <c r="G380" s="274"/>
      <c r="H380" s="110"/>
      <c r="I380" s="110"/>
      <c r="J380" s="237" t="b">
        <f>Age_Sex_BY[[#This Row],[Total Spending After Applying Truncation at the Member Level]]+Age_Sex_BY[[#This Row],[Total Dollars Excluded from Spending After Applying Truncation at the Member Level]]=Age_Sex_BY[[#This Row],[Total Spending before Truncation is Applied]]</f>
        <v>1</v>
      </c>
    </row>
    <row r="381" spans="1:10" x14ac:dyDescent="0.25">
      <c r="A381" s="101"/>
      <c r="B381" s="104"/>
      <c r="C381" s="105"/>
      <c r="D381" s="273"/>
      <c r="E381" s="182"/>
      <c r="F381" s="110"/>
      <c r="G381" s="274"/>
      <c r="H381" s="110"/>
      <c r="I381" s="110"/>
      <c r="J381" s="237" t="b">
        <f>Age_Sex_BY[[#This Row],[Total Spending After Applying Truncation at the Member Level]]+Age_Sex_BY[[#This Row],[Total Dollars Excluded from Spending After Applying Truncation at the Member Level]]=Age_Sex_BY[[#This Row],[Total Spending before Truncation is Applied]]</f>
        <v>1</v>
      </c>
    </row>
    <row r="382" spans="1:10" x14ac:dyDescent="0.25">
      <c r="A382" s="101"/>
      <c r="B382" s="104"/>
      <c r="C382" s="105"/>
      <c r="D382" s="273"/>
      <c r="E382" s="182"/>
      <c r="F382" s="110"/>
      <c r="G382" s="274"/>
      <c r="H382" s="110"/>
      <c r="I382" s="110"/>
      <c r="J382" s="237" t="b">
        <f>Age_Sex_BY[[#This Row],[Total Spending After Applying Truncation at the Member Level]]+Age_Sex_BY[[#This Row],[Total Dollars Excluded from Spending After Applying Truncation at the Member Level]]=Age_Sex_BY[[#This Row],[Total Spending before Truncation is Applied]]</f>
        <v>1</v>
      </c>
    </row>
    <row r="383" spans="1:10" x14ac:dyDescent="0.25">
      <c r="A383" s="101"/>
      <c r="B383" s="104"/>
      <c r="C383" s="105"/>
      <c r="D383" s="273"/>
      <c r="E383" s="182"/>
      <c r="F383" s="110"/>
      <c r="G383" s="274"/>
      <c r="H383" s="110"/>
      <c r="I383" s="110"/>
      <c r="J383" s="237" t="b">
        <f>Age_Sex_BY[[#This Row],[Total Spending After Applying Truncation at the Member Level]]+Age_Sex_BY[[#This Row],[Total Dollars Excluded from Spending After Applying Truncation at the Member Level]]=Age_Sex_BY[[#This Row],[Total Spending before Truncation is Applied]]</f>
        <v>1</v>
      </c>
    </row>
    <row r="384" spans="1:10" x14ac:dyDescent="0.25">
      <c r="A384" s="101"/>
      <c r="B384" s="104"/>
      <c r="C384" s="105"/>
      <c r="D384" s="273"/>
      <c r="E384" s="182"/>
      <c r="F384" s="110"/>
      <c r="G384" s="274"/>
      <c r="H384" s="110"/>
      <c r="I384" s="110"/>
      <c r="J384" s="237" t="b">
        <f>Age_Sex_BY[[#This Row],[Total Spending After Applying Truncation at the Member Level]]+Age_Sex_BY[[#This Row],[Total Dollars Excluded from Spending After Applying Truncation at the Member Level]]=Age_Sex_BY[[#This Row],[Total Spending before Truncation is Applied]]</f>
        <v>1</v>
      </c>
    </row>
    <row r="385" spans="1:10" x14ac:dyDescent="0.25">
      <c r="A385" s="101"/>
      <c r="B385" s="104"/>
      <c r="C385" s="105"/>
      <c r="D385" s="273"/>
      <c r="E385" s="182"/>
      <c r="F385" s="110"/>
      <c r="G385" s="274"/>
      <c r="H385" s="110"/>
      <c r="I385" s="110"/>
      <c r="J385" s="237" t="b">
        <f>Age_Sex_BY[[#This Row],[Total Spending After Applying Truncation at the Member Level]]+Age_Sex_BY[[#This Row],[Total Dollars Excluded from Spending After Applying Truncation at the Member Level]]=Age_Sex_BY[[#This Row],[Total Spending before Truncation is Applied]]</f>
        <v>1</v>
      </c>
    </row>
    <row r="386" spans="1:10" x14ac:dyDescent="0.25">
      <c r="A386" s="101"/>
      <c r="B386" s="104"/>
      <c r="C386" s="105"/>
      <c r="D386" s="273"/>
      <c r="E386" s="182"/>
      <c r="F386" s="110"/>
      <c r="G386" s="274"/>
      <c r="H386" s="110"/>
      <c r="I386" s="110"/>
      <c r="J386" s="237" t="b">
        <f>Age_Sex_BY[[#This Row],[Total Spending After Applying Truncation at the Member Level]]+Age_Sex_BY[[#This Row],[Total Dollars Excluded from Spending After Applying Truncation at the Member Level]]=Age_Sex_BY[[#This Row],[Total Spending before Truncation is Applied]]</f>
        <v>1</v>
      </c>
    </row>
    <row r="387" spans="1:10" x14ac:dyDescent="0.25">
      <c r="A387" s="101"/>
      <c r="B387" s="104"/>
      <c r="C387" s="105"/>
      <c r="D387" s="273"/>
      <c r="E387" s="182"/>
      <c r="F387" s="110"/>
      <c r="G387" s="274"/>
      <c r="H387" s="110"/>
      <c r="I387" s="110"/>
      <c r="J387" s="237" t="b">
        <f>Age_Sex_BY[[#This Row],[Total Spending After Applying Truncation at the Member Level]]+Age_Sex_BY[[#This Row],[Total Dollars Excluded from Spending After Applying Truncation at the Member Level]]=Age_Sex_BY[[#This Row],[Total Spending before Truncation is Applied]]</f>
        <v>1</v>
      </c>
    </row>
    <row r="388" spans="1:10" x14ac:dyDescent="0.25">
      <c r="A388" s="101"/>
      <c r="B388" s="104"/>
      <c r="C388" s="105"/>
      <c r="D388" s="273"/>
      <c r="E388" s="182"/>
      <c r="F388" s="110"/>
      <c r="G388" s="274"/>
      <c r="H388" s="110"/>
      <c r="I388" s="110"/>
      <c r="J388" s="237" t="b">
        <f>Age_Sex_BY[[#This Row],[Total Spending After Applying Truncation at the Member Level]]+Age_Sex_BY[[#This Row],[Total Dollars Excluded from Spending After Applying Truncation at the Member Level]]=Age_Sex_BY[[#This Row],[Total Spending before Truncation is Applied]]</f>
        <v>1</v>
      </c>
    </row>
    <row r="389" spans="1:10" x14ac:dyDescent="0.25">
      <c r="A389" s="101"/>
      <c r="B389" s="104"/>
      <c r="C389" s="105"/>
      <c r="D389" s="273"/>
      <c r="E389" s="182"/>
      <c r="F389" s="110"/>
      <c r="G389" s="274"/>
      <c r="H389" s="110"/>
      <c r="I389" s="110"/>
      <c r="J389" s="237" t="b">
        <f>Age_Sex_BY[[#This Row],[Total Spending After Applying Truncation at the Member Level]]+Age_Sex_BY[[#This Row],[Total Dollars Excluded from Spending After Applying Truncation at the Member Level]]=Age_Sex_BY[[#This Row],[Total Spending before Truncation is Applied]]</f>
        <v>1</v>
      </c>
    </row>
    <row r="390" spans="1:10" x14ac:dyDescent="0.25">
      <c r="A390" s="101"/>
      <c r="B390" s="104"/>
      <c r="C390" s="105"/>
      <c r="D390" s="273"/>
      <c r="E390" s="182"/>
      <c r="F390" s="110"/>
      <c r="G390" s="274"/>
      <c r="H390" s="110"/>
      <c r="I390" s="110"/>
      <c r="J390" s="237" t="b">
        <f>Age_Sex_BY[[#This Row],[Total Spending After Applying Truncation at the Member Level]]+Age_Sex_BY[[#This Row],[Total Dollars Excluded from Spending After Applying Truncation at the Member Level]]=Age_Sex_BY[[#This Row],[Total Spending before Truncation is Applied]]</f>
        <v>1</v>
      </c>
    </row>
    <row r="391" spans="1:10" x14ac:dyDescent="0.25">
      <c r="A391" s="101"/>
      <c r="B391" s="104"/>
      <c r="C391" s="105"/>
      <c r="D391" s="273"/>
      <c r="E391" s="182"/>
      <c r="F391" s="110"/>
      <c r="G391" s="274"/>
      <c r="H391" s="110"/>
      <c r="I391" s="110"/>
      <c r="J391" s="237" t="b">
        <f>Age_Sex_BY[[#This Row],[Total Spending After Applying Truncation at the Member Level]]+Age_Sex_BY[[#This Row],[Total Dollars Excluded from Spending After Applying Truncation at the Member Level]]=Age_Sex_BY[[#This Row],[Total Spending before Truncation is Applied]]</f>
        <v>1</v>
      </c>
    </row>
    <row r="392" spans="1:10" x14ac:dyDescent="0.25">
      <c r="A392" s="101"/>
      <c r="B392" s="104"/>
      <c r="C392" s="105"/>
      <c r="D392" s="273"/>
      <c r="E392" s="182"/>
      <c r="F392" s="110"/>
      <c r="G392" s="274"/>
      <c r="H392" s="110"/>
      <c r="I392" s="110"/>
      <c r="J392" s="237" t="b">
        <f>Age_Sex_BY[[#This Row],[Total Spending After Applying Truncation at the Member Level]]+Age_Sex_BY[[#This Row],[Total Dollars Excluded from Spending After Applying Truncation at the Member Level]]=Age_Sex_BY[[#This Row],[Total Spending before Truncation is Applied]]</f>
        <v>1</v>
      </c>
    </row>
    <row r="393" spans="1:10" x14ac:dyDescent="0.25">
      <c r="A393" s="101"/>
      <c r="B393" s="104"/>
      <c r="C393" s="105"/>
      <c r="D393" s="273"/>
      <c r="E393" s="182"/>
      <c r="F393" s="110"/>
      <c r="G393" s="274"/>
      <c r="H393" s="110"/>
      <c r="I393" s="110"/>
      <c r="J393" s="237" t="b">
        <f>Age_Sex_BY[[#This Row],[Total Spending After Applying Truncation at the Member Level]]+Age_Sex_BY[[#This Row],[Total Dollars Excluded from Spending After Applying Truncation at the Member Level]]=Age_Sex_BY[[#This Row],[Total Spending before Truncation is Applied]]</f>
        <v>1</v>
      </c>
    </row>
    <row r="394" spans="1:10" x14ac:dyDescent="0.25">
      <c r="A394" s="101"/>
      <c r="B394" s="104"/>
      <c r="C394" s="105"/>
      <c r="D394" s="273"/>
      <c r="E394" s="182"/>
      <c r="F394" s="110"/>
      <c r="G394" s="274"/>
      <c r="H394" s="110"/>
      <c r="I394" s="110"/>
      <c r="J394" s="237" t="b">
        <f>Age_Sex_BY[[#This Row],[Total Spending After Applying Truncation at the Member Level]]+Age_Sex_BY[[#This Row],[Total Dollars Excluded from Spending After Applying Truncation at the Member Level]]=Age_Sex_BY[[#This Row],[Total Spending before Truncation is Applied]]</f>
        <v>1</v>
      </c>
    </row>
    <row r="395" spans="1:10" x14ac:dyDescent="0.25">
      <c r="A395" s="101"/>
      <c r="B395" s="104"/>
      <c r="C395" s="105"/>
      <c r="D395" s="273"/>
      <c r="E395" s="182"/>
      <c r="F395" s="110"/>
      <c r="G395" s="274"/>
      <c r="H395" s="110"/>
      <c r="I395" s="110"/>
      <c r="J395" s="237" t="b">
        <f>Age_Sex_BY[[#This Row],[Total Spending After Applying Truncation at the Member Level]]+Age_Sex_BY[[#This Row],[Total Dollars Excluded from Spending After Applying Truncation at the Member Level]]=Age_Sex_BY[[#This Row],[Total Spending before Truncation is Applied]]</f>
        <v>1</v>
      </c>
    </row>
    <row r="396" spans="1:10" x14ac:dyDescent="0.25">
      <c r="A396" s="101"/>
      <c r="B396" s="104"/>
      <c r="C396" s="105"/>
      <c r="D396" s="273"/>
      <c r="E396" s="182"/>
      <c r="F396" s="110"/>
      <c r="G396" s="274"/>
      <c r="H396" s="110"/>
      <c r="I396" s="110"/>
      <c r="J396" s="237" t="b">
        <f>Age_Sex_BY[[#This Row],[Total Spending After Applying Truncation at the Member Level]]+Age_Sex_BY[[#This Row],[Total Dollars Excluded from Spending After Applying Truncation at the Member Level]]=Age_Sex_BY[[#This Row],[Total Spending before Truncation is Applied]]</f>
        <v>1</v>
      </c>
    </row>
    <row r="397" spans="1:10" x14ac:dyDescent="0.25">
      <c r="A397" s="101"/>
      <c r="B397" s="104"/>
      <c r="C397" s="105"/>
      <c r="D397" s="273"/>
      <c r="E397" s="182"/>
      <c r="F397" s="110"/>
      <c r="G397" s="274"/>
      <c r="H397" s="110"/>
      <c r="I397" s="110"/>
      <c r="J397" s="237" t="b">
        <f>Age_Sex_BY[[#This Row],[Total Spending After Applying Truncation at the Member Level]]+Age_Sex_BY[[#This Row],[Total Dollars Excluded from Spending After Applying Truncation at the Member Level]]=Age_Sex_BY[[#This Row],[Total Spending before Truncation is Applied]]</f>
        <v>1</v>
      </c>
    </row>
    <row r="398" spans="1:10" x14ac:dyDescent="0.25">
      <c r="A398" s="101"/>
      <c r="B398" s="104"/>
      <c r="C398" s="105"/>
      <c r="D398" s="273"/>
      <c r="E398" s="182"/>
      <c r="F398" s="110"/>
      <c r="G398" s="274"/>
      <c r="H398" s="110"/>
      <c r="I398" s="110"/>
      <c r="J398" s="237" t="b">
        <f>Age_Sex_BY[[#This Row],[Total Spending After Applying Truncation at the Member Level]]+Age_Sex_BY[[#This Row],[Total Dollars Excluded from Spending After Applying Truncation at the Member Level]]=Age_Sex_BY[[#This Row],[Total Spending before Truncation is Applied]]</f>
        <v>1</v>
      </c>
    </row>
    <row r="399" spans="1:10" x14ac:dyDescent="0.25">
      <c r="A399" s="101"/>
      <c r="B399" s="104"/>
      <c r="C399" s="105"/>
      <c r="D399" s="273"/>
      <c r="E399" s="182"/>
      <c r="F399" s="110"/>
      <c r="G399" s="274"/>
      <c r="H399" s="110"/>
      <c r="I399" s="110"/>
      <c r="J399" s="237" t="b">
        <f>Age_Sex_BY[[#This Row],[Total Spending After Applying Truncation at the Member Level]]+Age_Sex_BY[[#This Row],[Total Dollars Excluded from Spending After Applying Truncation at the Member Level]]=Age_Sex_BY[[#This Row],[Total Spending before Truncation is Applied]]</f>
        <v>1</v>
      </c>
    </row>
    <row r="400" spans="1:10" x14ac:dyDescent="0.25">
      <c r="A400" s="101"/>
      <c r="B400" s="104"/>
      <c r="C400" s="105"/>
      <c r="D400" s="273"/>
      <c r="E400" s="182"/>
      <c r="F400" s="110"/>
      <c r="G400" s="274"/>
      <c r="H400" s="110"/>
      <c r="I400" s="110"/>
      <c r="J400" s="237" t="b">
        <f>Age_Sex_BY[[#This Row],[Total Spending After Applying Truncation at the Member Level]]+Age_Sex_BY[[#This Row],[Total Dollars Excluded from Spending After Applying Truncation at the Member Level]]=Age_Sex_BY[[#This Row],[Total Spending before Truncation is Applied]]</f>
        <v>1</v>
      </c>
    </row>
    <row r="401" spans="1:10" x14ac:dyDescent="0.25">
      <c r="A401" s="101"/>
      <c r="B401" s="104"/>
      <c r="C401" s="105"/>
      <c r="D401" s="273"/>
      <c r="E401" s="182"/>
      <c r="F401" s="110"/>
      <c r="G401" s="274"/>
      <c r="H401" s="110"/>
      <c r="I401" s="110"/>
      <c r="J401" s="237" t="b">
        <f>Age_Sex_BY[[#This Row],[Total Spending After Applying Truncation at the Member Level]]+Age_Sex_BY[[#This Row],[Total Dollars Excluded from Spending After Applying Truncation at the Member Level]]=Age_Sex_BY[[#This Row],[Total Spending before Truncation is Applied]]</f>
        <v>1</v>
      </c>
    </row>
    <row r="402" spans="1:10" x14ac:dyDescent="0.25">
      <c r="A402" s="101"/>
      <c r="B402" s="104"/>
      <c r="C402" s="105"/>
      <c r="D402" s="273"/>
      <c r="E402" s="182"/>
      <c r="F402" s="110"/>
      <c r="G402" s="274"/>
      <c r="H402" s="110"/>
      <c r="I402" s="110"/>
      <c r="J402" s="237" t="b">
        <f>Age_Sex_BY[[#This Row],[Total Spending After Applying Truncation at the Member Level]]+Age_Sex_BY[[#This Row],[Total Dollars Excluded from Spending After Applying Truncation at the Member Level]]=Age_Sex_BY[[#This Row],[Total Spending before Truncation is Applied]]</f>
        <v>1</v>
      </c>
    </row>
    <row r="403" spans="1:10" x14ac:dyDescent="0.25">
      <c r="A403" s="101"/>
      <c r="B403" s="104"/>
      <c r="C403" s="105"/>
      <c r="D403" s="273"/>
      <c r="E403" s="182"/>
      <c r="F403" s="110"/>
      <c r="G403" s="274"/>
      <c r="H403" s="110"/>
      <c r="I403" s="110"/>
      <c r="J403" s="237" t="b">
        <f>Age_Sex_BY[[#This Row],[Total Spending After Applying Truncation at the Member Level]]+Age_Sex_BY[[#This Row],[Total Dollars Excluded from Spending After Applying Truncation at the Member Level]]=Age_Sex_BY[[#This Row],[Total Spending before Truncation is Applied]]</f>
        <v>1</v>
      </c>
    </row>
    <row r="404" spans="1:10" x14ac:dyDescent="0.25">
      <c r="A404" s="101"/>
      <c r="B404" s="104"/>
      <c r="C404" s="105"/>
      <c r="D404" s="273"/>
      <c r="E404" s="182"/>
      <c r="F404" s="110"/>
      <c r="G404" s="274"/>
      <c r="H404" s="110"/>
      <c r="I404" s="110"/>
      <c r="J404" s="237" t="b">
        <f>Age_Sex_BY[[#This Row],[Total Spending After Applying Truncation at the Member Level]]+Age_Sex_BY[[#This Row],[Total Dollars Excluded from Spending After Applying Truncation at the Member Level]]=Age_Sex_BY[[#This Row],[Total Spending before Truncation is Applied]]</f>
        <v>1</v>
      </c>
    </row>
    <row r="405" spans="1:10" x14ac:dyDescent="0.25">
      <c r="A405" s="101"/>
      <c r="B405" s="104"/>
      <c r="C405" s="105"/>
      <c r="D405" s="273"/>
      <c r="E405" s="182"/>
      <c r="F405" s="110"/>
      <c r="G405" s="274"/>
      <c r="H405" s="110"/>
      <c r="I405" s="110"/>
      <c r="J405" s="237" t="b">
        <f>Age_Sex_BY[[#This Row],[Total Spending After Applying Truncation at the Member Level]]+Age_Sex_BY[[#This Row],[Total Dollars Excluded from Spending After Applying Truncation at the Member Level]]=Age_Sex_BY[[#This Row],[Total Spending before Truncation is Applied]]</f>
        <v>1</v>
      </c>
    </row>
    <row r="406" spans="1:10" x14ac:dyDescent="0.25">
      <c r="A406" s="101"/>
      <c r="B406" s="104"/>
      <c r="C406" s="105"/>
      <c r="D406" s="273"/>
      <c r="E406" s="182"/>
      <c r="F406" s="110"/>
      <c r="G406" s="274"/>
      <c r="H406" s="110"/>
      <c r="I406" s="110"/>
      <c r="J406" s="237" t="b">
        <f>Age_Sex_BY[[#This Row],[Total Spending After Applying Truncation at the Member Level]]+Age_Sex_BY[[#This Row],[Total Dollars Excluded from Spending After Applying Truncation at the Member Level]]=Age_Sex_BY[[#This Row],[Total Spending before Truncation is Applied]]</f>
        <v>1</v>
      </c>
    </row>
    <row r="407" spans="1:10" x14ac:dyDescent="0.25">
      <c r="A407" s="101"/>
      <c r="B407" s="104"/>
      <c r="C407" s="105"/>
      <c r="D407" s="273"/>
      <c r="E407" s="182"/>
      <c r="F407" s="110"/>
      <c r="G407" s="274"/>
      <c r="H407" s="110"/>
      <c r="I407" s="110"/>
      <c r="J407" s="237" t="b">
        <f>Age_Sex_BY[[#This Row],[Total Spending After Applying Truncation at the Member Level]]+Age_Sex_BY[[#This Row],[Total Dollars Excluded from Spending After Applying Truncation at the Member Level]]=Age_Sex_BY[[#This Row],[Total Spending before Truncation is Applied]]</f>
        <v>1</v>
      </c>
    </row>
    <row r="408" spans="1:10" x14ac:dyDescent="0.25">
      <c r="A408" s="101"/>
      <c r="B408" s="104"/>
      <c r="C408" s="105"/>
      <c r="D408" s="273"/>
      <c r="E408" s="182"/>
      <c r="F408" s="110"/>
      <c r="G408" s="274"/>
      <c r="H408" s="110"/>
      <c r="I408" s="110"/>
      <c r="J408" s="237" t="b">
        <f>Age_Sex_BY[[#This Row],[Total Spending After Applying Truncation at the Member Level]]+Age_Sex_BY[[#This Row],[Total Dollars Excluded from Spending After Applying Truncation at the Member Level]]=Age_Sex_BY[[#This Row],[Total Spending before Truncation is Applied]]</f>
        <v>1</v>
      </c>
    </row>
    <row r="409" spans="1:10" x14ac:dyDescent="0.25">
      <c r="A409" s="101"/>
      <c r="B409" s="104"/>
      <c r="C409" s="105"/>
      <c r="D409" s="273"/>
      <c r="E409" s="182"/>
      <c r="F409" s="110"/>
      <c r="G409" s="274"/>
      <c r="H409" s="110"/>
      <c r="I409" s="110"/>
      <c r="J409" s="237" t="b">
        <f>Age_Sex_BY[[#This Row],[Total Spending After Applying Truncation at the Member Level]]+Age_Sex_BY[[#This Row],[Total Dollars Excluded from Spending After Applying Truncation at the Member Level]]=Age_Sex_BY[[#This Row],[Total Spending before Truncation is Applied]]</f>
        <v>1</v>
      </c>
    </row>
    <row r="410" spans="1:10" x14ac:dyDescent="0.25">
      <c r="A410" s="101"/>
      <c r="B410" s="104"/>
      <c r="C410" s="105"/>
      <c r="D410" s="273"/>
      <c r="E410" s="182"/>
      <c r="F410" s="110"/>
      <c r="G410" s="274"/>
      <c r="H410" s="110"/>
      <c r="I410" s="110"/>
      <c r="J410" s="237" t="b">
        <f>Age_Sex_BY[[#This Row],[Total Spending After Applying Truncation at the Member Level]]+Age_Sex_BY[[#This Row],[Total Dollars Excluded from Spending After Applying Truncation at the Member Level]]=Age_Sex_BY[[#This Row],[Total Spending before Truncation is Applied]]</f>
        <v>1</v>
      </c>
    </row>
    <row r="411" spans="1:10" x14ac:dyDescent="0.25">
      <c r="A411" s="101"/>
      <c r="B411" s="104"/>
      <c r="C411" s="105"/>
      <c r="D411" s="273"/>
      <c r="E411" s="182"/>
      <c r="F411" s="110"/>
      <c r="G411" s="274"/>
      <c r="H411" s="110"/>
      <c r="I411" s="110"/>
      <c r="J411" s="237" t="b">
        <f>Age_Sex_BY[[#This Row],[Total Spending After Applying Truncation at the Member Level]]+Age_Sex_BY[[#This Row],[Total Dollars Excluded from Spending After Applying Truncation at the Member Level]]=Age_Sex_BY[[#This Row],[Total Spending before Truncation is Applied]]</f>
        <v>1</v>
      </c>
    </row>
    <row r="412" spans="1:10" x14ac:dyDescent="0.25">
      <c r="A412" s="101"/>
      <c r="B412" s="104"/>
      <c r="C412" s="105"/>
      <c r="D412" s="273"/>
      <c r="E412" s="182"/>
      <c r="F412" s="110"/>
      <c r="G412" s="274"/>
      <c r="H412" s="110"/>
      <c r="I412" s="110"/>
      <c r="J412" s="237" t="b">
        <f>Age_Sex_BY[[#This Row],[Total Spending After Applying Truncation at the Member Level]]+Age_Sex_BY[[#This Row],[Total Dollars Excluded from Spending After Applying Truncation at the Member Level]]=Age_Sex_BY[[#This Row],[Total Spending before Truncation is Applied]]</f>
        <v>1</v>
      </c>
    </row>
    <row r="413" spans="1:10" x14ac:dyDescent="0.25">
      <c r="A413" s="101"/>
      <c r="B413" s="104"/>
      <c r="C413" s="105"/>
      <c r="D413" s="273"/>
      <c r="E413" s="182"/>
      <c r="F413" s="110"/>
      <c r="G413" s="274"/>
      <c r="H413" s="110"/>
      <c r="I413" s="110"/>
      <c r="J413" s="237" t="b">
        <f>Age_Sex_BY[[#This Row],[Total Spending After Applying Truncation at the Member Level]]+Age_Sex_BY[[#This Row],[Total Dollars Excluded from Spending After Applying Truncation at the Member Level]]=Age_Sex_BY[[#This Row],[Total Spending before Truncation is Applied]]</f>
        <v>1</v>
      </c>
    </row>
    <row r="414" spans="1:10" x14ac:dyDescent="0.25">
      <c r="A414" s="101"/>
      <c r="B414" s="104"/>
      <c r="C414" s="105"/>
      <c r="D414" s="273"/>
      <c r="E414" s="182"/>
      <c r="F414" s="110"/>
      <c r="G414" s="274"/>
      <c r="H414" s="110"/>
      <c r="I414" s="110"/>
      <c r="J414" s="237" t="b">
        <f>Age_Sex_BY[[#This Row],[Total Spending After Applying Truncation at the Member Level]]+Age_Sex_BY[[#This Row],[Total Dollars Excluded from Spending After Applying Truncation at the Member Level]]=Age_Sex_BY[[#This Row],[Total Spending before Truncation is Applied]]</f>
        <v>1</v>
      </c>
    </row>
    <row r="415" spans="1:10" x14ac:dyDescent="0.25">
      <c r="A415" s="101"/>
      <c r="B415" s="104"/>
      <c r="C415" s="105"/>
      <c r="D415" s="273"/>
      <c r="E415" s="182"/>
      <c r="F415" s="110"/>
      <c r="G415" s="274"/>
      <c r="H415" s="110"/>
      <c r="I415" s="110"/>
      <c r="J415" s="237" t="b">
        <f>Age_Sex_BY[[#This Row],[Total Spending After Applying Truncation at the Member Level]]+Age_Sex_BY[[#This Row],[Total Dollars Excluded from Spending After Applying Truncation at the Member Level]]=Age_Sex_BY[[#This Row],[Total Spending before Truncation is Applied]]</f>
        <v>1</v>
      </c>
    </row>
    <row r="416" spans="1:10" x14ac:dyDescent="0.25">
      <c r="A416" s="101"/>
      <c r="B416" s="104"/>
      <c r="C416" s="105"/>
      <c r="D416" s="273"/>
      <c r="E416" s="182"/>
      <c r="F416" s="110"/>
      <c r="G416" s="274"/>
      <c r="H416" s="110"/>
      <c r="I416" s="110"/>
      <c r="J416" s="237" t="b">
        <f>Age_Sex_BY[[#This Row],[Total Spending After Applying Truncation at the Member Level]]+Age_Sex_BY[[#This Row],[Total Dollars Excluded from Spending After Applying Truncation at the Member Level]]=Age_Sex_BY[[#This Row],[Total Spending before Truncation is Applied]]</f>
        <v>1</v>
      </c>
    </row>
    <row r="417" spans="1:10" x14ac:dyDescent="0.25">
      <c r="A417" s="101"/>
      <c r="B417" s="104"/>
      <c r="C417" s="105"/>
      <c r="D417" s="273"/>
      <c r="E417" s="182"/>
      <c r="F417" s="110"/>
      <c r="G417" s="274"/>
      <c r="H417" s="110"/>
      <c r="I417" s="110"/>
      <c r="J417" s="237" t="b">
        <f>Age_Sex_BY[[#This Row],[Total Spending After Applying Truncation at the Member Level]]+Age_Sex_BY[[#This Row],[Total Dollars Excluded from Spending After Applying Truncation at the Member Level]]=Age_Sex_BY[[#This Row],[Total Spending before Truncation is Applied]]</f>
        <v>1</v>
      </c>
    </row>
    <row r="418" spans="1:10" x14ac:dyDescent="0.25">
      <c r="A418" s="101"/>
      <c r="B418" s="104"/>
      <c r="C418" s="105"/>
      <c r="D418" s="273"/>
      <c r="E418" s="182"/>
      <c r="F418" s="110"/>
      <c r="G418" s="274"/>
      <c r="H418" s="110"/>
      <c r="I418" s="110"/>
      <c r="J418" s="237" t="b">
        <f>Age_Sex_BY[[#This Row],[Total Spending After Applying Truncation at the Member Level]]+Age_Sex_BY[[#This Row],[Total Dollars Excluded from Spending After Applying Truncation at the Member Level]]=Age_Sex_BY[[#This Row],[Total Spending before Truncation is Applied]]</f>
        <v>1</v>
      </c>
    </row>
    <row r="419" spans="1:10" x14ac:dyDescent="0.25">
      <c r="A419" s="101"/>
      <c r="B419" s="104"/>
      <c r="C419" s="105"/>
      <c r="D419" s="273"/>
      <c r="E419" s="182"/>
      <c r="F419" s="110"/>
      <c r="G419" s="274"/>
      <c r="H419" s="110"/>
      <c r="I419" s="110"/>
      <c r="J419" s="237" t="b">
        <f>Age_Sex_BY[[#This Row],[Total Spending After Applying Truncation at the Member Level]]+Age_Sex_BY[[#This Row],[Total Dollars Excluded from Spending After Applying Truncation at the Member Level]]=Age_Sex_BY[[#This Row],[Total Spending before Truncation is Applied]]</f>
        <v>1</v>
      </c>
    </row>
    <row r="420" spans="1:10" x14ac:dyDescent="0.25">
      <c r="A420" s="101"/>
      <c r="B420" s="104"/>
      <c r="C420" s="105"/>
      <c r="D420" s="273"/>
      <c r="E420" s="182"/>
      <c r="F420" s="110"/>
      <c r="G420" s="274"/>
      <c r="H420" s="110"/>
      <c r="I420" s="110"/>
      <c r="J420" s="237" t="b">
        <f>Age_Sex_BY[[#This Row],[Total Spending After Applying Truncation at the Member Level]]+Age_Sex_BY[[#This Row],[Total Dollars Excluded from Spending After Applying Truncation at the Member Level]]=Age_Sex_BY[[#This Row],[Total Spending before Truncation is Applied]]</f>
        <v>1</v>
      </c>
    </row>
    <row r="421" spans="1:10" x14ac:dyDescent="0.25">
      <c r="A421" s="101"/>
      <c r="B421" s="104"/>
      <c r="C421" s="105"/>
      <c r="D421" s="273"/>
      <c r="E421" s="182"/>
      <c r="F421" s="110"/>
      <c r="G421" s="274"/>
      <c r="H421" s="110"/>
      <c r="I421" s="110"/>
      <c r="J421" s="237" t="b">
        <f>Age_Sex_BY[[#This Row],[Total Spending After Applying Truncation at the Member Level]]+Age_Sex_BY[[#This Row],[Total Dollars Excluded from Spending After Applying Truncation at the Member Level]]=Age_Sex_BY[[#This Row],[Total Spending before Truncation is Applied]]</f>
        <v>1</v>
      </c>
    </row>
    <row r="422" spans="1:10" x14ac:dyDescent="0.25">
      <c r="A422" s="101"/>
      <c r="B422" s="104"/>
      <c r="C422" s="105"/>
      <c r="D422" s="273"/>
      <c r="E422" s="182"/>
      <c r="F422" s="110"/>
      <c r="G422" s="274"/>
      <c r="H422" s="110"/>
      <c r="I422" s="110"/>
      <c r="J422" s="237" t="b">
        <f>Age_Sex_BY[[#This Row],[Total Spending After Applying Truncation at the Member Level]]+Age_Sex_BY[[#This Row],[Total Dollars Excluded from Spending After Applying Truncation at the Member Level]]=Age_Sex_BY[[#This Row],[Total Spending before Truncation is Applied]]</f>
        <v>1</v>
      </c>
    </row>
    <row r="423" spans="1:10" x14ac:dyDescent="0.25">
      <c r="A423" s="101"/>
      <c r="B423" s="104"/>
      <c r="C423" s="105"/>
      <c r="D423" s="273"/>
      <c r="E423" s="182"/>
      <c r="F423" s="110"/>
      <c r="G423" s="274"/>
      <c r="H423" s="110"/>
      <c r="I423" s="110"/>
      <c r="J423" s="237" t="b">
        <f>Age_Sex_BY[[#This Row],[Total Spending After Applying Truncation at the Member Level]]+Age_Sex_BY[[#This Row],[Total Dollars Excluded from Spending After Applying Truncation at the Member Level]]=Age_Sex_BY[[#This Row],[Total Spending before Truncation is Applied]]</f>
        <v>1</v>
      </c>
    </row>
    <row r="424" spans="1:10" x14ac:dyDescent="0.25">
      <c r="A424" s="101"/>
      <c r="B424" s="104"/>
      <c r="C424" s="105"/>
      <c r="D424" s="273"/>
      <c r="E424" s="182"/>
      <c r="F424" s="110"/>
      <c r="G424" s="274"/>
      <c r="H424" s="110"/>
      <c r="I424" s="110"/>
      <c r="J424" s="237" t="b">
        <f>Age_Sex_BY[[#This Row],[Total Spending After Applying Truncation at the Member Level]]+Age_Sex_BY[[#This Row],[Total Dollars Excluded from Spending After Applying Truncation at the Member Level]]=Age_Sex_BY[[#This Row],[Total Spending before Truncation is Applied]]</f>
        <v>1</v>
      </c>
    </row>
    <row r="425" spans="1:10" x14ac:dyDescent="0.25">
      <c r="A425" s="101"/>
      <c r="B425" s="104"/>
      <c r="C425" s="105"/>
      <c r="D425" s="273"/>
      <c r="E425" s="182"/>
      <c r="F425" s="110"/>
      <c r="G425" s="274"/>
      <c r="H425" s="110"/>
      <c r="I425" s="110"/>
      <c r="J425" s="237" t="b">
        <f>Age_Sex_BY[[#This Row],[Total Spending After Applying Truncation at the Member Level]]+Age_Sex_BY[[#This Row],[Total Dollars Excluded from Spending After Applying Truncation at the Member Level]]=Age_Sex_BY[[#This Row],[Total Spending before Truncation is Applied]]</f>
        <v>1</v>
      </c>
    </row>
    <row r="426" spans="1:10" x14ac:dyDescent="0.25">
      <c r="A426" s="101"/>
      <c r="B426" s="104"/>
      <c r="C426" s="105"/>
      <c r="D426" s="273"/>
      <c r="E426" s="182"/>
      <c r="F426" s="110"/>
      <c r="G426" s="274"/>
      <c r="H426" s="110"/>
      <c r="I426" s="110"/>
      <c r="J426" s="237" t="b">
        <f>Age_Sex_BY[[#This Row],[Total Spending After Applying Truncation at the Member Level]]+Age_Sex_BY[[#This Row],[Total Dollars Excluded from Spending After Applying Truncation at the Member Level]]=Age_Sex_BY[[#This Row],[Total Spending before Truncation is Applied]]</f>
        <v>1</v>
      </c>
    </row>
    <row r="427" spans="1:10" x14ac:dyDescent="0.25">
      <c r="A427" s="101"/>
      <c r="B427" s="104"/>
      <c r="C427" s="105"/>
      <c r="D427" s="273"/>
      <c r="E427" s="182"/>
      <c r="F427" s="110"/>
      <c r="G427" s="274"/>
      <c r="H427" s="110"/>
      <c r="I427" s="110"/>
      <c r="J427" s="237" t="b">
        <f>Age_Sex_BY[[#This Row],[Total Spending After Applying Truncation at the Member Level]]+Age_Sex_BY[[#This Row],[Total Dollars Excluded from Spending After Applying Truncation at the Member Level]]=Age_Sex_BY[[#This Row],[Total Spending before Truncation is Applied]]</f>
        <v>1</v>
      </c>
    </row>
    <row r="428" spans="1:10" x14ac:dyDescent="0.25">
      <c r="A428" s="101"/>
      <c r="B428" s="104"/>
      <c r="C428" s="105"/>
      <c r="D428" s="273"/>
      <c r="E428" s="182"/>
      <c r="F428" s="110"/>
      <c r="G428" s="274"/>
      <c r="H428" s="110"/>
      <c r="I428" s="110"/>
      <c r="J428" s="237" t="b">
        <f>Age_Sex_BY[[#This Row],[Total Spending After Applying Truncation at the Member Level]]+Age_Sex_BY[[#This Row],[Total Dollars Excluded from Spending After Applying Truncation at the Member Level]]=Age_Sex_BY[[#This Row],[Total Spending before Truncation is Applied]]</f>
        <v>1</v>
      </c>
    </row>
    <row r="429" spans="1:10" x14ac:dyDescent="0.25">
      <c r="A429" s="101"/>
      <c r="B429" s="104"/>
      <c r="C429" s="105"/>
      <c r="D429" s="273"/>
      <c r="E429" s="182"/>
      <c r="F429" s="110"/>
      <c r="G429" s="274"/>
      <c r="H429" s="110"/>
      <c r="I429" s="110"/>
      <c r="J429" s="237" t="b">
        <f>Age_Sex_BY[[#This Row],[Total Spending After Applying Truncation at the Member Level]]+Age_Sex_BY[[#This Row],[Total Dollars Excluded from Spending After Applying Truncation at the Member Level]]=Age_Sex_BY[[#This Row],[Total Spending before Truncation is Applied]]</f>
        <v>1</v>
      </c>
    </row>
    <row r="430" spans="1:10" x14ac:dyDescent="0.25">
      <c r="A430" s="101"/>
      <c r="B430" s="104"/>
      <c r="C430" s="105"/>
      <c r="D430" s="273"/>
      <c r="E430" s="182"/>
      <c r="F430" s="110"/>
      <c r="G430" s="274"/>
      <c r="H430" s="110"/>
      <c r="I430" s="110"/>
      <c r="J430" s="237" t="b">
        <f>Age_Sex_BY[[#This Row],[Total Spending After Applying Truncation at the Member Level]]+Age_Sex_BY[[#This Row],[Total Dollars Excluded from Spending After Applying Truncation at the Member Level]]=Age_Sex_BY[[#This Row],[Total Spending before Truncation is Applied]]</f>
        <v>1</v>
      </c>
    </row>
    <row r="431" spans="1:10" x14ac:dyDescent="0.25">
      <c r="A431" s="101"/>
      <c r="B431" s="104"/>
      <c r="C431" s="105"/>
      <c r="D431" s="273"/>
      <c r="E431" s="182"/>
      <c r="F431" s="110"/>
      <c r="G431" s="274"/>
      <c r="H431" s="110"/>
      <c r="I431" s="110"/>
      <c r="J431" s="237" t="b">
        <f>Age_Sex_BY[[#This Row],[Total Spending After Applying Truncation at the Member Level]]+Age_Sex_BY[[#This Row],[Total Dollars Excluded from Spending After Applying Truncation at the Member Level]]=Age_Sex_BY[[#This Row],[Total Spending before Truncation is Applied]]</f>
        <v>1</v>
      </c>
    </row>
    <row r="432" spans="1:10" x14ac:dyDescent="0.25">
      <c r="A432" s="101"/>
      <c r="B432" s="104"/>
      <c r="C432" s="105"/>
      <c r="D432" s="273"/>
      <c r="E432" s="182"/>
      <c r="F432" s="110"/>
      <c r="G432" s="274"/>
      <c r="H432" s="110"/>
      <c r="I432" s="110"/>
      <c r="J432" s="237" t="b">
        <f>Age_Sex_BY[[#This Row],[Total Spending After Applying Truncation at the Member Level]]+Age_Sex_BY[[#This Row],[Total Dollars Excluded from Spending After Applying Truncation at the Member Level]]=Age_Sex_BY[[#This Row],[Total Spending before Truncation is Applied]]</f>
        <v>1</v>
      </c>
    </row>
    <row r="433" spans="1:10" x14ac:dyDescent="0.25">
      <c r="A433" s="101"/>
      <c r="B433" s="104"/>
      <c r="C433" s="105"/>
      <c r="D433" s="273"/>
      <c r="E433" s="182"/>
      <c r="F433" s="110"/>
      <c r="G433" s="274"/>
      <c r="H433" s="110"/>
      <c r="I433" s="110"/>
      <c r="J433" s="237" t="b">
        <f>Age_Sex_BY[[#This Row],[Total Spending After Applying Truncation at the Member Level]]+Age_Sex_BY[[#This Row],[Total Dollars Excluded from Spending After Applying Truncation at the Member Level]]=Age_Sex_BY[[#This Row],[Total Spending before Truncation is Applied]]</f>
        <v>1</v>
      </c>
    </row>
    <row r="434" spans="1:10" x14ac:dyDescent="0.25">
      <c r="A434" s="101"/>
      <c r="B434" s="104"/>
      <c r="C434" s="105"/>
      <c r="D434" s="273"/>
      <c r="E434" s="182"/>
      <c r="F434" s="110"/>
      <c r="G434" s="274"/>
      <c r="H434" s="110"/>
      <c r="I434" s="110"/>
      <c r="J434" s="237" t="b">
        <f>Age_Sex_BY[[#This Row],[Total Spending After Applying Truncation at the Member Level]]+Age_Sex_BY[[#This Row],[Total Dollars Excluded from Spending After Applying Truncation at the Member Level]]=Age_Sex_BY[[#This Row],[Total Spending before Truncation is Applied]]</f>
        <v>1</v>
      </c>
    </row>
    <row r="435" spans="1:10" x14ac:dyDescent="0.25">
      <c r="A435" s="101"/>
      <c r="B435" s="104"/>
      <c r="C435" s="105"/>
      <c r="D435" s="273"/>
      <c r="E435" s="182"/>
      <c r="F435" s="110"/>
      <c r="G435" s="274"/>
      <c r="H435" s="110"/>
      <c r="I435" s="110"/>
      <c r="J435" s="237" t="b">
        <f>Age_Sex_BY[[#This Row],[Total Spending After Applying Truncation at the Member Level]]+Age_Sex_BY[[#This Row],[Total Dollars Excluded from Spending After Applying Truncation at the Member Level]]=Age_Sex_BY[[#This Row],[Total Spending before Truncation is Applied]]</f>
        <v>1</v>
      </c>
    </row>
    <row r="436" spans="1:10" x14ac:dyDescent="0.25">
      <c r="A436" s="101"/>
      <c r="B436" s="104"/>
      <c r="C436" s="105"/>
      <c r="D436" s="273"/>
      <c r="E436" s="182"/>
      <c r="F436" s="110"/>
      <c r="G436" s="274"/>
      <c r="H436" s="110"/>
      <c r="I436" s="110"/>
      <c r="J436" s="237" t="b">
        <f>Age_Sex_BY[[#This Row],[Total Spending After Applying Truncation at the Member Level]]+Age_Sex_BY[[#This Row],[Total Dollars Excluded from Spending After Applying Truncation at the Member Level]]=Age_Sex_BY[[#This Row],[Total Spending before Truncation is Applied]]</f>
        <v>1</v>
      </c>
    </row>
    <row r="437" spans="1:10" x14ac:dyDescent="0.25">
      <c r="A437" s="101"/>
      <c r="B437" s="104"/>
      <c r="C437" s="105"/>
      <c r="D437" s="273"/>
      <c r="E437" s="182"/>
      <c r="F437" s="110"/>
      <c r="G437" s="274"/>
      <c r="H437" s="110"/>
      <c r="I437" s="110"/>
      <c r="J437" s="237" t="b">
        <f>Age_Sex_BY[[#This Row],[Total Spending After Applying Truncation at the Member Level]]+Age_Sex_BY[[#This Row],[Total Dollars Excluded from Spending After Applying Truncation at the Member Level]]=Age_Sex_BY[[#This Row],[Total Spending before Truncation is Applied]]</f>
        <v>1</v>
      </c>
    </row>
    <row r="438" spans="1:10" x14ac:dyDescent="0.25">
      <c r="A438" s="101"/>
      <c r="B438" s="104"/>
      <c r="C438" s="105"/>
      <c r="D438" s="273"/>
      <c r="E438" s="182"/>
      <c r="F438" s="110"/>
      <c r="G438" s="274"/>
      <c r="H438" s="110"/>
      <c r="I438" s="110"/>
      <c r="J438" s="237" t="b">
        <f>Age_Sex_BY[[#This Row],[Total Spending After Applying Truncation at the Member Level]]+Age_Sex_BY[[#This Row],[Total Dollars Excluded from Spending After Applying Truncation at the Member Level]]=Age_Sex_BY[[#This Row],[Total Spending before Truncation is Applied]]</f>
        <v>1</v>
      </c>
    </row>
    <row r="439" spans="1:10" x14ac:dyDescent="0.25">
      <c r="A439" s="101"/>
      <c r="B439" s="104"/>
      <c r="C439" s="105"/>
      <c r="D439" s="273"/>
      <c r="E439" s="182"/>
      <c r="F439" s="110"/>
      <c r="G439" s="274"/>
      <c r="H439" s="110"/>
      <c r="I439" s="110"/>
      <c r="J439" s="237" t="b">
        <f>Age_Sex_BY[[#This Row],[Total Spending After Applying Truncation at the Member Level]]+Age_Sex_BY[[#This Row],[Total Dollars Excluded from Spending After Applying Truncation at the Member Level]]=Age_Sex_BY[[#This Row],[Total Spending before Truncation is Applied]]</f>
        <v>1</v>
      </c>
    </row>
    <row r="440" spans="1:10" x14ac:dyDescent="0.25">
      <c r="A440" s="101"/>
      <c r="B440" s="104"/>
      <c r="C440" s="105"/>
      <c r="D440" s="273"/>
      <c r="E440" s="182"/>
      <c r="F440" s="110"/>
      <c r="G440" s="274"/>
      <c r="H440" s="110"/>
      <c r="I440" s="110"/>
      <c r="J440" s="237" t="b">
        <f>Age_Sex_BY[[#This Row],[Total Spending After Applying Truncation at the Member Level]]+Age_Sex_BY[[#This Row],[Total Dollars Excluded from Spending After Applying Truncation at the Member Level]]=Age_Sex_BY[[#This Row],[Total Spending before Truncation is Applied]]</f>
        <v>1</v>
      </c>
    </row>
    <row r="441" spans="1:10" x14ac:dyDescent="0.25">
      <c r="A441" s="101"/>
      <c r="B441" s="104"/>
      <c r="C441" s="105"/>
      <c r="D441" s="273"/>
      <c r="E441" s="182"/>
      <c r="F441" s="110"/>
      <c r="G441" s="274"/>
      <c r="H441" s="110"/>
      <c r="I441" s="110"/>
      <c r="J441" s="237" t="b">
        <f>Age_Sex_BY[[#This Row],[Total Spending After Applying Truncation at the Member Level]]+Age_Sex_BY[[#This Row],[Total Dollars Excluded from Spending After Applying Truncation at the Member Level]]=Age_Sex_BY[[#This Row],[Total Spending before Truncation is Applied]]</f>
        <v>1</v>
      </c>
    </row>
    <row r="442" spans="1:10" x14ac:dyDescent="0.25">
      <c r="A442" s="101"/>
      <c r="B442" s="104"/>
      <c r="C442" s="105"/>
      <c r="D442" s="273"/>
      <c r="E442" s="182"/>
      <c r="F442" s="110"/>
      <c r="G442" s="274"/>
      <c r="H442" s="110"/>
      <c r="I442" s="110"/>
      <c r="J442" s="237" t="b">
        <f>Age_Sex_BY[[#This Row],[Total Spending After Applying Truncation at the Member Level]]+Age_Sex_BY[[#This Row],[Total Dollars Excluded from Spending After Applying Truncation at the Member Level]]=Age_Sex_BY[[#This Row],[Total Spending before Truncation is Applied]]</f>
        <v>1</v>
      </c>
    </row>
    <row r="443" spans="1:10" x14ac:dyDescent="0.25">
      <c r="A443" s="101"/>
      <c r="B443" s="104"/>
      <c r="C443" s="105"/>
      <c r="D443" s="273"/>
      <c r="E443" s="182"/>
      <c r="F443" s="110"/>
      <c r="G443" s="274"/>
      <c r="H443" s="110"/>
      <c r="I443" s="110"/>
      <c r="J443" s="237" t="b">
        <f>Age_Sex_BY[[#This Row],[Total Spending After Applying Truncation at the Member Level]]+Age_Sex_BY[[#This Row],[Total Dollars Excluded from Spending After Applying Truncation at the Member Level]]=Age_Sex_BY[[#This Row],[Total Spending before Truncation is Applied]]</f>
        <v>1</v>
      </c>
    </row>
    <row r="444" spans="1:10" x14ac:dyDescent="0.25">
      <c r="A444" s="101"/>
      <c r="B444" s="104"/>
      <c r="C444" s="105"/>
      <c r="D444" s="273"/>
      <c r="E444" s="182"/>
      <c r="F444" s="110"/>
      <c r="G444" s="274"/>
      <c r="H444" s="110"/>
      <c r="I444" s="110"/>
      <c r="J444" s="237" t="b">
        <f>Age_Sex_BY[[#This Row],[Total Spending After Applying Truncation at the Member Level]]+Age_Sex_BY[[#This Row],[Total Dollars Excluded from Spending After Applying Truncation at the Member Level]]=Age_Sex_BY[[#This Row],[Total Spending before Truncation is Applied]]</f>
        <v>1</v>
      </c>
    </row>
    <row r="445" spans="1:10" x14ac:dyDescent="0.25">
      <c r="A445" s="101"/>
      <c r="B445" s="104"/>
      <c r="C445" s="105"/>
      <c r="D445" s="273"/>
      <c r="E445" s="182"/>
      <c r="F445" s="110"/>
      <c r="G445" s="274"/>
      <c r="H445" s="110"/>
      <c r="I445" s="110"/>
      <c r="J445" s="237" t="b">
        <f>Age_Sex_BY[[#This Row],[Total Spending After Applying Truncation at the Member Level]]+Age_Sex_BY[[#This Row],[Total Dollars Excluded from Spending After Applying Truncation at the Member Level]]=Age_Sex_BY[[#This Row],[Total Spending before Truncation is Applied]]</f>
        <v>1</v>
      </c>
    </row>
    <row r="446" spans="1:10" x14ac:dyDescent="0.25">
      <c r="A446" s="101"/>
      <c r="B446" s="104"/>
      <c r="C446" s="105"/>
      <c r="D446" s="273"/>
      <c r="E446" s="182"/>
      <c r="F446" s="110"/>
      <c r="G446" s="274"/>
      <c r="H446" s="110"/>
      <c r="I446" s="110"/>
      <c r="J446" s="237" t="b">
        <f>Age_Sex_BY[[#This Row],[Total Spending After Applying Truncation at the Member Level]]+Age_Sex_BY[[#This Row],[Total Dollars Excluded from Spending After Applying Truncation at the Member Level]]=Age_Sex_BY[[#This Row],[Total Spending before Truncation is Applied]]</f>
        <v>1</v>
      </c>
    </row>
    <row r="447" spans="1:10" x14ac:dyDescent="0.25">
      <c r="A447" s="101"/>
      <c r="B447" s="104"/>
      <c r="C447" s="105"/>
      <c r="D447" s="273"/>
      <c r="E447" s="182"/>
      <c r="F447" s="110"/>
      <c r="G447" s="274"/>
      <c r="H447" s="110"/>
      <c r="I447" s="110"/>
      <c r="J447" s="237" t="b">
        <f>Age_Sex_BY[[#This Row],[Total Spending After Applying Truncation at the Member Level]]+Age_Sex_BY[[#This Row],[Total Dollars Excluded from Spending After Applying Truncation at the Member Level]]=Age_Sex_BY[[#This Row],[Total Spending before Truncation is Applied]]</f>
        <v>1</v>
      </c>
    </row>
    <row r="448" spans="1:10" x14ac:dyDescent="0.25">
      <c r="A448" s="101"/>
      <c r="B448" s="104"/>
      <c r="C448" s="105"/>
      <c r="D448" s="273"/>
      <c r="E448" s="182"/>
      <c r="F448" s="110"/>
      <c r="G448" s="274"/>
      <c r="H448" s="110"/>
      <c r="I448" s="110"/>
      <c r="J448" s="237" t="b">
        <f>Age_Sex_BY[[#This Row],[Total Spending After Applying Truncation at the Member Level]]+Age_Sex_BY[[#This Row],[Total Dollars Excluded from Spending After Applying Truncation at the Member Level]]=Age_Sex_BY[[#This Row],[Total Spending before Truncation is Applied]]</f>
        <v>1</v>
      </c>
    </row>
    <row r="449" spans="1:10" x14ac:dyDescent="0.25">
      <c r="A449" s="101"/>
      <c r="B449" s="104"/>
      <c r="C449" s="105"/>
      <c r="D449" s="273"/>
      <c r="E449" s="182"/>
      <c r="F449" s="110"/>
      <c r="G449" s="274"/>
      <c r="H449" s="110"/>
      <c r="I449" s="110"/>
      <c r="J449" s="237" t="b">
        <f>Age_Sex_BY[[#This Row],[Total Spending After Applying Truncation at the Member Level]]+Age_Sex_BY[[#This Row],[Total Dollars Excluded from Spending After Applying Truncation at the Member Level]]=Age_Sex_BY[[#This Row],[Total Spending before Truncation is Applied]]</f>
        <v>1</v>
      </c>
    </row>
    <row r="450" spans="1:10" x14ac:dyDescent="0.25">
      <c r="A450" s="101"/>
      <c r="B450" s="104"/>
      <c r="C450" s="105"/>
      <c r="D450" s="273"/>
      <c r="E450" s="182"/>
      <c r="F450" s="110"/>
      <c r="G450" s="274"/>
      <c r="H450" s="110"/>
      <c r="I450" s="110"/>
      <c r="J450" s="237" t="b">
        <f>Age_Sex_BY[[#This Row],[Total Spending After Applying Truncation at the Member Level]]+Age_Sex_BY[[#This Row],[Total Dollars Excluded from Spending After Applying Truncation at the Member Level]]=Age_Sex_BY[[#This Row],[Total Spending before Truncation is Applied]]</f>
        <v>1</v>
      </c>
    </row>
    <row r="451" spans="1:10" x14ac:dyDescent="0.25">
      <c r="A451" s="101"/>
      <c r="B451" s="104"/>
      <c r="C451" s="105"/>
      <c r="D451" s="273"/>
      <c r="E451" s="182"/>
      <c r="F451" s="110"/>
      <c r="G451" s="274"/>
      <c r="H451" s="110"/>
      <c r="I451" s="110"/>
      <c r="J451" s="237" t="b">
        <f>Age_Sex_BY[[#This Row],[Total Spending After Applying Truncation at the Member Level]]+Age_Sex_BY[[#This Row],[Total Dollars Excluded from Spending After Applying Truncation at the Member Level]]=Age_Sex_BY[[#This Row],[Total Spending before Truncation is Applied]]</f>
        <v>1</v>
      </c>
    </row>
    <row r="452" spans="1:10" x14ac:dyDescent="0.25">
      <c r="A452" s="101"/>
      <c r="B452" s="104"/>
      <c r="C452" s="105"/>
      <c r="D452" s="273"/>
      <c r="E452" s="182"/>
      <c r="F452" s="110"/>
      <c r="G452" s="274"/>
      <c r="H452" s="110"/>
      <c r="I452" s="110"/>
      <c r="J452" s="237" t="b">
        <f>Age_Sex_BY[[#This Row],[Total Spending After Applying Truncation at the Member Level]]+Age_Sex_BY[[#This Row],[Total Dollars Excluded from Spending After Applying Truncation at the Member Level]]=Age_Sex_BY[[#This Row],[Total Spending before Truncation is Applied]]</f>
        <v>1</v>
      </c>
    </row>
    <row r="453" spans="1:10" x14ac:dyDescent="0.25">
      <c r="A453" s="101"/>
      <c r="B453" s="104"/>
      <c r="C453" s="105"/>
      <c r="D453" s="273"/>
      <c r="E453" s="182"/>
      <c r="F453" s="110"/>
      <c r="G453" s="274"/>
      <c r="H453" s="110"/>
      <c r="I453" s="110"/>
      <c r="J453" s="237" t="b">
        <f>Age_Sex_BY[[#This Row],[Total Spending After Applying Truncation at the Member Level]]+Age_Sex_BY[[#This Row],[Total Dollars Excluded from Spending After Applying Truncation at the Member Level]]=Age_Sex_BY[[#This Row],[Total Spending before Truncation is Applied]]</f>
        <v>1</v>
      </c>
    </row>
    <row r="454" spans="1:10" x14ac:dyDescent="0.25">
      <c r="A454" s="101"/>
      <c r="B454" s="104"/>
      <c r="C454" s="105"/>
      <c r="D454" s="273"/>
      <c r="E454" s="182"/>
      <c r="F454" s="110"/>
      <c r="G454" s="274"/>
      <c r="H454" s="110"/>
      <c r="I454" s="110"/>
      <c r="J454" s="237" t="b">
        <f>Age_Sex_BY[[#This Row],[Total Spending After Applying Truncation at the Member Level]]+Age_Sex_BY[[#This Row],[Total Dollars Excluded from Spending After Applying Truncation at the Member Level]]=Age_Sex_BY[[#This Row],[Total Spending before Truncation is Applied]]</f>
        <v>1</v>
      </c>
    </row>
    <row r="455" spans="1:10" x14ac:dyDescent="0.25">
      <c r="A455" s="101"/>
      <c r="B455" s="104"/>
      <c r="C455" s="105"/>
      <c r="D455" s="273"/>
      <c r="E455" s="182"/>
      <c r="F455" s="110"/>
      <c r="G455" s="274"/>
      <c r="H455" s="110"/>
      <c r="I455" s="110"/>
      <c r="J455" s="237" t="b">
        <f>Age_Sex_BY[[#This Row],[Total Spending After Applying Truncation at the Member Level]]+Age_Sex_BY[[#This Row],[Total Dollars Excluded from Spending After Applying Truncation at the Member Level]]=Age_Sex_BY[[#This Row],[Total Spending before Truncation is Applied]]</f>
        <v>1</v>
      </c>
    </row>
    <row r="456" spans="1:10" x14ac:dyDescent="0.25">
      <c r="A456" s="101"/>
      <c r="B456" s="104"/>
      <c r="C456" s="105"/>
      <c r="D456" s="273"/>
      <c r="E456" s="182"/>
      <c r="F456" s="110"/>
      <c r="G456" s="274"/>
      <c r="H456" s="110"/>
      <c r="I456" s="110"/>
      <c r="J456" s="237" t="b">
        <f>Age_Sex_BY[[#This Row],[Total Spending After Applying Truncation at the Member Level]]+Age_Sex_BY[[#This Row],[Total Dollars Excluded from Spending After Applying Truncation at the Member Level]]=Age_Sex_BY[[#This Row],[Total Spending before Truncation is Applied]]</f>
        <v>1</v>
      </c>
    </row>
    <row r="457" spans="1:10" x14ac:dyDescent="0.25">
      <c r="A457" s="101"/>
      <c r="B457" s="104"/>
      <c r="C457" s="105"/>
      <c r="D457" s="273"/>
      <c r="E457" s="182"/>
      <c r="F457" s="110"/>
      <c r="G457" s="274"/>
      <c r="H457" s="110"/>
      <c r="I457" s="110"/>
      <c r="J457" s="237" t="b">
        <f>Age_Sex_BY[[#This Row],[Total Spending After Applying Truncation at the Member Level]]+Age_Sex_BY[[#This Row],[Total Dollars Excluded from Spending After Applying Truncation at the Member Level]]=Age_Sex_BY[[#This Row],[Total Spending before Truncation is Applied]]</f>
        <v>1</v>
      </c>
    </row>
    <row r="458" spans="1:10" x14ac:dyDescent="0.25">
      <c r="A458" s="101"/>
      <c r="B458" s="104"/>
      <c r="C458" s="105"/>
      <c r="D458" s="273"/>
      <c r="E458" s="182"/>
      <c r="F458" s="110"/>
      <c r="G458" s="274"/>
      <c r="H458" s="110"/>
      <c r="I458" s="110"/>
      <c r="J458" s="237" t="b">
        <f>Age_Sex_BY[[#This Row],[Total Spending After Applying Truncation at the Member Level]]+Age_Sex_BY[[#This Row],[Total Dollars Excluded from Spending After Applying Truncation at the Member Level]]=Age_Sex_BY[[#This Row],[Total Spending before Truncation is Applied]]</f>
        <v>1</v>
      </c>
    </row>
    <row r="459" spans="1:10" x14ac:dyDescent="0.25">
      <c r="A459" s="101"/>
      <c r="B459" s="104"/>
      <c r="C459" s="105"/>
      <c r="D459" s="273"/>
      <c r="E459" s="182"/>
      <c r="F459" s="110"/>
      <c r="G459" s="274"/>
      <c r="H459" s="110"/>
      <c r="I459" s="110"/>
      <c r="J459" s="237" t="b">
        <f>Age_Sex_BY[[#This Row],[Total Spending After Applying Truncation at the Member Level]]+Age_Sex_BY[[#This Row],[Total Dollars Excluded from Spending After Applying Truncation at the Member Level]]=Age_Sex_BY[[#This Row],[Total Spending before Truncation is Applied]]</f>
        <v>1</v>
      </c>
    </row>
    <row r="460" spans="1:10" x14ac:dyDescent="0.25">
      <c r="A460" s="101"/>
      <c r="B460" s="104"/>
      <c r="C460" s="105"/>
      <c r="D460" s="273"/>
      <c r="E460" s="182"/>
      <c r="F460" s="110"/>
      <c r="G460" s="274"/>
      <c r="H460" s="110"/>
      <c r="I460" s="110"/>
      <c r="J460" s="237" t="b">
        <f>Age_Sex_BY[[#This Row],[Total Spending After Applying Truncation at the Member Level]]+Age_Sex_BY[[#This Row],[Total Dollars Excluded from Spending After Applying Truncation at the Member Level]]=Age_Sex_BY[[#This Row],[Total Spending before Truncation is Applied]]</f>
        <v>1</v>
      </c>
    </row>
    <row r="461" spans="1:10" x14ac:dyDescent="0.25">
      <c r="A461" s="101"/>
      <c r="B461" s="104"/>
      <c r="C461" s="105"/>
      <c r="D461" s="273"/>
      <c r="E461" s="182"/>
      <c r="F461" s="110"/>
      <c r="G461" s="274"/>
      <c r="H461" s="110"/>
      <c r="I461" s="110"/>
      <c r="J461" s="237" t="b">
        <f>Age_Sex_BY[[#This Row],[Total Spending After Applying Truncation at the Member Level]]+Age_Sex_BY[[#This Row],[Total Dollars Excluded from Spending After Applying Truncation at the Member Level]]=Age_Sex_BY[[#This Row],[Total Spending before Truncation is Applied]]</f>
        <v>1</v>
      </c>
    </row>
    <row r="462" spans="1:10" x14ac:dyDescent="0.25">
      <c r="A462" s="101"/>
      <c r="B462" s="104"/>
      <c r="C462" s="105"/>
      <c r="D462" s="273"/>
      <c r="E462" s="182"/>
      <c r="F462" s="110"/>
      <c r="G462" s="274"/>
      <c r="H462" s="110"/>
      <c r="I462" s="110"/>
      <c r="J462" s="237" t="b">
        <f>Age_Sex_BY[[#This Row],[Total Spending After Applying Truncation at the Member Level]]+Age_Sex_BY[[#This Row],[Total Dollars Excluded from Spending After Applying Truncation at the Member Level]]=Age_Sex_BY[[#This Row],[Total Spending before Truncation is Applied]]</f>
        <v>1</v>
      </c>
    </row>
    <row r="463" spans="1:10" x14ac:dyDescent="0.25">
      <c r="A463" s="101"/>
      <c r="B463" s="104"/>
      <c r="C463" s="105"/>
      <c r="D463" s="273"/>
      <c r="E463" s="182"/>
      <c r="F463" s="110"/>
      <c r="G463" s="274"/>
      <c r="H463" s="110"/>
      <c r="I463" s="110"/>
      <c r="J463" s="237" t="b">
        <f>Age_Sex_BY[[#This Row],[Total Spending After Applying Truncation at the Member Level]]+Age_Sex_BY[[#This Row],[Total Dollars Excluded from Spending After Applying Truncation at the Member Level]]=Age_Sex_BY[[#This Row],[Total Spending before Truncation is Applied]]</f>
        <v>1</v>
      </c>
    </row>
    <row r="464" spans="1:10" x14ac:dyDescent="0.25">
      <c r="A464" s="101"/>
      <c r="B464" s="104"/>
      <c r="C464" s="105"/>
      <c r="D464" s="273"/>
      <c r="E464" s="182"/>
      <c r="F464" s="110"/>
      <c r="G464" s="274"/>
      <c r="H464" s="110"/>
      <c r="I464" s="110"/>
      <c r="J464" s="237" t="b">
        <f>Age_Sex_BY[[#This Row],[Total Spending After Applying Truncation at the Member Level]]+Age_Sex_BY[[#This Row],[Total Dollars Excluded from Spending After Applying Truncation at the Member Level]]=Age_Sex_BY[[#This Row],[Total Spending before Truncation is Applied]]</f>
        <v>1</v>
      </c>
    </row>
    <row r="465" spans="1:10" x14ac:dyDescent="0.25">
      <c r="A465" s="101"/>
      <c r="B465" s="104"/>
      <c r="C465" s="105"/>
      <c r="D465" s="273"/>
      <c r="E465" s="182"/>
      <c r="F465" s="110"/>
      <c r="G465" s="274"/>
      <c r="H465" s="110"/>
      <c r="I465" s="110"/>
      <c r="J465" s="237" t="b">
        <f>Age_Sex_BY[[#This Row],[Total Spending After Applying Truncation at the Member Level]]+Age_Sex_BY[[#This Row],[Total Dollars Excluded from Spending After Applying Truncation at the Member Level]]=Age_Sex_BY[[#This Row],[Total Spending before Truncation is Applied]]</f>
        <v>1</v>
      </c>
    </row>
    <row r="466" spans="1:10" x14ac:dyDescent="0.25">
      <c r="A466" s="101"/>
      <c r="B466" s="104"/>
      <c r="C466" s="105"/>
      <c r="D466" s="273"/>
      <c r="E466" s="182"/>
      <c r="F466" s="110"/>
      <c r="G466" s="274"/>
      <c r="H466" s="110"/>
      <c r="I466" s="110"/>
      <c r="J466" s="237" t="b">
        <f>Age_Sex_BY[[#This Row],[Total Spending After Applying Truncation at the Member Level]]+Age_Sex_BY[[#This Row],[Total Dollars Excluded from Spending After Applying Truncation at the Member Level]]=Age_Sex_BY[[#This Row],[Total Spending before Truncation is Applied]]</f>
        <v>1</v>
      </c>
    </row>
    <row r="467" spans="1:10" x14ac:dyDescent="0.25">
      <c r="A467" s="101"/>
      <c r="B467" s="104"/>
      <c r="C467" s="105"/>
      <c r="D467" s="273"/>
      <c r="E467" s="182"/>
      <c r="F467" s="110"/>
      <c r="G467" s="274"/>
      <c r="H467" s="110"/>
      <c r="I467" s="110"/>
      <c r="J467" s="237" t="b">
        <f>Age_Sex_BY[[#This Row],[Total Spending After Applying Truncation at the Member Level]]+Age_Sex_BY[[#This Row],[Total Dollars Excluded from Spending After Applying Truncation at the Member Level]]=Age_Sex_BY[[#This Row],[Total Spending before Truncation is Applied]]</f>
        <v>1</v>
      </c>
    </row>
    <row r="468" spans="1:10" x14ac:dyDescent="0.25">
      <c r="A468" s="101"/>
      <c r="B468" s="104"/>
      <c r="C468" s="105"/>
      <c r="D468" s="273"/>
      <c r="E468" s="182"/>
      <c r="F468" s="110"/>
      <c r="G468" s="274"/>
      <c r="H468" s="110"/>
      <c r="I468" s="110"/>
      <c r="J468" s="237" t="b">
        <f>Age_Sex_BY[[#This Row],[Total Spending After Applying Truncation at the Member Level]]+Age_Sex_BY[[#This Row],[Total Dollars Excluded from Spending After Applying Truncation at the Member Level]]=Age_Sex_BY[[#This Row],[Total Spending before Truncation is Applied]]</f>
        <v>1</v>
      </c>
    </row>
    <row r="469" spans="1:10" x14ac:dyDescent="0.25">
      <c r="A469" s="101"/>
      <c r="B469" s="104"/>
      <c r="C469" s="105"/>
      <c r="D469" s="273"/>
      <c r="E469" s="106"/>
      <c r="F469" s="110"/>
      <c r="G469" s="274"/>
      <c r="H469" s="110"/>
      <c r="I469" s="110"/>
      <c r="J469" s="237" t="b">
        <f>Age_Sex_BY[[#This Row],[Total Spending After Applying Truncation at the Member Level]]+Age_Sex_BY[[#This Row],[Total Dollars Excluded from Spending After Applying Truncation at the Member Level]]=Age_Sex_BY[[#This Row],[Total Spending before Truncation is Applied]]</f>
        <v>1</v>
      </c>
    </row>
    <row r="470" spans="1:10" x14ac:dyDescent="0.25">
      <c r="A470" s="101"/>
      <c r="B470" s="104"/>
      <c r="C470" s="105"/>
      <c r="D470" s="273"/>
      <c r="E470" s="106"/>
      <c r="F470" s="110"/>
      <c r="G470" s="274"/>
      <c r="H470" s="110"/>
      <c r="I470" s="110"/>
      <c r="J470" s="237" t="b">
        <f>Age_Sex_BY[[#This Row],[Total Spending After Applying Truncation at the Member Level]]+Age_Sex_BY[[#This Row],[Total Dollars Excluded from Spending After Applying Truncation at the Member Level]]=Age_Sex_BY[[#This Row],[Total Spending before Truncation is Applied]]</f>
        <v>1</v>
      </c>
    </row>
    <row r="471" spans="1:10" x14ac:dyDescent="0.25">
      <c r="A471" s="101"/>
      <c r="B471" s="104"/>
      <c r="C471" s="105"/>
      <c r="D471" s="273"/>
      <c r="E471" s="106"/>
      <c r="F471" s="110"/>
      <c r="G471" s="274"/>
      <c r="H471" s="110"/>
      <c r="I471" s="110"/>
      <c r="J471" s="237" t="b">
        <f>Age_Sex_BY[[#This Row],[Total Spending After Applying Truncation at the Member Level]]+Age_Sex_BY[[#This Row],[Total Dollars Excluded from Spending After Applying Truncation at the Member Level]]=Age_Sex_BY[[#This Row],[Total Spending before Truncation is Applied]]</f>
        <v>1</v>
      </c>
    </row>
    <row r="472" spans="1:10" x14ac:dyDescent="0.25">
      <c r="A472" s="101"/>
      <c r="B472" s="104"/>
      <c r="C472" s="105"/>
      <c r="D472" s="273"/>
      <c r="E472" s="106"/>
      <c r="F472" s="110"/>
      <c r="G472" s="274"/>
      <c r="H472" s="110"/>
      <c r="I472" s="110"/>
      <c r="J472" s="237" t="b">
        <f>Age_Sex_BY[[#This Row],[Total Spending After Applying Truncation at the Member Level]]+Age_Sex_BY[[#This Row],[Total Dollars Excluded from Spending After Applying Truncation at the Member Level]]=Age_Sex_BY[[#This Row],[Total Spending before Truncation is Applied]]</f>
        <v>1</v>
      </c>
    </row>
    <row r="473" spans="1:10" x14ac:dyDescent="0.25">
      <c r="A473" s="101"/>
      <c r="B473" s="104"/>
      <c r="C473" s="105"/>
      <c r="D473" s="273"/>
      <c r="E473" s="106"/>
      <c r="F473" s="110"/>
      <c r="G473" s="274"/>
      <c r="H473" s="110"/>
      <c r="I473" s="110"/>
      <c r="J473" s="237" t="b">
        <f>Age_Sex_BY[[#This Row],[Total Spending After Applying Truncation at the Member Level]]+Age_Sex_BY[[#This Row],[Total Dollars Excluded from Spending After Applying Truncation at the Member Level]]=Age_Sex_BY[[#This Row],[Total Spending before Truncation is Applied]]</f>
        <v>1</v>
      </c>
    </row>
    <row r="474" spans="1:10" x14ac:dyDescent="0.25">
      <c r="A474" s="101"/>
      <c r="B474" s="104"/>
      <c r="C474" s="105"/>
      <c r="D474" s="273"/>
      <c r="E474" s="106"/>
      <c r="F474" s="110"/>
      <c r="G474" s="274"/>
      <c r="H474" s="110"/>
      <c r="I474" s="110"/>
      <c r="J474" s="237" t="b">
        <f>Age_Sex_BY[[#This Row],[Total Spending After Applying Truncation at the Member Level]]+Age_Sex_BY[[#This Row],[Total Dollars Excluded from Spending After Applying Truncation at the Member Level]]=Age_Sex_BY[[#This Row],[Total Spending before Truncation is Applied]]</f>
        <v>1</v>
      </c>
    </row>
    <row r="475" spans="1:10" x14ac:dyDescent="0.25">
      <c r="A475" s="101"/>
      <c r="B475" s="104"/>
      <c r="C475" s="105"/>
      <c r="D475" s="273"/>
      <c r="E475" s="106"/>
      <c r="F475" s="110"/>
      <c r="G475" s="274"/>
      <c r="H475" s="110"/>
      <c r="I475" s="110"/>
      <c r="J475" s="237" t="b">
        <f>Age_Sex_BY[[#This Row],[Total Spending After Applying Truncation at the Member Level]]+Age_Sex_BY[[#This Row],[Total Dollars Excluded from Spending After Applying Truncation at the Member Level]]=Age_Sex_BY[[#This Row],[Total Spending before Truncation is Applied]]</f>
        <v>1</v>
      </c>
    </row>
    <row r="476" spans="1:10" x14ac:dyDescent="0.25">
      <c r="A476" s="101"/>
      <c r="B476" s="104"/>
      <c r="C476" s="105"/>
      <c r="D476" s="273"/>
      <c r="E476" s="106"/>
      <c r="F476" s="110"/>
      <c r="G476" s="274"/>
      <c r="H476" s="110"/>
      <c r="I476" s="110"/>
      <c r="J476" s="237" t="b">
        <f>Age_Sex_BY[[#This Row],[Total Spending After Applying Truncation at the Member Level]]+Age_Sex_BY[[#This Row],[Total Dollars Excluded from Spending After Applying Truncation at the Member Level]]=Age_Sex_BY[[#This Row],[Total Spending before Truncation is Applied]]</f>
        <v>1</v>
      </c>
    </row>
    <row r="477" spans="1:10" x14ac:dyDescent="0.25">
      <c r="A477" s="101"/>
      <c r="B477" s="104"/>
      <c r="C477" s="105"/>
      <c r="D477" s="273"/>
      <c r="E477" s="106"/>
      <c r="F477" s="110"/>
      <c r="G477" s="274"/>
      <c r="H477" s="110"/>
      <c r="I477" s="110"/>
      <c r="J477" s="237" t="b">
        <f>Age_Sex_BY[[#This Row],[Total Spending After Applying Truncation at the Member Level]]+Age_Sex_BY[[#This Row],[Total Dollars Excluded from Spending After Applying Truncation at the Member Level]]=Age_Sex_BY[[#This Row],[Total Spending before Truncation is Applied]]</f>
        <v>1</v>
      </c>
    </row>
    <row r="478" spans="1:10" x14ac:dyDescent="0.25">
      <c r="A478" s="101"/>
      <c r="B478" s="104"/>
      <c r="C478" s="105"/>
      <c r="D478" s="273"/>
      <c r="E478" s="106"/>
      <c r="F478" s="110"/>
      <c r="G478" s="274"/>
      <c r="H478" s="110"/>
      <c r="I478" s="110"/>
      <c r="J478" s="237" t="b">
        <f>Age_Sex_BY[[#This Row],[Total Spending After Applying Truncation at the Member Level]]+Age_Sex_BY[[#This Row],[Total Dollars Excluded from Spending After Applying Truncation at the Member Level]]=Age_Sex_BY[[#This Row],[Total Spending before Truncation is Applied]]</f>
        <v>1</v>
      </c>
    </row>
    <row r="479" spans="1:10" x14ac:dyDescent="0.25">
      <c r="A479" s="101"/>
      <c r="B479" s="104"/>
      <c r="C479" s="105"/>
      <c r="D479" s="273"/>
      <c r="E479" s="106"/>
      <c r="F479" s="110"/>
      <c r="G479" s="274"/>
      <c r="H479" s="110"/>
      <c r="I479" s="110"/>
      <c r="J479" s="237" t="b">
        <f>Age_Sex_BY[[#This Row],[Total Spending After Applying Truncation at the Member Level]]+Age_Sex_BY[[#This Row],[Total Dollars Excluded from Spending After Applying Truncation at the Member Level]]=Age_Sex_BY[[#This Row],[Total Spending before Truncation is Applied]]</f>
        <v>1</v>
      </c>
    </row>
    <row r="480" spans="1:10" x14ac:dyDescent="0.25">
      <c r="A480" s="101"/>
      <c r="B480" s="104"/>
      <c r="C480" s="105"/>
      <c r="D480" s="273"/>
      <c r="E480" s="182"/>
      <c r="F480" s="110"/>
      <c r="G480" s="274"/>
      <c r="H480" s="110"/>
      <c r="I480" s="110"/>
      <c r="J480" s="237" t="b">
        <f>Age_Sex_BY[[#This Row],[Total Spending After Applying Truncation at the Member Level]]+Age_Sex_BY[[#This Row],[Total Dollars Excluded from Spending After Applying Truncation at the Member Level]]=Age_Sex_BY[[#This Row],[Total Spending before Truncation is Applied]]</f>
        <v>1</v>
      </c>
    </row>
    <row r="481" spans="1:10" x14ac:dyDescent="0.25">
      <c r="A481" s="101"/>
      <c r="B481" s="104"/>
      <c r="C481" s="105"/>
      <c r="D481" s="273"/>
      <c r="E481" s="182"/>
      <c r="F481" s="110"/>
      <c r="G481" s="274"/>
      <c r="H481" s="110"/>
      <c r="I481" s="110"/>
      <c r="J481" s="237" t="b">
        <f>Age_Sex_BY[[#This Row],[Total Spending After Applying Truncation at the Member Level]]+Age_Sex_BY[[#This Row],[Total Dollars Excluded from Spending After Applying Truncation at the Member Level]]=Age_Sex_BY[[#This Row],[Total Spending before Truncation is Applied]]</f>
        <v>1</v>
      </c>
    </row>
    <row r="482" spans="1:10" x14ac:dyDescent="0.25">
      <c r="A482" s="101"/>
      <c r="B482" s="104"/>
      <c r="C482" s="105"/>
      <c r="D482" s="273"/>
      <c r="E482" s="182"/>
      <c r="F482" s="110"/>
      <c r="G482" s="274"/>
      <c r="H482" s="110"/>
      <c r="I482" s="110"/>
      <c r="J482" s="237" t="b">
        <f>Age_Sex_BY[[#This Row],[Total Spending After Applying Truncation at the Member Level]]+Age_Sex_BY[[#This Row],[Total Dollars Excluded from Spending After Applying Truncation at the Member Level]]=Age_Sex_BY[[#This Row],[Total Spending before Truncation is Applied]]</f>
        <v>1</v>
      </c>
    </row>
    <row r="483" spans="1:10" x14ac:dyDescent="0.25">
      <c r="A483" s="101"/>
      <c r="B483" s="104"/>
      <c r="C483" s="105"/>
      <c r="D483" s="273"/>
      <c r="E483" s="182"/>
      <c r="F483" s="110"/>
      <c r="G483" s="274"/>
      <c r="H483" s="110"/>
      <c r="I483" s="110"/>
      <c r="J483" s="237" t="b">
        <f>Age_Sex_BY[[#This Row],[Total Spending After Applying Truncation at the Member Level]]+Age_Sex_BY[[#This Row],[Total Dollars Excluded from Spending After Applying Truncation at the Member Level]]=Age_Sex_BY[[#This Row],[Total Spending before Truncation is Applied]]</f>
        <v>1</v>
      </c>
    </row>
    <row r="484" spans="1:10" x14ac:dyDescent="0.25">
      <c r="A484" s="101"/>
      <c r="B484" s="104"/>
      <c r="C484" s="105"/>
      <c r="D484" s="273"/>
      <c r="E484" s="182"/>
      <c r="F484" s="110"/>
      <c r="G484" s="274"/>
      <c r="H484" s="110"/>
      <c r="I484" s="110"/>
      <c r="J484" s="237" t="b">
        <f>Age_Sex_BY[[#This Row],[Total Spending After Applying Truncation at the Member Level]]+Age_Sex_BY[[#This Row],[Total Dollars Excluded from Spending After Applying Truncation at the Member Level]]=Age_Sex_BY[[#This Row],[Total Spending before Truncation is Applied]]</f>
        <v>1</v>
      </c>
    </row>
    <row r="485" spans="1:10" x14ac:dyDescent="0.25">
      <c r="A485" s="101"/>
      <c r="B485" s="104"/>
      <c r="C485" s="105"/>
      <c r="D485" s="273"/>
      <c r="E485" s="182"/>
      <c r="F485" s="110"/>
      <c r="G485" s="274"/>
      <c r="H485" s="110"/>
      <c r="I485" s="110"/>
      <c r="J485" s="237" t="b">
        <f>Age_Sex_BY[[#This Row],[Total Spending After Applying Truncation at the Member Level]]+Age_Sex_BY[[#This Row],[Total Dollars Excluded from Spending After Applying Truncation at the Member Level]]=Age_Sex_BY[[#This Row],[Total Spending before Truncation is Applied]]</f>
        <v>1</v>
      </c>
    </row>
    <row r="486" spans="1:10" x14ac:dyDescent="0.25">
      <c r="A486" s="101"/>
      <c r="B486" s="104"/>
      <c r="C486" s="105"/>
      <c r="D486" s="273"/>
      <c r="E486" s="182"/>
      <c r="F486" s="110"/>
      <c r="G486" s="274"/>
      <c r="H486" s="110"/>
      <c r="I486" s="110"/>
      <c r="J486" s="237" t="b">
        <f>Age_Sex_BY[[#This Row],[Total Spending After Applying Truncation at the Member Level]]+Age_Sex_BY[[#This Row],[Total Dollars Excluded from Spending After Applying Truncation at the Member Level]]=Age_Sex_BY[[#This Row],[Total Spending before Truncation is Applied]]</f>
        <v>1</v>
      </c>
    </row>
    <row r="487" spans="1:10" x14ac:dyDescent="0.25">
      <c r="A487" s="101"/>
      <c r="B487" s="104"/>
      <c r="C487" s="105"/>
      <c r="D487" s="273"/>
      <c r="E487" s="182"/>
      <c r="F487" s="110"/>
      <c r="G487" s="274"/>
      <c r="H487" s="110"/>
      <c r="I487" s="110"/>
      <c r="J487" s="237" t="b">
        <f>Age_Sex_BY[[#This Row],[Total Spending After Applying Truncation at the Member Level]]+Age_Sex_BY[[#This Row],[Total Dollars Excluded from Spending After Applying Truncation at the Member Level]]=Age_Sex_BY[[#This Row],[Total Spending before Truncation is Applied]]</f>
        <v>1</v>
      </c>
    </row>
    <row r="488" spans="1:10" x14ac:dyDescent="0.25">
      <c r="A488" s="101"/>
      <c r="B488" s="104"/>
      <c r="C488" s="105"/>
      <c r="D488" s="273"/>
      <c r="E488" s="182"/>
      <c r="F488" s="110"/>
      <c r="G488" s="274"/>
      <c r="H488" s="110"/>
      <c r="I488" s="110"/>
      <c r="J488" s="237" t="b">
        <f>Age_Sex_BY[[#This Row],[Total Spending After Applying Truncation at the Member Level]]+Age_Sex_BY[[#This Row],[Total Dollars Excluded from Spending After Applying Truncation at the Member Level]]=Age_Sex_BY[[#This Row],[Total Spending before Truncation is Applied]]</f>
        <v>1</v>
      </c>
    </row>
    <row r="489" spans="1:10" x14ac:dyDescent="0.25">
      <c r="A489" s="101"/>
      <c r="B489" s="104"/>
      <c r="C489" s="105"/>
      <c r="D489" s="273"/>
      <c r="E489" s="182"/>
      <c r="F489" s="110"/>
      <c r="G489" s="274"/>
      <c r="H489" s="110"/>
      <c r="I489" s="110"/>
      <c r="J489" s="237" t="b">
        <f>Age_Sex_BY[[#This Row],[Total Spending After Applying Truncation at the Member Level]]+Age_Sex_BY[[#This Row],[Total Dollars Excluded from Spending After Applying Truncation at the Member Level]]=Age_Sex_BY[[#This Row],[Total Spending before Truncation is Applied]]</f>
        <v>1</v>
      </c>
    </row>
    <row r="490" spans="1:10" x14ac:dyDescent="0.25">
      <c r="A490" s="101"/>
      <c r="B490" s="104"/>
      <c r="C490" s="105"/>
      <c r="D490" s="273"/>
      <c r="E490" s="182"/>
      <c r="F490" s="110"/>
      <c r="G490" s="274"/>
      <c r="H490" s="110"/>
      <c r="I490" s="110"/>
      <c r="J490" s="237" t="b">
        <f>Age_Sex_BY[[#This Row],[Total Spending After Applying Truncation at the Member Level]]+Age_Sex_BY[[#This Row],[Total Dollars Excluded from Spending After Applying Truncation at the Member Level]]=Age_Sex_BY[[#This Row],[Total Spending before Truncation is Applied]]</f>
        <v>1</v>
      </c>
    </row>
    <row r="491" spans="1:10" x14ac:dyDescent="0.25">
      <c r="A491" s="101"/>
      <c r="B491" s="104"/>
      <c r="C491" s="105"/>
      <c r="D491" s="273"/>
      <c r="E491" s="106"/>
      <c r="F491" s="110"/>
      <c r="G491" s="274"/>
      <c r="H491" s="110"/>
      <c r="I491" s="110"/>
      <c r="J491" s="237" t="b">
        <f>Age_Sex_BY[[#This Row],[Total Spending After Applying Truncation at the Member Level]]+Age_Sex_BY[[#This Row],[Total Dollars Excluded from Spending After Applying Truncation at the Member Level]]=Age_Sex_BY[[#This Row],[Total Spending before Truncation is Applied]]</f>
        <v>1</v>
      </c>
    </row>
    <row r="492" spans="1:10" x14ac:dyDescent="0.25">
      <c r="A492" s="101"/>
      <c r="B492" s="104"/>
      <c r="C492" s="105"/>
      <c r="D492" s="273"/>
      <c r="E492" s="106"/>
      <c r="F492" s="110"/>
      <c r="G492" s="274"/>
      <c r="H492" s="110"/>
      <c r="I492" s="110"/>
      <c r="J492" s="237" t="b">
        <f>Age_Sex_BY[[#This Row],[Total Spending After Applying Truncation at the Member Level]]+Age_Sex_BY[[#This Row],[Total Dollars Excluded from Spending After Applying Truncation at the Member Level]]=Age_Sex_BY[[#This Row],[Total Spending before Truncation is Applied]]</f>
        <v>1</v>
      </c>
    </row>
    <row r="493" spans="1:10" x14ac:dyDescent="0.25">
      <c r="A493" s="101"/>
      <c r="B493" s="104"/>
      <c r="C493" s="105"/>
      <c r="D493" s="273"/>
      <c r="E493" s="106"/>
      <c r="F493" s="110"/>
      <c r="G493" s="274"/>
      <c r="H493" s="110"/>
      <c r="I493" s="110"/>
      <c r="J493" s="237" t="b">
        <f>Age_Sex_BY[[#This Row],[Total Spending After Applying Truncation at the Member Level]]+Age_Sex_BY[[#This Row],[Total Dollars Excluded from Spending After Applying Truncation at the Member Level]]=Age_Sex_BY[[#This Row],[Total Spending before Truncation is Applied]]</f>
        <v>1</v>
      </c>
    </row>
    <row r="494" spans="1:10" x14ac:dyDescent="0.25">
      <c r="A494" s="101"/>
      <c r="B494" s="104"/>
      <c r="C494" s="105"/>
      <c r="D494" s="273"/>
      <c r="E494" s="106"/>
      <c r="F494" s="110"/>
      <c r="G494" s="274"/>
      <c r="H494" s="110"/>
      <c r="I494" s="110"/>
      <c r="J494" s="237" t="b">
        <f>Age_Sex_BY[[#This Row],[Total Spending After Applying Truncation at the Member Level]]+Age_Sex_BY[[#This Row],[Total Dollars Excluded from Spending After Applying Truncation at the Member Level]]=Age_Sex_BY[[#This Row],[Total Spending before Truncation is Applied]]</f>
        <v>1</v>
      </c>
    </row>
    <row r="495" spans="1:10" x14ac:dyDescent="0.25">
      <c r="A495" s="101"/>
      <c r="B495" s="104"/>
      <c r="C495" s="105"/>
      <c r="D495" s="273"/>
      <c r="E495" s="106"/>
      <c r="F495" s="110"/>
      <c r="G495" s="274"/>
      <c r="H495" s="110"/>
      <c r="I495" s="110"/>
      <c r="J495" s="237" t="b">
        <f>Age_Sex_BY[[#This Row],[Total Spending After Applying Truncation at the Member Level]]+Age_Sex_BY[[#This Row],[Total Dollars Excluded from Spending After Applying Truncation at the Member Level]]=Age_Sex_BY[[#This Row],[Total Spending before Truncation is Applied]]</f>
        <v>1</v>
      </c>
    </row>
    <row r="496" spans="1:10" x14ac:dyDescent="0.25">
      <c r="A496" s="101"/>
      <c r="B496" s="104"/>
      <c r="C496" s="105"/>
      <c r="D496" s="273"/>
      <c r="E496" s="106"/>
      <c r="F496" s="110"/>
      <c r="G496" s="274"/>
      <c r="H496" s="110"/>
      <c r="I496" s="110"/>
      <c r="J496" s="237" t="b">
        <f>Age_Sex_BY[[#This Row],[Total Spending After Applying Truncation at the Member Level]]+Age_Sex_BY[[#This Row],[Total Dollars Excluded from Spending After Applying Truncation at the Member Level]]=Age_Sex_BY[[#This Row],[Total Spending before Truncation is Applied]]</f>
        <v>1</v>
      </c>
    </row>
    <row r="497" spans="1:10" x14ac:dyDescent="0.25">
      <c r="A497" s="101"/>
      <c r="B497" s="104"/>
      <c r="C497" s="105"/>
      <c r="D497" s="273"/>
      <c r="E497" s="106"/>
      <c r="F497" s="110"/>
      <c r="G497" s="274"/>
      <c r="H497" s="110"/>
      <c r="I497" s="110"/>
      <c r="J497" s="237" t="b">
        <f>Age_Sex_BY[[#This Row],[Total Spending After Applying Truncation at the Member Level]]+Age_Sex_BY[[#This Row],[Total Dollars Excluded from Spending After Applying Truncation at the Member Level]]=Age_Sex_BY[[#This Row],[Total Spending before Truncation is Applied]]</f>
        <v>1</v>
      </c>
    </row>
    <row r="498" spans="1:10" x14ac:dyDescent="0.25">
      <c r="A498" s="101"/>
      <c r="B498" s="104"/>
      <c r="C498" s="105"/>
      <c r="D498" s="273"/>
      <c r="E498" s="106"/>
      <c r="F498" s="110"/>
      <c r="G498" s="274"/>
      <c r="H498" s="110"/>
      <c r="I498" s="110"/>
      <c r="J498" s="237" t="b">
        <f>Age_Sex_BY[[#This Row],[Total Spending After Applying Truncation at the Member Level]]+Age_Sex_BY[[#This Row],[Total Dollars Excluded from Spending After Applying Truncation at the Member Level]]=Age_Sex_BY[[#This Row],[Total Spending before Truncation is Applied]]</f>
        <v>1</v>
      </c>
    </row>
    <row r="499" spans="1:10" x14ac:dyDescent="0.25">
      <c r="A499" s="101"/>
      <c r="B499" s="104"/>
      <c r="C499" s="105"/>
      <c r="D499" s="273"/>
      <c r="E499" s="106"/>
      <c r="F499" s="110"/>
      <c r="G499" s="274"/>
      <c r="H499" s="110"/>
      <c r="I499" s="110"/>
      <c r="J499" s="237" t="b">
        <f>Age_Sex_BY[[#This Row],[Total Spending After Applying Truncation at the Member Level]]+Age_Sex_BY[[#This Row],[Total Dollars Excluded from Spending After Applying Truncation at the Member Level]]=Age_Sex_BY[[#This Row],[Total Spending before Truncation is Applied]]</f>
        <v>1</v>
      </c>
    </row>
    <row r="500" spans="1:10" x14ac:dyDescent="0.25">
      <c r="A500" s="101"/>
      <c r="B500" s="104"/>
      <c r="C500" s="105"/>
      <c r="D500" s="273"/>
      <c r="E500" s="106"/>
      <c r="F500" s="110"/>
      <c r="G500" s="274"/>
      <c r="H500" s="110"/>
      <c r="I500" s="110"/>
      <c r="J500" s="266" t="b">
        <f>Age_Sex_BY[[#This Row],[Total Spending After Applying Truncation at the Member Level]]+Age_Sex_BY[[#This Row],[Total Dollars Excluded from Spending After Applying Truncation at the Member Level]]=Age_Sex_BY[[#This Row],[Total Spending before Truncation is Applied]]</f>
        <v>1</v>
      </c>
    </row>
  </sheetData>
  <sheetProtection algorithmName="SHA-512" hashValue="JAiUBJRIcImsM4iL+knjTFD/vl1Kn7imv6/keF8aKxX2lwAvuS+XEYF5uWQCDUHzIJoS2TwPf+hJPdPXGtYASg==" saltValue="1DkTqTt3HsZ7D5BewdMKdA==" spinCount="100000" sheet="1" insertRows="0" sort="0" autoFilter="0"/>
  <protectedRanges>
    <protectedRange sqref="A11:J500" name="Range1"/>
  </protectedRanges>
  <mergeCells count="1">
    <mergeCell ref="C4:D5"/>
  </mergeCells>
  <dataValidations xWindow="1000" yWindow="767" count="6">
    <dataValidation type="decimal" allowBlank="1" showInputMessage="1" showErrorMessage="1" error="See Definitions tab._x000a_No negative values. Number must be between ‘0.2’ and ‘10’." prompt="1 = Female_x000a_2 = Male" sqref="D11:D500" xr:uid="{DA647F45-1D50-4C68-80CF-7BF9B8B0AD18}">
      <formula1>0</formula1>
      <formula2>10</formula2>
    </dataValidation>
    <dataValidation allowBlank="1" showInputMessage="1" showErrorMessage="1" error="The number of unique members participating in a plan each month with a medical benefit, regardless of whether the member has any paid claims." prompt="1 = 0 to 1 year old_x000a_2 = 2 to 18 years old_x000a_3 = 19 to 39 years old_x000a_4 = 40 to 54 yeras old_x000a_5 = 55 to 64 years old_x000a_6 = 65 to 74 years old_x000a_7 = 75 to 84 years old_x000a_8 = 85+ years old" sqref="C11:C500" xr:uid="{F234314A-C3B9-425F-80E7-91D22D69EFDD}"/>
    <dataValidation type="decimal" operator="greaterThanOrEqual" allowBlank="1" showInputMessage="1" showErrorMessage="1" error="See Definitions tab._x000a_No negative values." prompt="See Definitions tab._x000a_No negative values._x000a_" sqref="F11:I500" xr:uid="{490ADE8C-0C0C-4D85-A348-6E0A83638AD8}">
      <formula1>0</formula1>
    </dataValidation>
    <dataValidation allowBlank="1" showInputMessage="1" showErrorMessage="1" error="The number of unique members participating in a plan each month with a medical benefit, regardless of whether the member has any paid claims." prompt="The number of unique members participating in a plan each month with a medical benefit, regardless of whether the member has any paid claims." sqref="E11:E500" xr:uid="{D0375BCB-BA3A-4D31-90C7-077AE6D0B8FD}"/>
    <dataValidation type="textLength" operator="equal" allowBlank="1" showInputMessage="1" showErrorMessage="1" error="2 = Medicaid and Medicaid MCOs_x000a_6= Medicaid Expenditures for Duals" prompt="2 = Medicaid and Medicaid MCOs_x000a_6= Medicaid Expenditures for Duals" sqref="B11:B500" xr:uid="{B2EB9AB1-01E8-4D40-B4DB-DEC2B3D81716}">
      <formula1>1</formula1>
    </dataValidation>
    <dataValidation allowBlank="1" showInputMessage="1" showErrorMessage="1" error="Please input the OHS-assigned organizational ID of the large provider entity." prompt="Please input the OHS-assigned organizational ID of the Advanced Network." sqref="A11:A500" xr:uid="{9CC1ECC0-A1CC-4774-A957-35A6CC29B50D}"/>
  </dataValidations>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8557C-0E8A-42D7-92E4-56DAFE579FA7}">
  <sheetPr>
    <tabColor theme="3"/>
  </sheetPr>
  <dimension ref="A1:J500"/>
  <sheetViews>
    <sheetView zoomScale="85" zoomScaleNormal="85" workbookViewId="0">
      <selection activeCell="B9" sqref="B9"/>
    </sheetView>
  </sheetViews>
  <sheetFormatPr defaultColWidth="9.140625" defaultRowHeight="15" x14ac:dyDescent="0.25"/>
  <cols>
    <col min="1" max="1" width="25.7109375" customWidth="1"/>
    <col min="2" max="10" width="28.5703125" customWidth="1"/>
  </cols>
  <sheetData>
    <row r="1" spans="1:10" x14ac:dyDescent="0.25">
      <c r="A1" s="1" t="s">
        <v>191</v>
      </c>
    </row>
    <row r="2" spans="1:10" x14ac:dyDescent="0.25">
      <c r="A2" s="1" t="s">
        <v>270</v>
      </c>
    </row>
    <row r="4" spans="1:10" x14ac:dyDescent="0.25">
      <c r="A4" t="s">
        <v>193</v>
      </c>
      <c r="C4" s="323" t="s">
        <v>207</v>
      </c>
      <c r="D4" s="323"/>
    </row>
    <row r="5" spans="1:10" x14ac:dyDescent="0.25">
      <c r="A5" s="82" t="s">
        <v>213</v>
      </c>
      <c r="C5" s="323"/>
      <c r="D5" s="323"/>
    </row>
    <row r="9" spans="1:10" x14ac:dyDescent="0.25">
      <c r="C9" s="4" t="s">
        <v>214</v>
      </c>
      <c r="D9" s="4" t="s">
        <v>215</v>
      </c>
      <c r="E9" s="4" t="s">
        <v>216</v>
      </c>
      <c r="F9" s="4" t="s">
        <v>217</v>
      </c>
      <c r="G9" s="4" t="s">
        <v>218</v>
      </c>
      <c r="H9" s="4" t="s">
        <v>219</v>
      </c>
      <c r="I9" s="83" t="s">
        <v>220</v>
      </c>
      <c r="J9" s="267" t="s">
        <v>221</v>
      </c>
    </row>
    <row r="10" spans="1:10" ht="60" x14ac:dyDescent="0.25">
      <c r="A10" s="84" t="s">
        <v>267</v>
      </c>
      <c r="B10" s="85" t="s">
        <v>84</v>
      </c>
      <c r="C10" s="85" t="s">
        <v>106</v>
      </c>
      <c r="D10" s="85" t="s">
        <v>180</v>
      </c>
      <c r="E10" s="85" t="s">
        <v>182</v>
      </c>
      <c r="F10" s="85" t="s">
        <v>184</v>
      </c>
      <c r="G10" s="85" t="s">
        <v>186</v>
      </c>
      <c r="H10" s="85" t="s">
        <v>188</v>
      </c>
      <c r="I10" s="85" t="s">
        <v>268</v>
      </c>
      <c r="J10" s="268" t="s">
        <v>269</v>
      </c>
    </row>
    <row r="11" spans="1:10" x14ac:dyDescent="0.25">
      <c r="A11" s="101"/>
      <c r="B11" s="104"/>
      <c r="C11" s="105"/>
      <c r="D11" s="273"/>
      <c r="E11" s="182"/>
      <c r="F11" s="110"/>
      <c r="G11" s="274"/>
      <c r="H11" s="110"/>
      <c r="I11" s="110"/>
      <c r="J11" s="265" t="b">
        <f>Age_Sex_PY[[#This Row],[Total Spending After Applying Truncation at the Member Level]]+Age_Sex_PY[[#This Row],[Total Dollars Excluded from Spending After Applying Truncation at the Member Level]]=Age_Sex_PY[[#This Row],[Total Spending before Truncation is Applied]]</f>
        <v>1</v>
      </c>
    </row>
    <row r="12" spans="1:10" x14ac:dyDescent="0.25">
      <c r="A12" s="101"/>
      <c r="B12" s="104"/>
      <c r="C12" s="105"/>
      <c r="D12" s="273"/>
      <c r="E12" s="182"/>
      <c r="F12" s="110"/>
      <c r="G12" s="274"/>
      <c r="H12" s="110"/>
      <c r="I12" s="110"/>
      <c r="J12" s="237" t="b">
        <f>Age_Sex_PY[[#This Row],[Total Spending After Applying Truncation at the Member Level]]+Age_Sex_PY[[#This Row],[Total Dollars Excluded from Spending After Applying Truncation at the Member Level]]=Age_Sex_PY[[#This Row],[Total Spending before Truncation is Applied]]</f>
        <v>1</v>
      </c>
    </row>
    <row r="13" spans="1:10" x14ac:dyDescent="0.25">
      <c r="A13" s="101"/>
      <c r="B13" s="104"/>
      <c r="C13" s="105"/>
      <c r="D13" s="273"/>
      <c r="E13" s="182"/>
      <c r="F13" s="110"/>
      <c r="G13" s="274"/>
      <c r="H13" s="110"/>
      <c r="I13" s="110"/>
      <c r="J13" s="237" t="b">
        <f>Age_Sex_PY[[#This Row],[Total Spending After Applying Truncation at the Member Level]]+Age_Sex_PY[[#This Row],[Total Dollars Excluded from Spending After Applying Truncation at the Member Level]]=Age_Sex_PY[[#This Row],[Total Spending before Truncation is Applied]]</f>
        <v>1</v>
      </c>
    </row>
    <row r="14" spans="1:10" x14ac:dyDescent="0.25">
      <c r="A14" s="101"/>
      <c r="B14" s="104"/>
      <c r="C14" s="105"/>
      <c r="D14" s="273"/>
      <c r="E14" s="182"/>
      <c r="F14" s="110"/>
      <c r="G14" s="274"/>
      <c r="H14" s="110"/>
      <c r="I14" s="110"/>
      <c r="J14" s="237" t="b">
        <f>Age_Sex_PY[[#This Row],[Total Spending After Applying Truncation at the Member Level]]+Age_Sex_PY[[#This Row],[Total Dollars Excluded from Spending After Applying Truncation at the Member Level]]=Age_Sex_PY[[#This Row],[Total Spending before Truncation is Applied]]</f>
        <v>1</v>
      </c>
    </row>
    <row r="15" spans="1:10" x14ac:dyDescent="0.25">
      <c r="A15" s="101"/>
      <c r="B15" s="104"/>
      <c r="C15" s="105"/>
      <c r="D15" s="273"/>
      <c r="E15" s="182"/>
      <c r="F15" s="110"/>
      <c r="G15" s="274"/>
      <c r="H15" s="110"/>
      <c r="I15" s="110"/>
      <c r="J15" s="237" t="b">
        <f>Age_Sex_PY[[#This Row],[Total Spending After Applying Truncation at the Member Level]]+Age_Sex_PY[[#This Row],[Total Dollars Excluded from Spending After Applying Truncation at the Member Level]]=Age_Sex_PY[[#This Row],[Total Spending before Truncation is Applied]]</f>
        <v>1</v>
      </c>
    </row>
    <row r="16" spans="1:10" x14ac:dyDescent="0.25">
      <c r="A16" s="101"/>
      <c r="B16" s="104"/>
      <c r="C16" s="105"/>
      <c r="D16" s="273"/>
      <c r="E16" s="182"/>
      <c r="F16" s="110"/>
      <c r="G16" s="274"/>
      <c r="H16" s="110"/>
      <c r="I16" s="110"/>
      <c r="J16" s="237" t="b">
        <f>Age_Sex_PY[[#This Row],[Total Spending After Applying Truncation at the Member Level]]+Age_Sex_PY[[#This Row],[Total Dollars Excluded from Spending After Applying Truncation at the Member Level]]=Age_Sex_PY[[#This Row],[Total Spending before Truncation is Applied]]</f>
        <v>1</v>
      </c>
    </row>
    <row r="17" spans="1:10" x14ac:dyDescent="0.25">
      <c r="A17" s="101"/>
      <c r="B17" s="104"/>
      <c r="C17" s="105"/>
      <c r="D17" s="273"/>
      <c r="E17" s="182"/>
      <c r="F17" s="110"/>
      <c r="G17" s="274"/>
      <c r="H17" s="110"/>
      <c r="I17" s="110"/>
      <c r="J17" s="237" t="b">
        <f>Age_Sex_PY[[#This Row],[Total Spending After Applying Truncation at the Member Level]]+Age_Sex_PY[[#This Row],[Total Dollars Excluded from Spending After Applying Truncation at the Member Level]]=Age_Sex_PY[[#This Row],[Total Spending before Truncation is Applied]]</f>
        <v>1</v>
      </c>
    </row>
    <row r="18" spans="1:10" x14ac:dyDescent="0.25">
      <c r="A18" s="101"/>
      <c r="B18" s="104"/>
      <c r="C18" s="105"/>
      <c r="D18" s="273"/>
      <c r="E18" s="182"/>
      <c r="F18" s="110"/>
      <c r="G18" s="274"/>
      <c r="H18" s="110"/>
      <c r="I18" s="110"/>
      <c r="J18" s="237" t="b">
        <f>Age_Sex_PY[[#This Row],[Total Spending After Applying Truncation at the Member Level]]+Age_Sex_PY[[#This Row],[Total Dollars Excluded from Spending After Applying Truncation at the Member Level]]=Age_Sex_PY[[#This Row],[Total Spending before Truncation is Applied]]</f>
        <v>1</v>
      </c>
    </row>
    <row r="19" spans="1:10" x14ac:dyDescent="0.25">
      <c r="A19" s="101"/>
      <c r="B19" s="104"/>
      <c r="C19" s="105"/>
      <c r="D19" s="273"/>
      <c r="E19" s="182"/>
      <c r="F19" s="110"/>
      <c r="G19" s="274"/>
      <c r="H19" s="110"/>
      <c r="I19" s="110"/>
      <c r="J19" s="237" t="b">
        <f>Age_Sex_PY[[#This Row],[Total Spending After Applying Truncation at the Member Level]]+Age_Sex_PY[[#This Row],[Total Dollars Excluded from Spending After Applying Truncation at the Member Level]]=Age_Sex_PY[[#This Row],[Total Spending before Truncation is Applied]]</f>
        <v>1</v>
      </c>
    </row>
    <row r="20" spans="1:10" x14ac:dyDescent="0.25">
      <c r="A20" s="101"/>
      <c r="B20" s="104"/>
      <c r="C20" s="105"/>
      <c r="D20" s="273"/>
      <c r="E20" s="182"/>
      <c r="F20" s="110"/>
      <c r="G20" s="274"/>
      <c r="H20" s="110"/>
      <c r="I20" s="110"/>
      <c r="J20" s="237" t="b">
        <f>Age_Sex_PY[[#This Row],[Total Spending After Applying Truncation at the Member Level]]+Age_Sex_PY[[#This Row],[Total Dollars Excluded from Spending After Applying Truncation at the Member Level]]=Age_Sex_PY[[#This Row],[Total Spending before Truncation is Applied]]</f>
        <v>1</v>
      </c>
    </row>
    <row r="21" spans="1:10" x14ac:dyDescent="0.25">
      <c r="A21" s="101"/>
      <c r="B21" s="104"/>
      <c r="C21" s="105"/>
      <c r="D21" s="273"/>
      <c r="E21" s="182"/>
      <c r="F21" s="110"/>
      <c r="G21" s="274"/>
      <c r="H21" s="110"/>
      <c r="I21" s="110"/>
      <c r="J21" s="237" t="b">
        <f>Age_Sex_PY[[#This Row],[Total Spending After Applying Truncation at the Member Level]]+Age_Sex_PY[[#This Row],[Total Dollars Excluded from Spending After Applying Truncation at the Member Level]]=Age_Sex_PY[[#This Row],[Total Spending before Truncation is Applied]]</f>
        <v>1</v>
      </c>
    </row>
    <row r="22" spans="1:10" x14ac:dyDescent="0.25">
      <c r="A22" s="101"/>
      <c r="B22" s="104"/>
      <c r="C22" s="105"/>
      <c r="D22" s="273"/>
      <c r="E22" s="182"/>
      <c r="F22" s="110"/>
      <c r="G22" s="274"/>
      <c r="H22" s="110"/>
      <c r="I22" s="110"/>
      <c r="J22" s="237" t="b">
        <f>Age_Sex_PY[[#This Row],[Total Spending After Applying Truncation at the Member Level]]+Age_Sex_PY[[#This Row],[Total Dollars Excluded from Spending After Applying Truncation at the Member Level]]=Age_Sex_PY[[#This Row],[Total Spending before Truncation is Applied]]</f>
        <v>1</v>
      </c>
    </row>
    <row r="23" spans="1:10" x14ac:dyDescent="0.25">
      <c r="A23" s="101"/>
      <c r="B23" s="104"/>
      <c r="C23" s="105"/>
      <c r="D23" s="273"/>
      <c r="E23" s="182"/>
      <c r="F23" s="110"/>
      <c r="G23" s="274"/>
      <c r="H23" s="110"/>
      <c r="I23" s="110"/>
      <c r="J23" s="237" t="b">
        <f>Age_Sex_PY[[#This Row],[Total Spending After Applying Truncation at the Member Level]]+Age_Sex_PY[[#This Row],[Total Dollars Excluded from Spending After Applying Truncation at the Member Level]]=Age_Sex_PY[[#This Row],[Total Spending before Truncation is Applied]]</f>
        <v>1</v>
      </c>
    </row>
    <row r="24" spans="1:10" x14ac:dyDescent="0.25">
      <c r="A24" s="101"/>
      <c r="B24" s="104"/>
      <c r="C24" s="105"/>
      <c r="D24" s="273"/>
      <c r="E24" s="182"/>
      <c r="F24" s="110"/>
      <c r="G24" s="274"/>
      <c r="H24" s="110"/>
      <c r="I24" s="110"/>
      <c r="J24" s="237" t="b">
        <f>Age_Sex_PY[[#This Row],[Total Spending After Applying Truncation at the Member Level]]+Age_Sex_PY[[#This Row],[Total Dollars Excluded from Spending After Applying Truncation at the Member Level]]=Age_Sex_PY[[#This Row],[Total Spending before Truncation is Applied]]</f>
        <v>1</v>
      </c>
    </row>
    <row r="25" spans="1:10" x14ac:dyDescent="0.25">
      <c r="A25" s="101"/>
      <c r="B25" s="104"/>
      <c r="C25" s="105"/>
      <c r="D25" s="273"/>
      <c r="E25" s="182"/>
      <c r="F25" s="110"/>
      <c r="G25" s="274"/>
      <c r="H25" s="110"/>
      <c r="I25" s="110"/>
      <c r="J25" s="237" t="b">
        <f>Age_Sex_PY[[#This Row],[Total Spending After Applying Truncation at the Member Level]]+Age_Sex_PY[[#This Row],[Total Dollars Excluded from Spending After Applying Truncation at the Member Level]]=Age_Sex_PY[[#This Row],[Total Spending before Truncation is Applied]]</f>
        <v>1</v>
      </c>
    </row>
    <row r="26" spans="1:10" x14ac:dyDescent="0.25">
      <c r="A26" s="101"/>
      <c r="B26" s="104"/>
      <c r="C26" s="105"/>
      <c r="D26" s="273"/>
      <c r="E26" s="182"/>
      <c r="F26" s="110"/>
      <c r="G26" s="274"/>
      <c r="H26" s="110"/>
      <c r="I26" s="110"/>
      <c r="J26" s="237" t="b">
        <f>Age_Sex_PY[[#This Row],[Total Spending After Applying Truncation at the Member Level]]+Age_Sex_PY[[#This Row],[Total Dollars Excluded from Spending After Applying Truncation at the Member Level]]=Age_Sex_PY[[#This Row],[Total Spending before Truncation is Applied]]</f>
        <v>1</v>
      </c>
    </row>
    <row r="27" spans="1:10" x14ac:dyDescent="0.25">
      <c r="A27" s="101"/>
      <c r="B27" s="104"/>
      <c r="C27" s="105"/>
      <c r="D27" s="273"/>
      <c r="E27" s="182"/>
      <c r="F27" s="110"/>
      <c r="G27" s="274"/>
      <c r="H27" s="110"/>
      <c r="I27" s="110"/>
      <c r="J27" s="237" t="b">
        <f>Age_Sex_PY[[#This Row],[Total Spending After Applying Truncation at the Member Level]]+Age_Sex_PY[[#This Row],[Total Dollars Excluded from Spending After Applying Truncation at the Member Level]]=Age_Sex_PY[[#This Row],[Total Spending before Truncation is Applied]]</f>
        <v>1</v>
      </c>
    </row>
    <row r="28" spans="1:10" x14ac:dyDescent="0.25">
      <c r="A28" s="101"/>
      <c r="B28" s="104"/>
      <c r="C28" s="105"/>
      <c r="D28" s="273"/>
      <c r="E28" s="182"/>
      <c r="F28" s="110"/>
      <c r="G28" s="274"/>
      <c r="H28" s="110"/>
      <c r="I28" s="110"/>
      <c r="J28" s="237" t="b">
        <f>Age_Sex_PY[[#This Row],[Total Spending After Applying Truncation at the Member Level]]+Age_Sex_PY[[#This Row],[Total Dollars Excluded from Spending After Applying Truncation at the Member Level]]=Age_Sex_PY[[#This Row],[Total Spending before Truncation is Applied]]</f>
        <v>1</v>
      </c>
    </row>
    <row r="29" spans="1:10" x14ac:dyDescent="0.25">
      <c r="A29" s="101"/>
      <c r="B29" s="104"/>
      <c r="C29" s="105"/>
      <c r="D29" s="273"/>
      <c r="E29" s="182"/>
      <c r="F29" s="110"/>
      <c r="G29" s="274"/>
      <c r="H29" s="110"/>
      <c r="I29" s="110"/>
      <c r="J29" s="237" t="b">
        <f>Age_Sex_PY[[#This Row],[Total Spending After Applying Truncation at the Member Level]]+Age_Sex_PY[[#This Row],[Total Dollars Excluded from Spending After Applying Truncation at the Member Level]]=Age_Sex_PY[[#This Row],[Total Spending before Truncation is Applied]]</f>
        <v>1</v>
      </c>
    </row>
    <row r="30" spans="1:10" x14ac:dyDescent="0.25">
      <c r="A30" s="101"/>
      <c r="B30" s="104"/>
      <c r="C30" s="105"/>
      <c r="D30" s="273"/>
      <c r="E30" s="182"/>
      <c r="F30" s="110"/>
      <c r="G30" s="274"/>
      <c r="H30" s="110"/>
      <c r="I30" s="110"/>
      <c r="J30" s="237" t="b">
        <f>Age_Sex_PY[[#This Row],[Total Spending After Applying Truncation at the Member Level]]+Age_Sex_PY[[#This Row],[Total Dollars Excluded from Spending After Applying Truncation at the Member Level]]=Age_Sex_PY[[#This Row],[Total Spending before Truncation is Applied]]</f>
        <v>1</v>
      </c>
    </row>
    <row r="31" spans="1:10" x14ac:dyDescent="0.25">
      <c r="A31" s="101"/>
      <c r="B31" s="104"/>
      <c r="C31" s="105"/>
      <c r="D31" s="273"/>
      <c r="E31" s="182"/>
      <c r="F31" s="110"/>
      <c r="G31" s="274"/>
      <c r="H31" s="110"/>
      <c r="I31" s="110"/>
      <c r="J31" s="237" t="b">
        <f>Age_Sex_PY[[#This Row],[Total Spending After Applying Truncation at the Member Level]]+Age_Sex_PY[[#This Row],[Total Dollars Excluded from Spending After Applying Truncation at the Member Level]]=Age_Sex_PY[[#This Row],[Total Spending before Truncation is Applied]]</f>
        <v>1</v>
      </c>
    </row>
    <row r="32" spans="1:10" x14ac:dyDescent="0.25">
      <c r="A32" s="101"/>
      <c r="B32" s="104"/>
      <c r="C32" s="105"/>
      <c r="D32" s="273"/>
      <c r="E32" s="182"/>
      <c r="F32" s="110"/>
      <c r="G32" s="274"/>
      <c r="H32" s="110"/>
      <c r="I32" s="110"/>
      <c r="J32" s="237" t="b">
        <f>Age_Sex_PY[[#This Row],[Total Spending After Applying Truncation at the Member Level]]+Age_Sex_PY[[#This Row],[Total Dollars Excluded from Spending After Applying Truncation at the Member Level]]=Age_Sex_PY[[#This Row],[Total Spending before Truncation is Applied]]</f>
        <v>1</v>
      </c>
    </row>
    <row r="33" spans="1:10" x14ac:dyDescent="0.25">
      <c r="A33" s="101"/>
      <c r="B33" s="104"/>
      <c r="C33" s="105"/>
      <c r="D33" s="273"/>
      <c r="E33" s="182"/>
      <c r="F33" s="110"/>
      <c r="G33" s="274"/>
      <c r="H33" s="110"/>
      <c r="I33" s="110"/>
      <c r="J33" s="237" t="b">
        <f>Age_Sex_PY[[#This Row],[Total Spending After Applying Truncation at the Member Level]]+Age_Sex_PY[[#This Row],[Total Dollars Excluded from Spending After Applying Truncation at the Member Level]]=Age_Sex_PY[[#This Row],[Total Spending before Truncation is Applied]]</f>
        <v>1</v>
      </c>
    </row>
    <row r="34" spans="1:10" x14ac:dyDescent="0.25">
      <c r="A34" s="101"/>
      <c r="B34" s="104"/>
      <c r="C34" s="105"/>
      <c r="D34" s="273"/>
      <c r="E34" s="182"/>
      <c r="F34" s="110"/>
      <c r="G34" s="274"/>
      <c r="H34" s="110"/>
      <c r="I34" s="110"/>
      <c r="J34" s="237" t="b">
        <f>Age_Sex_PY[[#This Row],[Total Spending After Applying Truncation at the Member Level]]+Age_Sex_PY[[#This Row],[Total Dollars Excluded from Spending After Applying Truncation at the Member Level]]=Age_Sex_PY[[#This Row],[Total Spending before Truncation is Applied]]</f>
        <v>1</v>
      </c>
    </row>
    <row r="35" spans="1:10" x14ac:dyDescent="0.25">
      <c r="A35" s="101"/>
      <c r="B35" s="104"/>
      <c r="C35" s="105"/>
      <c r="D35" s="273"/>
      <c r="E35" s="182"/>
      <c r="F35" s="110"/>
      <c r="G35" s="274"/>
      <c r="H35" s="110"/>
      <c r="I35" s="110"/>
      <c r="J35" s="237" t="b">
        <f>Age_Sex_PY[[#This Row],[Total Spending After Applying Truncation at the Member Level]]+Age_Sex_PY[[#This Row],[Total Dollars Excluded from Spending After Applying Truncation at the Member Level]]=Age_Sex_PY[[#This Row],[Total Spending before Truncation is Applied]]</f>
        <v>1</v>
      </c>
    </row>
    <row r="36" spans="1:10" x14ac:dyDescent="0.25">
      <c r="A36" s="101"/>
      <c r="B36" s="104"/>
      <c r="C36" s="105"/>
      <c r="D36" s="273"/>
      <c r="E36" s="182"/>
      <c r="F36" s="110"/>
      <c r="G36" s="274"/>
      <c r="H36" s="110"/>
      <c r="I36" s="110"/>
      <c r="J36" s="237" t="b">
        <f>Age_Sex_PY[[#This Row],[Total Spending After Applying Truncation at the Member Level]]+Age_Sex_PY[[#This Row],[Total Dollars Excluded from Spending After Applying Truncation at the Member Level]]=Age_Sex_PY[[#This Row],[Total Spending before Truncation is Applied]]</f>
        <v>1</v>
      </c>
    </row>
    <row r="37" spans="1:10" x14ac:dyDescent="0.25">
      <c r="A37" s="101"/>
      <c r="B37" s="104"/>
      <c r="C37" s="105"/>
      <c r="D37" s="273"/>
      <c r="E37" s="182"/>
      <c r="F37" s="110"/>
      <c r="G37" s="274"/>
      <c r="H37" s="110"/>
      <c r="I37" s="110"/>
      <c r="J37" s="237" t="b">
        <f>Age_Sex_PY[[#This Row],[Total Spending After Applying Truncation at the Member Level]]+Age_Sex_PY[[#This Row],[Total Dollars Excluded from Spending After Applying Truncation at the Member Level]]=Age_Sex_PY[[#This Row],[Total Spending before Truncation is Applied]]</f>
        <v>1</v>
      </c>
    </row>
    <row r="38" spans="1:10" x14ac:dyDescent="0.25">
      <c r="A38" s="101"/>
      <c r="B38" s="104"/>
      <c r="C38" s="105"/>
      <c r="D38" s="273"/>
      <c r="E38" s="182"/>
      <c r="F38" s="110"/>
      <c r="G38" s="274"/>
      <c r="H38" s="110"/>
      <c r="I38" s="110"/>
      <c r="J38" s="237" t="b">
        <f>Age_Sex_PY[[#This Row],[Total Spending After Applying Truncation at the Member Level]]+Age_Sex_PY[[#This Row],[Total Dollars Excluded from Spending After Applying Truncation at the Member Level]]=Age_Sex_PY[[#This Row],[Total Spending before Truncation is Applied]]</f>
        <v>1</v>
      </c>
    </row>
    <row r="39" spans="1:10" x14ac:dyDescent="0.25">
      <c r="A39" s="101"/>
      <c r="B39" s="104"/>
      <c r="C39" s="105"/>
      <c r="D39" s="273"/>
      <c r="E39" s="182"/>
      <c r="F39" s="110"/>
      <c r="G39" s="274"/>
      <c r="H39" s="110"/>
      <c r="I39" s="110"/>
      <c r="J39" s="237" t="b">
        <f>Age_Sex_PY[[#This Row],[Total Spending After Applying Truncation at the Member Level]]+Age_Sex_PY[[#This Row],[Total Dollars Excluded from Spending After Applying Truncation at the Member Level]]=Age_Sex_PY[[#This Row],[Total Spending before Truncation is Applied]]</f>
        <v>1</v>
      </c>
    </row>
    <row r="40" spans="1:10" x14ac:dyDescent="0.25">
      <c r="A40" s="101"/>
      <c r="B40" s="104"/>
      <c r="C40" s="105"/>
      <c r="D40" s="273"/>
      <c r="E40" s="182"/>
      <c r="F40" s="110"/>
      <c r="G40" s="274"/>
      <c r="H40" s="110"/>
      <c r="I40" s="110"/>
      <c r="J40" s="237" t="b">
        <f>Age_Sex_PY[[#This Row],[Total Spending After Applying Truncation at the Member Level]]+Age_Sex_PY[[#This Row],[Total Dollars Excluded from Spending After Applying Truncation at the Member Level]]=Age_Sex_PY[[#This Row],[Total Spending before Truncation is Applied]]</f>
        <v>1</v>
      </c>
    </row>
    <row r="41" spans="1:10" x14ac:dyDescent="0.25">
      <c r="A41" s="101"/>
      <c r="B41" s="104"/>
      <c r="C41" s="105"/>
      <c r="D41" s="273"/>
      <c r="E41" s="182"/>
      <c r="F41" s="110"/>
      <c r="G41" s="274"/>
      <c r="H41" s="110"/>
      <c r="I41" s="110"/>
      <c r="J41" s="237" t="b">
        <f>Age_Sex_PY[[#This Row],[Total Spending After Applying Truncation at the Member Level]]+Age_Sex_PY[[#This Row],[Total Dollars Excluded from Spending After Applying Truncation at the Member Level]]=Age_Sex_PY[[#This Row],[Total Spending before Truncation is Applied]]</f>
        <v>1</v>
      </c>
    </row>
    <row r="42" spans="1:10" x14ac:dyDescent="0.25">
      <c r="A42" s="101"/>
      <c r="B42" s="104"/>
      <c r="C42" s="105"/>
      <c r="D42" s="273"/>
      <c r="E42" s="182"/>
      <c r="F42" s="110"/>
      <c r="G42" s="274"/>
      <c r="H42" s="110"/>
      <c r="I42" s="110"/>
      <c r="J42" s="237" t="b">
        <f>Age_Sex_PY[[#This Row],[Total Spending After Applying Truncation at the Member Level]]+Age_Sex_PY[[#This Row],[Total Dollars Excluded from Spending After Applying Truncation at the Member Level]]=Age_Sex_PY[[#This Row],[Total Spending before Truncation is Applied]]</f>
        <v>1</v>
      </c>
    </row>
    <row r="43" spans="1:10" x14ac:dyDescent="0.25">
      <c r="A43" s="101"/>
      <c r="B43" s="104"/>
      <c r="C43" s="105"/>
      <c r="D43" s="273"/>
      <c r="E43" s="182"/>
      <c r="F43" s="110"/>
      <c r="G43" s="274"/>
      <c r="H43" s="110"/>
      <c r="I43" s="110"/>
      <c r="J43" s="237" t="b">
        <f>Age_Sex_PY[[#This Row],[Total Spending After Applying Truncation at the Member Level]]+Age_Sex_PY[[#This Row],[Total Dollars Excluded from Spending After Applying Truncation at the Member Level]]=Age_Sex_PY[[#This Row],[Total Spending before Truncation is Applied]]</f>
        <v>1</v>
      </c>
    </row>
    <row r="44" spans="1:10" x14ac:dyDescent="0.25">
      <c r="A44" s="101"/>
      <c r="B44" s="104"/>
      <c r="C44" s="105"/>
      <c r="D44" s="273"/>
      <c r="E44" s="182"/>
      <c r="F44" s="110"/>
      <c r="G44" s="274"/>
      <c r="H44" s="110"/>
      <c r="I44" s="110"/>
      <c r="J44" s="237" t="b">
        <f>Age_Sex_PY[[#This Row],[Total Spending After Applying Truncation at the Member Level]]+Age_Sex_PY[[#This Row],[Total Dollars Excluded from Spending After Applying Truncation at the Member Level]]=Age_Sex_PY[[#This Row],[Total Spending before Truncation is Applied]]</f>
        <v>1</v>
      </c>
    </row>
    <row r="45" spans="1:10" x14ac:dyDescent="0.25">
      <c r="A45" s="101"/>
      <c r="B45" s="104"/>
      <c r="C45" s="105"/>
      <c r="D45" s="273"/>
      <c r="E45" s="182"/>
      <c r="F45" s="110"/>
      <c r="G45" s="274"/>
      <c r="H45" s="110"/>
      <c r="I45" s="110"/>
      <c r="J45" s="237" t="b">
        <f>Age_Sex_PY[[#This Row],[Total Spending After Applying Truncation at the Member Level]]+Age_Sex_PY[[#This Row],[Total Dollars Excluded from Spending After Applying Truncation at the Member Level]]=Age_Sex_PY[[#This Row],[Total Spending before Truncation is Applied]]</f>
        <v>1</v>
      </c>
    </row>
    <row r="46" spans="1:10" x14ac:dyDescent="0.25">
      <c r="A46" s="101"/>
      <c r="B46" s="104"/>
      <c r="C46" s="105"/>
      <c r="D46" s="273"/>
      <c r="E46" s="182"/>
      <c r="F46" s="110"/>
      <c r="G46" s="274"/>
      <c r="H46" s="110"/>
      <c r="I46" s="110"/>
      <c r="J46" s="237" t="b">
        <f>Age_Sex_PY[[#This Row],[Total Spending After Applying Truncation at the Member Level]]+Age_Sex_PY[[#This Row],[Total Dollars Excluded from Spending After Applying Truncation at the Member Level]]=Age_Sex_PY[[#This Row],[Total Spending before Truncation is Applied]]</f>
        <v>1</v>
      </c>
    </row>
    <row r="47" spans="1:10" x14ac:dyDescent="0.25">
      <c r="A47" s="101"/>
      <c r="B47" s="104"/>
      <c r="C47" s="105"/>
      <c r="D47" s="273"/>
      <c r="E47" s="182"/>
      <c r="F47" s="110"/>
      <c r="G47" s="274"/>
      <c r="H47" s="110"/>
      <c r="I47" s="110"/>
      <c r="J47" s="237" t="b">
        <f>Age_Sex_PY[[#This Row],[Total Spending After Applying Truncation at the Member Level]]+Age_Sex_PY[[#This Row],[Total Dollars Excluded from Spending After Applying Truncation at the Member Level]]=Age_Sex_PY[[#This Row],[Total Spending before Truncation is Applied]]</f>
        <v>1</v>
      </c>
    </row>
    <row r="48" spans="1:10" x14ac:dyDescent="0.25">
      <c r="A48" s="101"/>
      <c r="B48" s="104"/>
      <c r="C48" s="105"/>
      <c r="D48" s="273"/>
      <c r="E48" s="182"/>
      <c r="F48" s="110"/>
      <c r="G48" s="274"/>
      <c r="H48" s="110"/>
      <c r="I48" s="110"/>
      <c r="J48" s="237" t="b">
        <f>Age_Sex_PY[[#This Row],[Total Spending After Applying Truncation at the Member Level]]+Age_Sex_PY[[#This Row],[Total Dollars Excluded from Spending After Applying Truncation at the Member Level]]=Age_Sex_PY[[#This Row],[Total Spending before Truncation is Applied]]</f>
        <v>1</v>
      </c>
    </row>
    <row r="49" spans="1:10" x14ac:dyDescent="0.25">
      <c r="A49" s="101"/>
      <c r="B49" s="104"/>
      <c r="C49" s="105"/>
      <c r="D49" s="273"/>
      <c r="E49" s="182"/>
      <c r="F49" s="110"/>
      <c r="G49" s="274"/>
      <c r="H49" s="110"/>
      <c r="I49" s="110"/>
      <c r="J49" s="237" t="b">
        <f>Age_Sex_PY[[#This Row],[Total Spending After Applying Truncation at the Member Level]]+Age_Sex_PY[[#This Row],[Total Dollars Excluded from Spending After Applying Truncation at the Member Level]]=Age_Sex_PY[[#This Row],[Total Spending before Truncation is Applied]]</f>
        <v>1</v>
      </c>
    </row>
    <row r="50" spans="1:10" x14ac:dyDescent="0.25">
      <c r="A50" s="101"/>
      <c r="B50" s="104"/>
      <c r="C50" s="105"/>
      <c r="D50" s="273"/>
      <c r="E50" s="182"/>
      <c r="F50" s="110"/>
      <c r="G50" s="274"/>
      <c r="H50" s="110"/>
      <c r="I50" s="110"/>
      <c r="J50" s="237" t="b">
        <f>Age_Sex_PY[[#This Row],[Total Spending After Applying Truncation at the Member Level]]+Age_Sex_PY[[#This Row],[Total Dollars Excluded from Spending After Applying Truncation at the Member Level]]=Age_Sex_PY[[#This Row],[Total Spending before Truncation is Applied]]</f>
        <v>1</v>
      </c>
    </row>
    <row r="51" spans="1:10" x14ac:dyDescent="0.25">
      <c r="A51" s="101"/>
      <c r="B51" s="104"/>
      <c r="C51" s="105"/>
      <c r="D51" s="273"/>
      <c r="E51" s="182"/>
      <c r="F51" s="110"/>
      <c r="G51" s="274"/>
      <c r="H51" s="110"/>
      <c r="I51" s="110"/>
      <c r="J51" s="237" t="b">
        <f>Age_Sex_PY[[#This Row],[Total Spending After Applying Truncation at the Member Level]]+Age_Sex_PY[[#This Row],[Total Dollars Excluded from Spending After Applying Truncation at the Member Level]]=Age_Sex_PY[[#This Row],[Total Spending before Truncation is Applied]]</f>
        <v>1</v>
      </c>
    </row>
    <row r="52" spans="1:10" x14ac:dyDescent="0.25">
      <c r="A52" s="101"/>
      <c r="B52" s="104"/>
      <c r="C52" s="105"/>
      <c r="D52" s="273"/>
      <c r="E52" s="182"/>
      <c r="F52" s="110"/>
      <c r="G52" s="274"/>
      <c r="H52" s="110"/>
      <c r="I52" s="110"/>
      <c r="J52" s="237" t="b">
        <f>Age_Sex_PY[[#This Row],[Total Spending After Applying Truncation at the Member Level]]+Age_Sex_PY[[#This Row],[Total Dollars Excluded from Spending After Applying Truncation at the Member Level]]=Age_Sex_PY[[#This Row],[Total Spending before Truncation is Applied]]</f>
        <v>1</v>
      </c>
    </row>
    <row r="53" spans="1:10" x14ac:dyDescent="0.25">
      <c r="A53" s="101"/>
      <c r="B53" s="104"/>
      <c r="C53" s="105"/>
      <c r="D53" s="273"/>
      <c r="E53" s="182"/>
      <c r="F53" s="110"/>
      <c r="G53" s="274"/>
      <c r="H53" s="110"/>
      <c r="I53" s="110"/>
      <c r="J53" s="237" t="b">
        <f>Age_Sex_PY[[#This Row],[Total Spending After Applying Truncation at the Member Level]]+Age_Sex_PY[[#This Row],[Total Dollars Excluded from Spending After Applying Truncation at the Member Level]]=Age_Sex_PY[[#This Row],[Total Spending before Truncation is Applied]]</f>
        <v>1</v>
      </c>
    </row>
    <row r="54" spans="1:10" x14ac:dyDescent="0.25">
      <c r="A54" s="101"/>
      <c r="B54" s="104"/>
      <c r="C54" s="105"/>
      <c r="D54" s="273"/>
      <c r="E54" s="182"/>
      <c r="F54" s="110"/>
      <c r="G54" s="274"/>
      <c r="H54" s="110"/>
      <c r="I54" s="110"/>
      <c r="J54" s="237" t="b">
        <f>Age_Sex_PY[[#This Row],[Total Spending After Applying Truncation at the Member Level]]+Age_Sex_PY[[#This Row],[Total Dollars Excluded from Spending After Applying Truncation at the Member Level]]=Age_Sex_PY[[#This Row],[Total Spending before Truncation is Applied]]</f>
        <v>1</v>
      </c>
    </row>
    <row r="55" spans="1:10" x14ac:dyDescent="0.25">
      <c r="A55" s="101"/>
      <c r="B55" s="104"/>
      <c r="C55" s="105"/>
      <c r="D55" s="273"/>
      <c r="E55" s="182"/>
      <c r="F55" s="110"/>
      <c r="G55" s="274"/>
      <c r="H55" s="110"/>
      <c r="I55" s="110"/>
      <c r="J55" s="237" t="b">
        <f>Age_Sex_PY[[#This Row],[Total Spending After Applying Truncation at the Member Level]]+Age_Sex_PY[[#This Row],[Total Dollars Excluded from Spending After Applying Truncation at the Member Level]]=Age_Sex_PY[[#This Row],[Total Spending before Truncation is Applied]]</f>
        <v>1</v>
      </c>
    </row>
    <row r="56" spans="1:10" x14ac:dyDescent="0.25">
      <c r="A56" s="101"/>
      <c r="B56" s="104"/>
      <c r="C56" s="105"/>
      <c r="D56" s="273"/>
      <c r="E56" s="182"/>
      <c r="F56" s="110"/>
      <c r="G56" s="274"/>
      <c r="H56" s="110"/>
      <c r="I56" s="110"/>
      <c r="J56" s="237" t="b">
        <f>Age_Sex_PY[[#This Row],[Total Spending After Applying Truncation at the Member Level]]+Age_Sex_PY[[#This Row],[Total Dollars Excluded from Spending After Applying Truncation at the Member Level]]=Age_Sex_PY[[#This Row],[Total Spending before Truncation is Applied]]</f>
        <v>1</v>
      </c>
    </row>
    <row r="57" spans="1:10" x14ac:dyDescent="0.25">
      <c r="A57" s="101"/>
      <c r="B57" s="104"/>
      <c r="C57" s="105"/>
      <c r="D57" s="273"/>
      <c r="E57" s="182"/>
      <c r="F57" s="110"/>
      <c r="G57" s="274"/>
      <c r="H57" s="110"/>
      <c r="I57" s="110"/>
      <c r="J57" s="237" t="b">
        <f>Age_Sex_PY[[#This Row],[Total Spending After Applying Truncation at the Member Level]]+Age_Sex_PY[[#This Row],[Total Dollars Excluded from Spending After Applying Truncation at the Member Level]]=Age_Sex_PY[[#This Row],[Total Spending before Truncation is Applied]]</f>
        <v>1</v>
      </c>
    </row>
    <row r="58" spans="1:10" x14ac:dyDescent="0.25">
      <c r="A58" s="101"/>
      <c r="B58" s="104"/>
      <c r="C58" s="105"/>
      <c r="D58" s="273"/>
      <c r="E58" s="182"/>
      <c r="F58" s="110"/>
      <c r="G58" s="274"/>
      <c r="H58" s="110"/>
      <c r="I58" s="110"/>
      <c r="J58" s="237" t="b">
        <f>Age_Sex_PY[[#This Row],[Total Spending After Applying Truncation at the Member Level]]+Age_Sex_PY[[#This Row],[Total Dollars Excluded from Spending After Applying Truncation at the Member Level]]=Age_Sex_PY[[#This Row],[Total Spending before Truncation is Applied]]</f>
        <v>1</v>
      </c>
    </row>
    <row r="59" spans="1:10" x14ac:dyDescent="0.25">
      <c r="A59" s="101"/>
      <c r="B59" s="104"/>
      <c r="C59" s="105"/>
      <c r="D59" s="273"/>
      <c r="E59" s="182"/>
      <c r="F59" s="110"/>
      <c r="G59" s="274"/>
      <c r="H59" s="110"/>
      <c r="I59" s="110"/>
      <c r="J59" s="237" t="b">
        <f>Age_Sex_PY[[#This Row],[Total Spending After Applying Truncation at the Member Level]]+Age_Sex_PY[[#This Row],[Total Dollars Excluded from Spending After Applying Truncation at the Member Level]]=Age_Sex_PY[[#This Row],[Total Spending before Truncation is Applied]]</f>
        <v>1</v>
      </c>
    </row>
    <row r="60" spans="1:10" x14ac:dyDescent="0.25">
      <c r="A60" s="101"/>
      <c r="B60" s="104"/>
      <c r="C60" s="105"/>
      <c r="D60" s="273"/>
      <c r="E60" s="182"/>
      <c r="F60" s="110"/>
      <c r="G60" s="274"/>
      <c r="H60" s="110"/>
      <c r="I60" s="110"/>
      <c r="J60" s="237" t="b">
        <f>Age_Sex_PY[[#This Row],[Total Spending After Applying Truncation at the Member Level]]+Age_Sex_PY[[#This Row],[Total Dollars Excluded from Spending After Applying Truncation at the Member Level]]=Age_Sex_PY[[#This Row],[Total Spending before Truncation is Applied]]</f>
        <v>1</v>
      </c>
    </row>
    <row r="61" spans="1:10" x14ac:dyDescent="0.25">
      <c r="A61" s="101"/>
      <c r="B61" s="104"/>
      <c r="C61" s="105"/>
      <c r="D61" s="273"/>
      <c r="E61" s="182"/>
      <c r="F61" s="110"/>
      <c r="G61" s="274"/>
      <c r="H61" s="110"/>
      <c r="I61" s="110"/>
      <c r="J61" s="237" t="b">
        <f>Age_Sex_PY[[#This Row],[Total Spending After Applying Truncation at the Member Level]]+Age_Sex_PY[[#This Row],[Total Dollars Excluded from Spending After Applying Truncation at the Member Level]]=Age_Sex_PY[[#This Row],[Total Spending before Truncation is Applied]]</f>
        <v>1</v>
      </c>
    </row>
    <row r="62" spans="1:10" x14ac:dyDescent="0.25">
      <c r="A62" s="101"/>
      <c r="B62" s="104"/>
      <c r="C62" s="105"/>
      <c r="D62" s="273"/>
      <c r="E62" s="182"/>
      <c r="F62" s="110"/>
      <c r="G62" s="274"/>
      <c r="H62" s="110"/>
      <c r="I62" s="110"/>
      <c r="J62" s="237" t="b">
        <f>Age_Sex_PY[[#This Row],[Total Spending After Applying Truncation at the Member Level]]+Age_Sex_PY[[#This Row],[Total Dollars Excluded from Spending After Applying Truncation at the Member Level]]=Age_Sex_PY[[#This Row],[Total Spending before Truncation is Applied]]</f>
        <v>1</v>
      </c>
    </row>
    <row r="63" spans="1:10" x14ac:dyDescent="0.25">
      <c r="A63" s="101"/>
      <c r="B63" s="104"/>
      <c r="C63" s="105"/>
      <c r="D63" s="273"/>
      <c r="E63" s="182"/>
      <c r="F63" s="110"/>
      <c r="G63" s="274"/>
      <c r="H63" s="110"/>
      <c r="I63" s="110"/>
      <c r="J63" s="237" t="b">
        <f>Age_Sex_PY[[#This Row],[Total Spending After Applying Truncation at the Member Level]]+Age_Sex_PY[[#This Row],[Total Dollars Excluded from Spending After Applying Truncation at the Member Level]]=Age_Sex_PY[[#This Row],[Total Spending before Truncation is Applied]]</f>
        <v>1</v>
      </c>
    </row>
    <row r="64" spans="1:10" x14ac:dyDescent="0.25">
      <c r="A64" s="101"/>
      <c r="B64" s="104"/>
      <c r="C64" s="105"/>
      <c r="D64" s="273"/>
      <c r="E64" s="182"/>
      <c r="F64" s="110"/>
      <c r="G64" s="274"/>
      <c r="H64" s="110"/>
      <c r="I64" s="110"/>
      <c r="J64" s="237" t="b">
        <f>Age_Sex_PY[[#This Row],[Total Spending After Applying Truncation at the Member Level]]+Age_Sex_PY[[#This Row],[Total Dollars Excluded from Spending After Applying Truncation at the Member Level]]=Age_Sex_PY[[#This Row],[Total Spending before Truncation is Applied]]</f>
        <v>1</v>
      </c>
    </row>
    <row r="65" spans="1:10" x14ac:dyDescent="0.25">
      <c r="A65" s="101"/>
      <c r="B65" s="104"/>
      <c r="C65" s="105"/>
      <c r="D65" s="273"/>
      <c r="E65" s="182"/>
      <c r="F65" s="110"/>
      <c r="G65" s="274"/>
      <c r="H65" s="110"/>
      <c r="I65" s="110"/>
      <c r="J65" s="237" t="b">
        <f>Age_Sex_PY[[#This Row],[Total Spending After Applying Truncation at the Member Level]]+Age_Sex_PY[[#This Row],[Total Dollars Excluded from Spending After Applying Truncation at the Member Level]]=Age_Sex_PY[[#This Row],[Total Spending before Truncation is Applied]]</f>
        <v>1</v>
      </c>
    </row>
    <row r="66" spans="1:10" x14ac:dyDescent="0.25">
      <c r="A66" s="101"/>
      <c r="B66" s="104"/>
      <c r="C66" s="105"/>
      <c r="D66" s="273"/>
      <c r="E66" s="182"/>
      <c r="F66" s="110"/>
      <c r="G66" s="274"/>
      <c r="H66" s="110"/>
      <c r="I66" s="110"/>
      <c r="J66" s="237" t="b">
        <f>Age_Sex_PY[[#This Row],[Total Spending After Applying Truncation at the Member Level]]+Age_Sex_PY[[#This Row],[Total Dollars Excluded from Spending After Applying Truncation at the Member Level]]=Age_Sex_PY[[#This Row],[Total Spending before Truncation is Applied]]</f>
        <v>1</v>
      </c>
    </row>
    <row r="67" spans="1:10" x14ac:dyDescent="0.25">
      <c r="A67" s="101"/>
      <c r="B67" s="104"/>
      <c r="C67" s="105"/>
      <c r="D67" s="273"/>
      <c r="E67" s="182"/>
      <c r="F67" s="110"/>
      <c r="G67" s="274"/>
      <c r="H67" s="110"/>
      <c r="I67" s="110"/>
      <c r="J67" s="237" t="b">
        <f>Age_Sex_PY[[#This Row],[Total Spending After Applying Truncation at the Member Level]]+Age_Sex_PY[[#This Row],[Total Dollars Excluded from Spending After Applying Truncation at the Member Level]]=Age_Sex_PY[[#This Row],[Total Spending before Truncation is Applied]]</f>
        <v>1</v>
      </c>
    </row>
    <row r="68" spans="1:10" x14ac:dyDescent="0.25">
      <c r="A68" s="101"/>
      <c r="B68" s="104"/>
      <c r="C68" s="105"/>
      <c r="D68" s="273"/>
      <c r="E68" s="182"/>
      <c r="F68" s="110"/>
      <c r="G68" s="274"/>
      <c r="H68" s="110"/>
      <c r="I68" s="110"/>
      <c r="J68" s="237" t="b">
        <f>Age_Sex_PY[[#This Row],[Total Spending After Applying Truncation at the Member Level]]+Age_Sex_PY[[#This Row],[Total Dollars Excluded from Spending After Applying Truncation at the Member Level]]=Age_Sex_PY[[#This Row],[Total Spending before Truncation is Applied]]</f>
        <v>1</v>
      </c>
    </row>
    <row r="69" spans="1:10" x14ac:dyDescent="0.25">
      <c r="A69" s="101"/>
      <c r="B69" s="104"/>
      <c r="C69" s="105"/>
      <c r="D69" s="273"/>
      <c r="E69" s="182"/>
      <c r="F69" s="110"/>
      <c r="G69" s="274"/>
      <c r="H69" s="110"/>
      <c r="I69" s="110"/>
      <c r="J69" s="237" t="b">
        <f>Age_Sex_PY[[#This Row],[Total Spending After Applying Truncation at the Member Level]]+Age_Sex_PY[[#This Row],[Total Dollars Excluded from Spending After Applying Truncation at the Member Level]]=Age_Sex_PY[[#This Row],[Total Spending before Truncation is Applied]]</f>
        <v>1</v>
      </c>
    </row>
    <row r="70" spans="1:10" x14ac:dyDescent="0.25">
      <c r="A70" s="101"/>
      <c r="B70" s="104"/>
      <c r="C70" s="105"/>
      <c r="D70" s="273"/>
      <c r="E70" s="182"/>
      <c r="F70" s="110"/>
      <c r="G70" s="274"/>
      <c r="H70" s="110"/>
      <c r="I70" s="110"/>
      <c r="J70" s="237" t="b">
        <f>Age_Sex_PY[[#This Row],[Total Spending After Applying Truncation at the Member Level]]+Age_Sex_PY[[#This Row],[Total Dollars Excluded from Spending After Applying Truncation at the Member Level]]=Age_Sex_PY[[#This Row],[Total Spending before Truncation is Applied]]</f>
        <v>1</v>
      </c>
    </row>
    <row r="71" spans="1:10" x14ac:dyDescent="0.25">
      <c r="A71" s="101"/>
      <c r="B71" s="104"/>
      <c r="C71" s="105"/>
      <c r="D71" s="273"/>
      <c r="E71" s="182"/>
      <c r="F71" s="110"/>
      <c r="G71" s="274"/>
      <c r="H71" s="110"/>
      <c r="I71" s="110"/>
      <c r="J71" s="237" t="b">
        <f>Age_Sex_PY[[#This Row],[Total Spending After Applying Truncation at the Member Level]]+Age_Sex_PY[[#This Row],[Total Dollars Excluded from Spending After Applying Truncation at the Member Level]]=Age_Sex_PY[[#This Row],[Total Spending before Truncation is Applied]]</f>
        <v>1</v>
      </c>
    </row>
    <row r="72" spans="1:10" x14ac:dyDescent="0.25">
      <c r="A72" s="101"/>
      <c r="B72" s="104"/>
      <c r="C72" s="105"/>
      <c r="D72" s="273"/>
      <c r="E72" s="182"/>
      <c r="F72" s="110"/>
      <c r="G72" s="274"/>
      <c r="H72" s="110"/>
      <c r="I72" s="110"/>
      <c r="J72" s="237" t="b">
        <f>Age_Sex_PY[[#This Row],[Total Spending After Applying Truncation at the Member Level]]+Age_Sex_PY[[#This Row],[Total Dollars Excluded from Spending After Applying Truncation at the Member Level]]=Age_Sex_PY[[#This Row],[Total Spending before Truncation is Applied]]</f>
        <v>1</v>
      </c>
    </row>
    <row r="73" spans="1:10" x14ac:dyDescent="0.25">
      <c r="A73" s="101"/>
      <c r="B73" s="104"/>
      <c r="C73" s="105"/>
      <c r="D73" s="273"/>
      <c r="E73" s="182"/>
      <c r="F73" s="110"/>
      <c r="G73" s="274"/>
      <c r="H73" s="110"/>
      <c r="I73" s="110"/>
      <c r="J73" s="237" t="b">
        <f>Age_Sex_PY[[#This Row],[Total Spending After Applying Truncation at the Member Level]]+Age_Sex_PY[[#This Row],[Total Dollars Excluded from Spending After Applying Truncation at the Member Level]]=Age_Sex_PY[[#This Row],[Total Spending before Truncation is Applied]]</f>
        <v>1</v>
      </c>
    </row>
    <row r="74" spans="1:10" x14ac:dyDescent="0.25">
      <c r="A74" s="101"/>
      <c r="B74" s="104"/>
      <c r="C74" s="105"/>
      <c r="D74" s="273"/>
      <c r="E74" s="182"/>
      <c r="F74" s="110"/>
      <c r="G74" s="274"/>
      <c r="H74" s="110"/>
      <c r="I74" s="110"/>
      <c r="J74" s="237" t="b">
        <f>Age_Sex_PY[[#This Row],[Total Spending After Applying Truncation at the Member Level]]+Age_Sex_PY[[#This Row],[Total Dollars Excluded from Spending After Applying Truncation at the Member Level]]=Age_Sex_PY[[#This Row],[Total Spending before Truncation is Applied]]</f>
        <v>1</v>
      </c>
    </row>
    <row r="75" spans="1:10" x14ac:dyDescent="0.25">
      <c r="A75" s="101"/>
      <c r="B75" s="104"/>
      <c r="C75" s="105"/>
      <c r="D75" s="273"/>
      <c r="E75" s="182"/>
      <c r="F75" s="110"/>
      <c r="G75" s="274"/>
      <c r="H75" s="110"/>
      <c r="I75" s="110"/>
      <c r="J75" s="237" t="b">
        <f>Age_Sex_PY[[#This Row],[Total Spending After Applying Truncation at the Member Level]]+Age_Sex_PY[[#This Row],[Total Dollars Excluded from Spending After Applying Truncation at the Member Level]]=Age_Sex_PY[[#This Row],[Total Spending before Truncation is Applied]]</f>
        <v>1</v>
      </c>
    </row>
    <row r="76" spans="1:10" x14ac:dyDescent="0.25">
      <c r="A76" s="101"/>
      <c r="B76" s="104"/>
      <c r="C76" s="105"/>
      <c r="D76" s="273"/>
      <c r="E76" s="182"/>
      <c r="F76" s="110"/>
      <c r="G76" s="274"/>
      <c r="H76" s="110"/>
      <c r="I76" s="110"/>
      <c r="J76" s="237" t="b">
        <f>Age_Sex_PY[[#This Row],[Total Spending After Applying Truncation at the Member Level]]+Age_Sex_PY[[#This Row],[Total Dollars Excluded from Spending After Applying Truncation at the Member Level]]=Age_Sex_PY[[#This Row],[Total Spending before Truncation is Applied]]</f>
        <v>1</v>
      </c>
    </row>
    <row r="77" spans="1:10" x14ac:dyDescent="0.25">
      <c r="A77" s="101"/>
      <c r="B77" s="104"/>
      <c r="C77" s="105"/>
      <c r="D77" s="273"/>
      <c r="E77" s="182"/>
      <c r="F77" s="110"/>
      <c r="G77" s="274"/>
      <c r="H77" s="110"/>
      <c r="I77" s="110"/>
      <c r="J77" s="237" t="b">
        <f>Age_Sex_PY[[#This Row],[Total Spending After Applying Truncation at the Member Level]]+Age_Sex_PY[[#This Row],[Total Dollars Excluded from Spending After Applying Truncation at the Member Level]]=Age_Sex_PY[[#This Row],[Total Spending before Truncation is Applied]]</f>
        <v>1</v>
      </c>
    </row>
    <row r="78" spans="1:10" x14ac:dyDescent="0.25">
      <c r="A78" s="101"/>
      <c r="B78" s="104"/>
      <c r="C78" s="105"/>
      <c r="D78" s="273"/>
      <c r="E78" s="182"/>
      <c r="F78" s="110"/>
      <c r="G78" s="274"/>
      <c r="H78" s="110"/>
      <c r="I78" s="110"/>
      <c r="J78" s="237" t="b">
        <f>Age_Sex_PY[[#This Row],[Total Spending After Applying Truncation at the Member Level]]+Age_Sex_PY[[#This Row],[Total Dollars Excluded from Spending After Applying Truncation at the Member Level]]=Age_Sex_PY[[#This Row],[Total Spending before Truncation is Applied]]</f>
        <v>1</v>
      </c>
    </row>
    <row r="79" spans="1:10" x14ac:dyDescent="0.25">
      <c r="A79" s="101"/>
      <c r="B79" s="104"/>
      <c r="C79" s="105"/>
      <c r="D79" s="273"/>
      <c r="E79" s="182"/>
      <c r="F79" s="110"/>
      <c r="G79" s="274"/>
      <c r="H79" s="110"/>
      <c r="I79" s="110"/>
      <c r="J79" s="237" t="b">
        <f>Age_Sex_PY[[#This Row],[Total Spending After Applying Truncation at the Member Level]]+Age_Sex_PY[[#This Row],[Total Dollars Excluded from Spending After Applying Truncation at the Member Level]]=Age_Sex_PY[[#This Row],[Total Spending before Truncation is Applied]]</f>
        <v>1</v>
      </c>
    </row>
    <row r="80" spans="1:10" x14ac:dyDescent="0.25">
      <c r="A80" s="101"/>
      <c r="B80" s="104"/>
      <c r="C80" s="105"/>
      <c r="D80" s="273"/>
      <c r="E80" s="182"/>
      <c r="F80" s="110"/>
      <c r="G80" s="274"/>
      <c r="H80" s="110"/>
      <c r="I80" s="110"/>
      <c r="J80" s="237" t="b">
        <f>Age_Sex_PY[[#This Row],[Total Spending After Applying Truncation at the Member Level]]+Age_Sex_PY[[#This Row],[Total Dollars Excluded from Spending After Applying Truncation at the Member Level]]=Age_Sex_PY[[#This Row],[Total Spending before Truncation is Applied]]</f>
        <v>1</v>
      </c>
    </row>
    <row r="81" spans="1:10" x14ac:dyDescent="0.25">
      <c r="A81" s="101"/>
      <c r="B81" s="104"/>
      <c r="C81" s="105"/>
      <c r="D81" s="273"/>
      <c r="E81" s="182"/>
      <c r="F81" s="110"/>
      <c r="G81" s="274"/>
      <c r="H81" s="110"/>
      <c r="I81" s="110"/>
      <c r="J81" s="237" t="b">
        <f>Age_Sex_PY[[#This Row],[Total Spending After Applying Truncation at the Member Level]]+Age_Sex_PY[[#This Row],[Total Dollars Excluded from Spending After Applying Truncation at the Member Level]]=Age_Sex_PY[[#This Row],[Total Spending before Truncation is Applied]]</f>
        <v>1</v>
      </c>
    </row>
    <row r="82" spans="1:10" x14ac:dyDescent="0.25">
      <c r="A82" s="101"/>
      <c r="B82" s="104"/>
      <c r="C82" s="105"/>
      <c r="D82" s="273"/>
      <c r="E82" s="182"/>
      <c r="F82" s="110"/>
      <c r="G82" s="274"/>
      <c r="H82" s="110"/>
      <c r="I82" s="110"/>
      <c r="J82" s="237" t="b">
        <f>Age_Sex_PY[[#This Row],[Total Spending After Applying Truncation at the Member Level]]+Age_Sex_PY[[#This Row],[Total Dollars Excluded from Spending After Applying Truncation at the Member Level]]=Age_Sex_PY[[#This Row],[Total Spending before Truncation is Applied]]</f>
        <v>1</v>
      </c>
    </row>
    <row r="83" spans="1:10" x14ac:dyDescent="0.25">
      <c r="A83" s="101"/>
      <c r="B83" s="104"/>
      <c r="C83" s="105"/>
      <c r="D83" s="273"/>
      <c r="E83" s="182"/>
      <c r="F83" s="110"/>
      <c r="G83" s="274"/>
      <c r="H83" s="110"/>
      <c r="I83" s="110"/>
      <c r="J83" s="237" t="b">
        <f>Age_Sex_PY[[#This Row],[Total Spending After Applying Truncation at the Member Level]]+Age_Sex_PY[[#This Row],[Total Dollars Excluded from Spending After Applying Truncation at the Member Level]]=Age_Sex_PY[[#This Row],[Total Spending before Truncation is Applied]]</f>
        <v>1</v>
      </c>
    </row>
    <row r="84" spans="1:10" x14ac:dyDescent="0.25">
      <c r="A84" s="101"/>
      <c r="B84" s="104"/>
      <c r="C84" s="105"/>
      <c r="D84" s="273"/>
      <c r="E84" s="182"/>
      <c r="F84" s="110"/>
      <c r="G84" s="274"/>
      <c r="H84" s="110"/>
      <c r="I84" s="110"/>
      <c r="J84" s="237" t="b">
        <f>Age_Sex_PY[[#This Row],[Total Spending After Applying Truncation at the Member Level]]+Age_Sex_PY[[#This Row],[Total Dollars Excluded from Spending After Applying Truncation at the Member Level]]=Age_Sex_PY[[#This Row],[Total Spending before Truncation is Applied]]</f>
        <v>1</v>
      </c>
    </row>
    <row r="85" spans="1:10" x14ac:dyDescent="0.25">
      <c r="A85" s="101"/>
      <c r="B85" s="104"/>
      <c r="C85" s="105"/>
      <c r="D85" s="273"/>
      <c r="E85" s="182"/>
      <c r="F85" s="110"/>
      <c r="G85" s="274"/>
      <c r="H85" s="110"/>
      <c r="I85" s="110"/>
      <c r="J85" s="237" t="b">
        <f>Age_Sex_PY[[#This Row],[Total Spending After Applying Truncation at the Member Level]]+Age_Sex_PY[[#This Row],[Total Dollars Excluded from Spending After Applying Truncation at the Member Level]]=Age_Sex_PY[[#This Row],[Total Spending before Truncation is Applied]]</f>
        <v>1</v>
      </c>
    </row>
    <row r="86" spans="1:10" x14ac:dyDescent="0.25">
      <c r="A86" s="101"/>
      <c r="B86" s="104"/>
      <c r="C86" s="105"/>
      <c r="D86" s="273"/>
      <c r="E86" s="182"/>
      <c r="F86" s="110"/>
      <c r="G86" s="274"/>
      <c r="H86" s="110"/>
      <c r="I86" s="110"/>
      <c r="J86" s="237" t="b">
        <f>Age_Sex_PY[[#This Row],[Total Spending After Applying Truncation at the Member Level]]+Age_Sex_PY[[#This Row],[Total Dollars Excluded from Spending After Applying Truncation at the Member Level]]=Age_Sex_PY[[#This Row],[Total Spending before Truncation is Applied]]</f>
        <v>1</v>
      </c>
    </row>
    <row r="87" spans="1:10" x14ac:dyDescent="0.25">
      <c r="A87" s="101"/>
      <c r="B87" s="104"/>
      <c r="C87" s="105"/>
      <c r="D87" s="273"/>
      <c r="E87" s="182"/>
      <c r="F87" s="110"/>
      <c r="G87" s="274"/>
      <c r="H87" s="110"/>
      <c r="I87" s="110"/>
      <c r="J87" s="237" t="b">
        <f>Age_Sex_PY[[#This Row],[Total Spending After Applying Truncation at the Member Level]]+Age_Sex_PY[[#This Row],[Total Dollars Excluded from Spending After Applying Truncation at the Member Level]]=Age_Sex_PY[[#This Row],[Total Spending before Truncation is Applied]]</f>
        <v>1</v>
      </c>
    </row>
    <row r="88" spans="1:10" x14ac:dyDescent="0.25">
      <c r="A88" s="101"/>
      <c r="B88" s="104"/>
      <c r="C88" s="105"/>
      <c r="D88" s="273"/>
      <c r="E88" s="182"/>
      <c r="F88" s="110"/>
      <c r="G88" s="274"/>
      <c r="H88" s="110"/>
      <c r="I88" s="110"/>
      <c r="J88" s="237" t="b">
        <f>Age_Sex_PY[[#This Row],[Total Spending After Applying Truncation at the Member Level]]+Age_Sex_PY[[#This Row],[Total Dollars Excluded from Spending After Applying Truncation at the Member Level]]=Age_Sex_PY[[#This Row],[Total Spending before Truncation is Applied]]</f>
        <v>1</v>
      </c>
    </row>
    <row r="89" spans="1:10" x14ac:dyDescent="0.25">
      <c r="A89" s="101"/>
      <c r="B89" s="104"/>
      <c r="C89" s="105"/>
      <c r="D89" s="273"/>
      <c r="E89" s="182"/>
      <c r="F89" s="110"/>
      <c r="G89" s="274"/>
      <c r="H89" s="110"/>
      <c r="I89" s="110"/>
      <c r="J89" s="237" t="b">
        <f>Age_Sex_PY[[#This Row],[Total Spending After Applying Truncation at the Member Level]]+Age_Sex_PY[[#This Row],[Total Dollars Excluded from Spending After Applying Truncation at the Member Level]]=Age_Sex_PY[[#This Row],[Total Spending before Truncation is Applied]]</f>
        <v>1</v>
      </c>
    </row>
    <row r="90" spans="1:10" x14ac:dyDescent="0.25">
      <c r="A90" s="101"/>
      <c r="B90" s="104"/>
      <c r="C90" s="105"/>
      <c r="D90" s="273"/>
      <c r="E90" s="182"/>
      <c r="F90" s="110"/>
      <c r="G90" s="274"/>
      <c r="H90" s="110"/>
      <c r="I90" s="110"/>
      <c r="J90" s="237" t="b">
        <f>Age_Sex_PY[[#This Row],[Total Spending After Applying Truncation at the Member Level]]+Age_Sex_PY[[#This Row],[Total Dollars Excluded from Spending After Applying Truncation at the Member Level]]=Age_Sex_PY[[#This Row],[Total Spending before Truncation is Applied]]</f>
        <v>1</v>
      </c>
    </row>
    <row r="91" spans="1:10" x14ac:dyDescent="0.25">
      <c r="A91" s="101"/>
      <c r="B91" s="104"/>
      <c r="C91" s="105"/>
      <c r="D91" s="273"/>
      <c r="E91" s="182"/>
      <c r="F91" s="110"/>
      <c r="G91" s="274"/>
      <c r="H91" s="110"/>
      <c r="I91" s="110"/>
      <c r="J91" s="237" t="b">
        <f>Age_Sex_PY[[#This Row],[Total Spending After Applying Truncation at the Member Level]]+Age_Sex_PY[[#This Row],[Total Dollars Excluded from Spending After Applying Truncation at the Member Level]]=Age_Sex_PY[[#This Row],[Total Spending before Truncation is Applied]]</f>
        <v>1</v>
      </c>
    </row>
    <row r="92" spans="1:10" x14ac:dyDescent="0.25">
      <c r="A92" s="101"/>
      <c r="B92" s="104"/>
      <c r="C92" s="105"/>
      <c r="D92" s="273"/>
      <c r="E92" s="182"/>
      <c r="F92" s="110"/>
      <c r="G92" s="274"/>
      <c r="H92" s="110"/>
      <c r="I92" s="110"/>
      <c r="J92" s="237" t="b">
        <f>Age_Sex_PY[[#This Row],[Total Spending After Applying Truncation at the Member Level]]+Age_Sex_PY[[#This Row],[Total Dollars Excluded from Spending After Applying Truncation at the Member Level]]=Age_Sex_PY[[#This Row],[Total Spending before Truncation is Applied]]</f>
        <v>1</v>
      </c>
    </row>
    <row r="93" spans="1:10" x14ac:dyDescent="0.25">
      <c r="A93" s="101"/>
      <c r="B93" s="104"/>
      <c r="C93" s="105"/>
      <c r="D93" s="273"/>
      <c r="E93" s="182"/>
      <c r="F93" s="110"/>
      <c r="G93" s="274"/>
      <c r="H93" s="110"/>
      <c r="I93" s="110"/>
      <c r="J93" s="237" t="b">
        <f>Age_Sex_PY[[#This Row],[Total Spending After Applying Truncation at the Member Level]]+Age_Sex_PY[[#This Row],[Total Dollars Excluded from Spending After Applying Truncation at the Member Level]]=Age_Sex_PY[[#This Row],[Total Spending before Truncation is Applied]]</f>
        <v>1</v>
      </c>
    </row>
    <row r="94" spans="1:10" x14ac:dyDescent="0.25">
      <c r="A94" s="101"/>
      <c r="B94" s="104"/>
      <c r="C94" s="105"/>
      <c r="D94" s="273"/>
      <c r="E94" s="182"/>
      <c r="F94" s="110"/>
      <c r="G94" s="274"/>
      <c r="H94" s="110"/>
      <c r="I94" s="110"/>
      <c r="J94" s="237" t="b">
        <f>Age_Sex_PY[[#This Row],[Total Spending After Applying Truncation at the Member Level]]+Age_Sex_PY[[#This Row],[Total Dollars Excluded from Spending After Applying Truncation at the Member Level]]=Age_Sex_PY[[#This Row],[Total Spending before Truncation is Applied]]</f>
        <v>1</v>
      </c>
    </row>
    <row r="95" spans="1:10" x14ac:dyDescent="0.25">
      <c r="A95" s="101"/>
      <c r="B95" s="104"/>
      <c r="C95" s="105"/>
      <c r="D95" s="273"/>
      <c r="E95" s="182"/>
      <c r="F95" s="110"/>
      <c r="G95" s="274"/>
      <c r="H95" s="110"/>
      <c r="I95" s="110"/>
      <c r="J95" s="237" t="b">
        <f>Age_Sex_PY[[#This Row],[Total Spending After Applying Truncation at the Member Level]]+Age_Sex_PY[[#This Row],[Total Dollars Excluded from Spending After Applying Truncation at the Member Level]]=Age_Sex_PY[[#This Row],[Total Spending before Truncation is Applied]]</f>
        <v>1</v>
      </c>
    </row>
    <row r="96" spans="1:10" x14ac:dyDescent="0.25">
      <c r="A96" s="101"/>
      <c r="B96" s="104"/>
      <c r="C96" s="105"/>
      <c r="D96" s="273"/>
      <c r="E96" s="182"/>
      <c r="F96" s="110"/>
      <c r="G96" s="274"/>
      <c r="H96" s="110"/>
      <c r="I96" s="110"/>
      <c r="J96" s="237" t="b">
        <f>Age_Sex_PY[[#This Row],[Total Spending After Applying Truncation at the Member Level]]+Age_Sex_PY[[#This Row],[Total Dollars Excluded from Spending After Applying Truncation at the Member Level]]=Age_Sex_PY[[#This Row],[Total Spending before Truncation is Applied]]</f>
        <v>1</v>
      </c>
    </row>
    <row r="97" spans="1:10" x14ac:dyDescent="0.25">
      <c r="A97" s="101"/>
      <c r="B97" s="104"/>
      <c r="C97" s="105"/>
      <c r="D97" s="273"/>
      <c r="E97" s="182"/>
      <c r="F97" s="110"/>
      <c r="G97" s="274"/>
      <c r="H97" s="110"/>
      <c r="I97" s="110"/>
      <c r="J97" s="237" t="b">
        <f>Age_Sex_PY[[#This Row],[Total Spending After Applying Truncation at the Member Level]]+Age_Sex_PY[[#This Row],[Total Dollars Excluded from Spending After Applying Truncation at the Member Level]]=Age_Sex_PY[[#This Row],[Total Spending before Truncation is Applied]]</f>
        <v>1</v>
      </c>
    </row>
    <row r="98" spans="1:10" x14ac:dyDescent="0.25">
      <c r="A98" s="101"/>
      <c r="B98" s="104"/>
      <c r="C98" s="105"/>
      <c r="D98" s="273"/>
      <c r="E98" s="182"/>
      <c r="F98" s="110"/>
      <c r="G98" s="274"/>
      <c r="H98" s="110"/>
      <c r="I98" s="110"/>
      <c r="J98" s="237" t="b">
        <f>Age_Sex_PY[[#This Row],[Total Spending After Applying Truncation at the Member Level]]+Age_Sex_PY[[#This Row],[Total Dollars Excluded from Spending After Applying Truncation at the Member Level]]=Age_Sex_PY[[#This Row],[Total Spending before Truncation is Applied]]</f>
        <v>1</v>
      </c>
    </row>
    <row r="99" spans="1:10" x14ac:dyDescent="0.25">
      <c r="A99" s="101"/>
      <c r="B99" s="104"/>
      <c r="C99" s="105"/>
      <c r="D99" s="273"/>
      <c r="E99" s="182"/>
      <c r="F99" s="110"/>
      <c r="G99" s="274"/>
      <c r="H99" s="110"/>
      <c r="I99" s="110"/>
      <c r="J99" s="237" t="b">
        <f>Age_Sex_PY[[#This Row],[Total Spending After Applying Truncation at the Member Level]]+Age_Sex_PY[[#This Row],[Total Dollars Excluded from Spending After Applying Truncation at the Member Level]]=Age_Sex_PY[[#This Row],[Total Spending before Truncation is Applied]]</f>
        <v>1</v>
      </c>
    </row>
    <row r="100" spans="1:10" x14ac:dyDescent="0.25">
      <c r="A100" s="101"/>
      <c r="B100" s="104"/>
      <c r="C100" s="105"/>
      <c r="D100" s="273"/>
      <c r="E100" s="182"/>
      <c r="F100" s="110"/>
      <c r="G100" s="274"/>
      <c r="H100" s="110"/>
      <c r="I100" s="110"/>
      <c r="J100" s="237" t="b">
        <f>Age_Sex_PY[[#This Row],[Total Spending After Applying Truncation at the Member Level]]+Age_Sex_PY[[#This Row],[Total Dollars Excluded from Spending After Applying Truncation at the Member Level]]=Age_Sex_PY[[#This Row],[Total Spending before Truncation is Applied]]</f>
        <v>1</v>
      </c>
    </row>
    <row r="101" spans="1:10" x14ac:dyDescent="0.25">
      <c r="A101" s="101"/>
      <c r="B101" s="104"/>
      <c r="C101" s="105"/>
      <c r="D101" s="273"/>
      <c r="E101" s="182"/>
      <c r="F101" s="110"/>
      <c r="G101" s="274"/>
      <c r="H101" s="110"/>
      <c r="I101" s="110"/>
      <c r="J101" s="237" t="b">
        <f>Age_Sex_PY[[#This Row],[Total Spending After Applying Truncation at the Member Level]]+Age_Sex_PY[[#This Row],[Total Dollars Excluded from Spending After Applying Truncation at the Member Level]]=Age_Sex_PY[[#This Row],[Total Spending before Truncation is Applied]]</f>
        <v>1</v>
      </c>
    </row>
    <row r="102" spans="1:10" x14ac:dyDescent="0.25">
      <c r="A102" s="101"/>
      <c r="B102" s="104"/>
      <c r="C102" s="105"/>
      <c r="D102" s="273"/>
      <c r="E102" s="182"/>
      <c r="F102" s="110"/>
      <c r="G102" s="274"/>
      <c r="H102" s="110"/>
      <c r="I102" s="110"/>
      <c r="J102" s="237" t="b">
        <f>Age_Sex_PY[[#This Row],[Total Spending After Applying Truncation at the Member Level]]+Age_Sex_PY[[#This Row],[Total Dollars Excluded from Spending After Applying Truncation at the Member Level]]=Age_Sex_PY[[#This Row],[Total Spending before Truncation is Applied]]</f>
        <v>1</v>
      </c>
    </row>
    <row r="103" spans="1:10" x14ac:dyDescent="0.25">
      <c r="A103" s="101"/>
      <c r="B103" s="104"/>
      <c r="C103" s="105"/>
      <c r="D103" s="273"/>
      <c r="E103" s="182"/>
      <c r="F103" s="110"/>
      <c r="G103" s="274"/>
      <c r="H103" s="110"/>
      <c r="I103" s="110"/>
      <c r="J103" s="237" t="b">
        <f>Age_Sex_PY[[#This Row],[Total Spending After Applying Truncation at the Member Level]]+Age_Sex_PY[[#This Row],[Total Dollars Excluded from Spending After Applying Truncation at the Member Level]]=Age_Sex_PY[[#This Row],[Total Spending before Truncation is Applied]]</f>
        <v>1</v>
      </c>
    </row>
    <row r="104" spans="1:10" x14ac:dyDescent="0.25">
      <c r="A104" s="101"/>
      <c r="B104" s="104"/>
      <c r="C104" s="105"/>
      <c r="D104" s="273"/>
      <c r="E104" s="182"/>
      <c r="F104" s="110"/>
      <c r="G104" s="274"/>
      <c r="H104" s="110"/>
      <c r="I104" s="110"/>
      <c r="J104" s="237" t="b">
        <f>Age_Sex_PY[[#This Row],[Total Spending After Applying Truncation at the Member Level]]+Age_Sex_PY[[#This Row],[Total Dollars Excluded from Spending After Applying Truncation at the Member Level]]=Age_Sex_PY[[#This Row],[Total Spending before Truncation is Applied]]</f>
        <v>1</v>
      </c>
    </row>
    <row r="105" spans="1:10" x14ac:dyDescent="0.25">
      <c r="A105" s="101"/>
      <c r="B105" s="104"/>
      <c r="C105" s="105"/>
      <c r="D105" s="273"/>
      <c r="E105" s="182"/>
      <c r="F105" s="110"/>
      <c r="G105" s="274"/>
      <c r="H105" s="110"/>
      <c r="I105" s="110"/>
      <c r="J105" s="237" t="b">
        <f>Age_Sex_PY[[#This Row],[Total Spending After Applying Truncation at the Member Level]]+Age_Sex_PY[[#This Row],[Total Dollars Excluded from Spending After Applying Truncation at the Member Level]]=Age_Sex_PY[[#This Row],[Total Spending before Truncation is Applied]]</f>
        <v>1</v>
      </c>
    </row>
    <row r="106" spans="1:10" x14ac:dyDescent="0.25">
      <c r="A106" s="101"/>
      <c r="B106" s="104"/>
      <c r="C106" s="105"/>
      <c r="D106" s="273"/>
      <c r="E106" s="182"/>
      <c r="F106" s="110"/>
      <c r="G106" s="274"/>
      <c r="H106" s="110"/>
      <c r="I106" s="110"/>
      <c r="J106" s="237" t="b">
        <f>Age_Sex_PY[[#This Row],[Total Spending After Applying Truncation at the Member Level]]+Age_Sex_PY[[#This Row],[Total Dollars Excluded from Spending After Applying Truncation at the Member Level]]=Age_Sex_PY[[#This Row],[Total Spending before Truncation is Applied]]</f>
        <v>1</v>
      </c>
    </row>
    <row r="107" spans="1:10" x14ac:dyDescent="0.25">
      <c r="A107" s="101"/>
      <c r="B107" s="104"/>
      <c r="C107" s="105"/>
      <c r="D107" s="273"/>
      <c r="E107" s="182"/>
      <c r="F107" s="110"/>
      <c r="G107" s="274"/>
      <c r="H107" s="110"/>
      <c r="I107" s="110"/>
      <c r="J107" s="237" t="b">
        <f>Age_Sex_PY[[#This Row],[Total Spending After Applying Truncation at the Member Level]]+Age_Sex_PY[[#This Row],[Total Dollars Excluded from Spending After Applying Truncation at the Member Level]]=Age_Sex_PY[[#This Row],[Total Spending before Truncation is Applied]]</f>
        <v>1</v>
      </c>
    </row>
    <row r="108" spans="1:10" x14ac:dyDescent="0.25">
      <c r="A108" s="101"/>
      <c r="B108" s="104"/>
      <c r="C108" s="105"/>
      <c r="D108" s="273"/>
      <c r="E108" s="182"/>
      <c r="F108" s="110"/>
      <c r="G108" s="274"/>
      <c r="H108" s="110"/>
      <c r="I108" s="110"/>
      <c r="J108" s="237" t="b">
        <f>Age_Sex_PY[[#This Row],[Total Spending After Applying Truncation at the Member Level]]+Age_Sex_PY[[#This Row],[Total Dollars Excluded from Spending After Applying Truncation at the Member Level]]=Age_Sex_PY[[#This Row],[Total Spending before Truncation is Applied]]</f>
        <v>1</v>
      </c>
    </row>
    <row r="109" spans="1:10" x14ac:dyDescent="0.25">
      <c r="A109" s="101"/>
      <c r="B109" s="104"/>
      <c r="C109" s="105"/>
      <c r="D109" s="273"/>
      <c r="E109" s="182"/>
      <c r="F109" s="110"/>
      <c r="G109" s="274"/>
      <c r="H109" s="110"/>
      <c r="I109" s="110"/>
      <c r="J109" s="237" t="b">
        <f>Age_Sex_PY[[#This Row],[Total Spending After Applying Truncation at the Member Level]]+Age_Sex_PY[[#This Row],[Total Dollars Excluded from Spending After Applying Truncation at the Member Level]]=Age_Sex_PY[[#This Row],[Total Spending before Truncation is Applied]]</f>
        <v>1</v>
      </c>
    </row>
    <row r="110" spans="1:10" x14ac:dyDescent="0.25">
      <c r="A110" s="101"/>
      <c r="B110" s="104"/>
      <c r="C110" s="105"/>
      <c r="D110" s="273"/>
      <c r="E110" s="182"/>
      <c r="F110" s="110"/>
      <c r="G110" s="274"/>
      <c r="H110" s="110"/>
      <c r="I110" s="110"/>
      <c r="J110" s="237" t="b">
        <f>Age_Sex_PY[[#This Row],[Total Spending After Applying Truncation at the Member Level]]+Age_Sex_PY[[#This Row],[Total Dollars Excluded from Spending After Applying Truncation at the Member Level]]=Age_Sex_PY[[#This Row],[Total Spending before Truncation is Applied]]</f>
        <v>1</v>
      </c>
    </row>
    <row r="111" spans="1:10" x14ac:dyDescent="0.25">
      <c r="A111" s="101"/>
      <c r="B111" s="104"/>
      <c r="C111" s="105"/>
      <c r="D111" s="273"/>
      <c r="E111" s="182"/>
      <c r="F111" s="110"/>
      <c r="G111" s="274"/>
      <c r="H111" s="110"/>
      <c r="I111" s="110"/>
      <c r="J111" s="237" t="b">
        <f>Age_Sex_PY[[#This Row],[Total Spending After Applying Truncation at the Member Level]]+Age_Sex_PY[[#This Row],[Total Dollars Excluded from Spending After Applying Truncation at the Member Level]]=Age_Sex_PY[[#This Row],[Total Spending before Truncation is Applied]]</f>
        <v>1</v>
      </c>
    </row>
    <row r="112" spans="1:10" x14ac:dyDescent="0.25">
      <c r="A112" s="101"/>
      <c r="B112" s="104"/>
      <c r="C112" s="105"/>
      <c r="D112" s="273"/>
      <c r="E112" s="182"/>
      <c r="F112" s="110"/>
      <c r="G112" s="274"/>
      <c r="H112" s="110"/>
      <c r="I112" s="110"/>
      <c r="J112" s="237" t="b">
        <f>Age_Sex_PY[[#This Row],[Total Spending After Applying Truncation at the Member Level]]+Age_Sex_PY[[#This Row],[Total Dollars Excluded from Spending After Applying Truncation at the Member Level]]=Age_Sex_PY[[#This Row],[Total Spending before Truncation is Applied]]</f>
        <v>1</v>
      </c>
    </row>
    <row r="113" spans="1:10" x14ac:dyDescent="0.25">
      <c r="A113" s="101"/>
      <c r="B113" s="104"/>
      <c r="C113" s="105"/>
      <c r="D113" s="273"/>
      <c r="E113" s="182"/>
      <c r="F113" s="110"/>
      <c r="G113" s="274"/>
      <c r="H113" s="110"/>
      <c r="I113" s="110"/>
      <c r="J113" s="237" t="b">
        <f>Age_Sex_PY[[#This Row],[Total Spending After Applying Truncation at the Member Level]]+Age_Sex_PY[[#This Row],[Total Dollars Excluded from Spending After Applying Truncation at the Member Level]]=Age_Sex_PY[[#This Row],[Total Spending before Truncation is Applied]]</f>
        <v>1</v>
      </c>
    </row>
    <row r="114" spans="1:10" x14ac:dyDescent="0.25">
      <c r="A114" s="101"/>
      <c r="B114" s="104"/>
      <c r="C114" s="105"/>
      <c r="D114" s="273"/>
      <c r="E114" s="182"/>
      <c r="F114" s="110"/>
      <c r="G114" s="274"/>
      <c r="H114" s="110"/>
      <c r="I114" s="110"/>
      <c r="J114" s="237" t="b">
        <f>Age_Sex_PY[[#This Row],[Total Spending After Applying Truncation at the Member Level]]+Age_Sex_PY[[#This Row],[Total Dollars Excluded from Spending After Applying Truncation at the Member Level]]=Age_Sex_PY[[#This Row],[Total Spending before Truncation is Applied]]</f>
        <v>1</v>
      </c>
    </row>
    <row r="115" spans="1:10" x14ac:dyDescent="0.25">
      <c r="A115" s="101"/>
      <c r="B115" s="104"/>
      <c r="C115" s="105"/>
      <c r="D115" s="273"/>
      <c r="E115" s="182"/>
      <c r="F115" s="110"/>
      <c r="G115" s="274"/>
      <c r="H115" s="110"/>
      <c r="I115" s="110"/>
      <c r="J115" s="237" t="b">
        <f>Age_Sex_PY[[#This Row],[Total Spending After Applying Truncation at the Member Level]]+Age_Sex_PY[[#This Row],[Total Dollars Excluded from Spending After Applying Truncation at the Member Level]]=Age_Sex_PY[[#This Row],[Total Spending before Truncation is Applied]]</f>
        <v>1</v>
      </c>
    </row>
    <row r="116" spans="1:10" x14ac:dyDescent="0.25">
      <c r="A116" s="101"/>
      <c r="B116" s="104"/>
      <c r="C116" s="105"/>
      <c r="D116" s="273"/>
      <c r="E116" s="182"/>
      <c r="F116" s="110"/>
      <c r="G116" s="274"/>
      <c r="H116" s="110"/>
      <c r="I116" s="110"/>
      <c r="J116" s="237" t="b">
        <f>Age_Sex_PY[[#This Row],[Total Spending After Applying Truncation at the Member Level]]+Age_Sex_PY[[#This Row],[Total Dollars Excluded from Spending After Applying Truncation at the Member Level]]=Age_Sex_PY[[#This Row],[Total Spending before Truncation is Applied]]</f>
        <v>1</v>
      </c>
    </row>
    <row r="117" spans="1:10" x14ac:dyDescent="0.25">
      <c r="A117" s="101"/>
      <c r="B117" s="104"/>
      <c r="C117" s="105"/>
      <c r="D117" s="273"/>
      <c r="E117" s="182"/>
      <c r="F117" s="110"/>
      <c r="G117" s="274"/>
      <c r="H117" s="110"/>
      <c r="I117" s="110"/>
      <c r="J117" s="237" t="b">
        <f>Age_Sex_PY[[#This Row],[Total Spending After Applying Truncation at the Member Level]]+Age_Sex_PY[[#This Row],[Total Dollars Excluded from Spending After Applying Truncation at the Member Level]]=Age_Sex_PY[[#This Row],[Total Spending before Truncation is Applied]]</f>
        <v>1</v>
      </c>
    </row>
    <row r="118" spans="1:10" x14ac:dyDescent="0.25">
      <c r="A118" s="101"/>
      <c r="B118" s="104"/>
      <c r="C118" s="105"/>
      <c r="D118" s="273"/>
      <c r="E118" s="182"/>
      <c r="F118" s="110"/>
      <c r="G118" s="274"/>
      <c r="H118" s="110"/>
      <c r="I118" s="110"/>
      <c r="J118" s="237" t="b">
        <f>Age_Sex_PY[[#This Row],[Total Spending After Applying Truncation at the Member Level]]+Age_Sex_PY[[#This Row],[Total Dollars Excluded from Spending After Applying Truncation at the Member Level]]=Age_Sex_PY[[#This Row],[Total Spending before Truncation is Applied]]</f>
        <v>1</v>
      </c>
    </row>
    <row r="119" spans="1:10" x14ac:dyDescent="0.25">
      <c r="A119" s="101"/>
      <c r="B119" s="104"/>
      <c r="C119" s="105"/>
      <c r="D119" s="273"/>
      <c r="E119" s="182"/>
      <c r="F119" s="110"/>
      <c r="G119" s="274"/>
      <c r="H119" s="110"/>
      <c r="I119" s="110"/>
      <c r="J119" s="237" t="b">
        <f>Age_Sex_PY[[#This Row],[Total Spending After Applying Truncation at the Member Level]]+Age_Sex_PY[[#This Row],[Total Dollars Excluded from Spending After Applying Truncation at the Member Level]]=Age_Sex_PY[[#This Row],[Total Spending before Truncation is Applied]]</f>
        <v>1</v>
      </c>
    </row>
    <row r="120" spans="1:10" x14ac:dyDescent="0.25">
      <c r="A120" s="101"/>
      <c r="B120" s="104"/>
      <c r="C120" s="105"/>
      <c r="D120" s="273"/>
      <c r="E120" s="182"/>
      <c r="F120" s="110"/>
      <c r="G120" s="274"/>
      <c r="H120" s="110"/>
      <c r="I120" s="110"/>
      <c r="J120" s="237" t="b">
        <f>Age_Sex_PY[[#This Row],[Total Spending After Applying Truncation at the Member Level]]+Age_Sex_PY[[#This Row],[Total Dollars Excluded from Spending After Applying Truncation at the Member Level]]=Age_Sex_PY[[#This Row],[Total Spending before Truncation is Applied]]</f>
        <v>1</v>
      </c>
    </row>
    <row r="121" spans="1:10" x14ac:dyDescent="0.25">
      <c r="A121" s="101"/>
      <c r="B121" s="104"/>
      <c r="C121" s="105"/>
      <c r="D121" s="273"/>
      <c r="E121" s="182"/>
      <c r="F121" s="110"/>
      <c r="G121" s="274"/>
      <c r="H121" s="110"/>
      <c r="I121" s="110"/>
      <c r="J121" s="237" t="b">
        <f>Age_Sex_PY[[#This Row],[Total Spending After Applying Truncation at the Member Level]]+Age_Sex_PY[[#This Row],[Total Dollars Excluded from Spending After Applying Truncation at the Member Level]]=Age_Sex_PY[[#This Row],[Total Spending before Truncation is Applied]]</f>
        <v>1</v>
      </c>
    </row>
    <row r="122" spans="1:10" x14ac:dyDescent="0.25">
      <c r="A122" s="101"/>
      <c r="B122" s="104"/>
      <c r="C122" s="105"/>
      <c r="D122" s="273"/>
      <c r="E122" s="182"/>
      <c r="F122" s="110"/>
      <c r="G122" s="274"/>
      <c r="H122" s="110"/>
      <c r="I122" s="110"/>
      <c r="J122" s="237" t="b">
        <f>Age_Sex_PY[[#This Row],[Total Spending After Applying Truncation at the Member Level]]+Age_Sex_PY[[#This Row],[Total Dollars Excluded from Spending After Applying Truncation at the Member Level]]=Age_Sex_PY[[#This Row],[Total Spending before Truncation is Applied]]</f>
        <v>1</v>
      </c>
    </row>
    <row r="123" spans="1:10" x14ac:dyDescent="0.25">
      <c r="A123" s="101"/>
      <c r="B123" s="104"/>
      <c r="C123" s="105"/>
      <c r="D123" s="273"/>
      <c r="E123" s="182"/>
      <c r="F123" s="110"/>
      <c r="G123" s="274"/>
      <c r="H123" s="110"/>
      <c r="I123" s="110"/>
      <c r="J123" s="237" t="b">
        <f>Age_Sex_PY[[#This Row],[Total Spending After Applying Truncation at the Member Level]]+Age_Sex_PY[[#This Row],[Total Dollars Excluded from Spending After Applying Truncation at the Member Level]]=Age_Sex_PY[[#This Row],[Total Spending before Truncation is Applied]]</f>
        <v>1</v>
      </c>
    </row>
    <row r="124" spans="1:10" x14ac:dyDescent="0.25">
      <c r="A124" s="101"/>
      <c r="B124" s="104"/>
      <c r="C124" s="105"/>
      <c r="D124" s="273"/>
      <c r="E124" s="182"/>
      <c r="F124" s="110"/>
      <c r="G124" s="274"/>
      <c r="H124" s="110"/>
      <c r="I124" s="110"/>
      <c r="J124" s="237" t="b">
        <f>Age_Sex_PY[[#This Row],[Total Spending After Applying Truncation at the Member Level]]+Age_Sex_PY[[#This Row],[Total Dollars Excluded from Spending After Applying Truncation at the Member Level]]=Age_Sex_PY[[#This Row],[Total Spending before Truncation is Applied]]</f>
        <v>1</v>
      </c>
    </row>
    <row r="125" spans="1:10" x14ac:dyDescent="0.25">
      <c r="A125" s="101"/>
      <c r="B125" s="104"/>
      <c r="C125" s="105"/>
      <c r="D125" s="273"/>
      <c r="E125" s="182"/>
      <c r="F125" s="110"/>
      <c r="G125" s="274"/>
      <c r="H125" s="110"/>
      <c r="I125" s="110"/>
      <c r="J125" s="237" t="b">
        <f>Age_Sex_PY[[#This Row],[Total Spending After Applying Truncation at the Member Level]]+Age_Sex_PY[[#This Row],[Total Dollars Excluded from Spending After Applying Truncation at the Member Level]]=Age_Sex_PY[[#This Row],[Total Spending before Truncation is Applied]]</f>
        <v>1</v>
      </c>
    </row>
    <row r="126" spans="1:10" x14ac:dyDescent="0.25">
      <c r="A126" s="101"/>
      <c r="B126" s="104"/>
      <c r="C126" s="105"/>
      <c r="D126" s="273"/>
      <c r="E126" s="182"/>
      <c r="F126" s="110"/>
      <c r="G126" s="274"/>
      <c r="H126" s="110"/>
      <c r="I126" s="110"/>
      <c r="J126" s="237" t="b">
        <f>Age_Sex_PY[[#This Row],[Total Spending After Applying Truncation at the Member Level]]+Age_Sex_PY[[#This Row],[Total Dollars Excluded from Spending After Applying Truncation at the Member Level]]=Age_Sex_PY[[#This Row],[Total Spending before Truncation is Applied]]</f>
        <v>1</v>
      </c>
    </row>
    <row r="127" spans="1:10" x14ac:dyDescent="0.25">
      <c r="A127" s="101"/>
      <c r="B127" s="104"/>
      <c r="C127" s="105"/>
      <c r="D127" s="273"/>
      <c r="E127" s="182"/>
      <c r="F127" s="110"/>
      <c r="G127" s="274"/>
      <c r="H127" s="110"/>
      <c r="I127" s="110"/>
      <c r="J127" s="237" t="b">
        <f>Age_Sex_PY[[#This Row],[Total Spending After Applying Truncation at the Member Level]]+Age_Sex_PY[[#This Row],[Total Dollars Excluded from Spending After Applying Truncation at the Member Level]]=Age_Sex_PY[[#This Row],[Total Spending before Truncation is Applied]]</f>
        <v>1</v>
      </c>
    </row>
    <row r="128" spans="1:10" x14ac:dyDescent="0.25">
      <c r="A128" s="101"/>
      <c r="B128" s="104"/>
      <c r="C128" s="105"/>
      <c r="D128" s="273"/>
      <c r="E128" s="182"/>
      <c r="F128" s="110"/>
      <c r="G128" s="274"/>
      <c r="H128" s="110"/>
      <c r="I128" s="110"/>
      <c r="J128" s="237" t="b">
        <f>Age_Sex_PY[[#This Row],[Total Spending After Applying Truncation at the Member Level]]+Age_Sex_PY[[#This Row],[Total Dollars Excluded from Spending After Applying Truncation at the Member Level]]=Age_Sex_PY[[#This Row],[Total Spending before Truncation is Applied]]</f>
        <v>1</v>
      </c>
    </row>
    <row r="129" spans="1:10" x14ac:dyDescent="0.25">
      <c r="A129" s="101"/>
      <c r="B129" s="104"/>
      <c r="C129" s="105"/>
      <c r="D129" s="273"/>
      <c r="E129" s="182"/>
      <c r="F129" s="110"/>
      <c r="G129" s="274"/>
      <c r="H129" s="110"/>
      <c r="I129" s="110"/>
      <c r="J129" s="237" t="b">
        <f>Age_Sex_PY[[#This Row],[Total Spending After Applying Truncation at the Member Level]]+Age_Sex_PY[[#This Row],[Total Dollars Excluded from Spending After Applying Truncation at the Member Level]]=Age_Sex_PY[[#This Row],[Total Spending before Truncation is Applied]]</f>
        <v>1</v>
      </c>
    </row>
    <row r="130" spans="1:10" x14ac:dyDescent="0.25">
      <c r="A130" s="101"/>
      <c r="B130" s="104"/>
      <c r="C130" s="105"/>
      <c r="D130" s="273"/>
      <c r="E130" s="182"/>
      <c r="F130" s="110"/>
      <c r="G130" s="274"/>
      <c r="H130" s="110"/>
      <c r="I130" s="110"/>
      <c r="J130" s="237" t="b">
        <f>Age_Sex_PY[[#This Row],[Total Spending After Applying Truncation at the Member Level]]+Age_Sex_PY[[#This Row],[Total Dollars Excluded from Spending After Applying Truncation at the Member Level]]=Age_Sex_PY[[#This Row],[Total Spending before Truncation is Applied]]</f>
        <v>1</v>
      </c>
    </row>
    <row r="131" spans="1:10" x14ac:dyDescent="0.25">
      <c r="A131" s="101"/>
      <c r="B131" s="104"/>
      <c r="C131" s="105"/>
      <c r="D131" s="273"/>
      <c r="E131" s="182"/>
      <c r="F131" s="110"/>
      <c r="G131" s="274"/>
      <c r="H131" s="110"/>
      <c r="I131" s="110"/>
      <c r="J131" s="237" t="b">
        <f>Age_Sex_PY[[#This Row],[Total Spending After Applying Truncation at the Member Level]]+Age_Sex_PY[[#This Row],[Total Dollars Excluded from Spending After Applying Truncation at the Member Level]]=Age_Sex_PY[[#This Row],[Total Spending before Truncation is Applied]]</f>
        <v>1</v>
      </c>
    </row>
    <row r="132" spans="1:10" x14ac:dyDescent="0.25">
      <c r="A132" s="101"/>
      <c r="B132" s="104"/>
      <c r="C132" s="105"/>
      <c r="D132" s="273"/>
      <c r="E132" s="182"/>
      <c r="F132" s="110"/>
      <c r="G132" s="274"/>
      <c r="H132" s="110"/>
      <c r="I132" s="110"/>
      <c r="J132" s="237" t="b">
        <f>Age_Sex_PY[[#This Row],[Total Spending After Applying Truncation at the Member Level]]+Age_Sex_PY[[#This Row],[Total Dollars Excluded from Spending After Applying Truncation at the Member Level]]=Age_Sex_PY[[#This Row],[Total Spending before Truncation is Applied]]</f>
        <v>1</v>
      </c>
    </row>
    <row r="133" spans="1:10" x14ac:dyDescent="0.25">
      <c r="A133" s="101"/>
      <c r="B133" s="104"/>
      <c r="C133" s="105"/>
      <c r="D133" s="273"/>
      <c r="E133" s="182"/>
      <c r="F133" s="110"/>
      <c r="G133" s="274"/>
      <c r="H133" s="110"/>
      <c r="I133" s="110"/>
      <c r="J133" s="237" t="b">
        <f>Age_Sex_PY[[#This Row],[Total Spending After Applying Truncation at the Member Level]]+Age_Sex_PY[[#This Row],[Total Dollars Excluded from Spending After Applying Truncation at the Member Level]]=Age_Sex_PY[[#This Row],[Total Spending before Truncation is Applied]]</f>
        <v>1</v>
      </c>
    </row>
    <row r="134" spans="1:10" x14ac:dyDescent="0.25">
      <c r="A134" s="101"/>
      <c r="B134" s="104"/>
      <c r="C134" s="105"/>
      <c r="D134" s="273"/>
      <c r="E134" s="182"/>
      <c r="F134" s="110"/>
      <c r="G134" s="274"/>
      <c r="H134" s="110"/>
      <c r="I134" s="110"/>
      <c r="J134" s="237" t="b">
        <f>Age_Sex_PY[[#This Row],[Total Spending After Applying Truncation at the Member Level]]+Age_Sex_PY[[#This Row],[Total Dollars Excluded from Spending After Applying Truncation at the Member Level]]=Age_Sex_PY[[#This Row],[Total Spending before Truncation is Applied]]</f>
        <v>1</v>
      </c>
    </row>
    <row r="135" spans="1:10" x14ac:dyDescent="0.25">
      <c r="A135" s="101"/>
      <c r="B135" s="104"/>
      <c r="C135" s="105"/>
      <c r="D135" s="273"/>
      <c r="E135" s="182"/>
      <c r="F135" s="110"/>
      <c r="G135" s="274"/>
      <c r="H135" s="110"/>
      <c r="I135" s="110"/>
      <c r="J135" s="237" t="b">
        <f>Age_Sex_PY[[#This Row],[Total Spending After Applying Truncation at the Member Level]]+Age_Sex_PY[[#This Row],[Total Dollars Excluded from Spending After Applying Truncation at the Member Level]]=Age_Sex_PY[[#This Row],[Total Spending before Truncation is Applied]]</f>
        <v>1</v>
      </c>
    </row>
    <row r="136" spans="1:10" x14ac:dyDescent="0.25">
      <c r="A136" s="101"/>
      <c r="B136" s="104"/>
      <c r="C136" s="105"/>
      <c r="D136" s="273"/>
      <c r="E136" s="182"/>
      <c r="F136" s="110"/>
      <c r="G136" s="274"/>
      <c r="H136" s="110"/>
      <c r="I136" s="110"/>
      <c r="J136" s="237" t="b">
        <f>Age_Sex_PY[[#This Row],[Total Spending After Applying Truncation at the Member Level]]+Age_Sex_PY[[#This Row],[Total Dollars Excluded from Spending After Applying Truncation at the Member Level]]=Age_Sex_PY[[#This Row],[Total Spending before Truncation is Applied]]</f>
        <v>1</v>
      </c>
    </row>
    <row r="137" spans="1:10" x14ac:dyDescent="0.25">
      <c r="A137" s="101"/>
      <c r="B137" s="104"/>
      <c r="C137" s="105"/>
      <c r="D137" s="273"/>
      <c r="E137" s="182"/>
      <c r="F137" s="110"/>
      <c r="G137" s="274"/>
      <c r="H137" s="110"/>
      <c r="I137" s="110"/>
      <c r="J137" s="237" t="b">
        <f>Age_Sex_PY[[#This Row],[Total Spending After Applying Truncation at the Member Level]]+Age_Sex_PY[[#This Row],[Total Dollars Excluded from Spending After Applying Truncation at the Member Level]]=Age_Sex_PY[[#This Row],[Total Spending before Truncation is Applied]]</f>
        <v>1</v>
      </c>
    </row>
    <row r="138" spans="1:10" x14ac:dyDescent="0.25">
      <c r="A138" s="101"/>
      <c r="B138" s="104"/>
      <c r="C138" s="105"/>
      <c r="D138" s="273"/>
      <c r="E138" s="182"/>
      <c r="F138" s="110"/>
      <c r="G138" s="274"/>
      <c r="H138" s="110"/>
      <c r="I138" s="110"/>
      <c r="J138" s="237" t="b">
        <f>Age_Sex_PY[[#This Row],[Total Spending After Applying Truncation at the Member Level]]+Age_Sex_PY[[#This Row],[Total Dollars Excluded from Spending After Applying Truncation at the Member Level]]=Age_Sex_PY[[#This Row],[Total Spending before Truncation is Applied]]</f>
        <v>1</v>
      </c>
    </row>
    <row r="139" spans="1:10" x14ac:dyDescent="0.25">
      <c r="A139" s="101"/>
      <c r="B139" s="104"/>
      <c r="C139" s="105"/>
      <c r="D139" s="273"/>
      <c r="E139" s="182"/>
      <c r="F139" s="110"/>
      <c r="G139" s="274"/>
      <c r="H139" s="110"/>
      <c r="I139" s="110"/>
      <c r="J139" s="237" t="b">
        <f>Age_Sex_PY[[#This Row],[Total Spending After Applying Truncation at the Member Level]]+Age_Sex_PY[[#This Row],[Total Dollars Excluded from Spending After Applying Truncation at the Member Level]]=Age_Sex_PY[[#This Row],[Total Spending before Truncation is Applied]]</f>
        <v>1</v>
      </c>
    </row>
    <row r="140" spans="1:10" x14ac:dyDescent="0.25">
      <c r="A140" s="101"/>
      <c r="B140" s="104"/>
      <c r="C140" s="105"/>
      <c r="D140" s="273"/>
      <c r="E140" s="182"/>
      <c r="F140" s="110"/>
      <c r="G140" s="274"/>
      <c r="H140" s="110"/>
      <c r="I140" s="110"/>
      <c r="J140" s="237" t="b">
        <f>Age_Sex_PY[[#This Row],[Total Spending After Applying Truncation at the Member Level]]+Age_Sex_PY[[#This Row],[Total Dollars Excluded from Spending After Applying Truncation at the Member Level]]=Age_Sex_PY[[#This Row],[Total Spending before Truncation is Applied]]</f>
        <v>1</v>
      </c>
    </row>
    <row r="141" spans="1:10" x14ac:dyDescent="0.25">
      <c r="A141" s="101"/>
      <c r="B141" s="104"/>
      <c r="C141" s="105"/>
      <c r="D141" s="273"/>
      <c r="E141" s="182"/>
      <c r="F141" s="110"/>
      <c r="G141" s="274"/>
      <c r="H141" s="110"/>
      <c r="I141" s="110"/>
      <c r="J141" s="237" t="b">
        <f>Age_Sex_PY[[#This Row],[Total Spending After Applying Truncation at the Member Level]]+Age_Sex_PY[[#This Row],[Total Dollars Excluded from Spending After Applying Truncation at the Member Level]]=Age_Sex_PY[[#This Row],[Total Spending before Truncation is Applied]]</f>
        <v>1</v>
      </c>
    </row>
    <row r="142" spans="1:10" x14ac:dyDescent="0.25">
      <c r="A142" s="101"/>
      <c r="B142" s="104"/>
      <c r="C142" s="105"/>
      <c r="D142" s="273"/>
      <c r="E142" s="182"/>
      <c r="F142" s="110"/>
      <c r="G142" s="274"/>
      <c r="H142" s="110"/>
      <c r="I142" s="110"/>
      <c r="J142" s="237" t="b">
        <f>Age_Sex_PY[[#This Row],[Total Spending After Applying Truncation at the Member Level]]+Age_Sex_PY[[#This Row],[Total Dollars Excluded from Spending After Applying Truncation at the Member Level]]=Age_Sex_PY[[#This Row],[Total Spending before Truncation is Applied]]</f>
        <v>1</v>
      </c>
    </row>
    <row r="143" spans="1:10" x14ac:dyDescent="0.25">
      <c r="A143" s="101"/>
      <c r="B143" s="104"/>
      <c r="C143" s="105"/>
      <c r="D143" s="273"/>
      <c r="E143" s="182"/>
      <c r="F143" s="110"/>
      <c r="G143" s="274"/>
      <c r="H143" s="110"/>
      <c r="I143" s="110"/>
      <c r="J143" s="237" t="b">
        <f>Age_Sex_PY[[#This Row],[Total Spending After Applying Truncation at the Member Level]]+Age_Sex_PY[[#This Row],[Total Dollars Excluded from Spending After Applying Truncation at the Member Level]]=Age_Sex_PY[[#This Row],[Total Spending before Truncation is Applied]]</f>
        <v>1</v>
      </c>
    </row>
    <row r="144" spans="1:10" x14ac:dyDescent="0.25">
      <c r="A144" s="101"/>
      <c r="B144" s="104"/>
      <c r="C144" s="105"/>
      <c r="D144" s="273"/>
      <c r="E144" s="182"/>
      <c r="F144" s="110"/>
      <c r="G144" s="274"/>
      <c r="H144" s="110"/>
      <c r="I144" s="110"/>
      <c r="J144" s="237" t="b">
        <f>Age_Sex_PY[[#This Row],[Total Spending After Applying Truncation at the Member Level]]+Age_Sex_PY[[#This Row],[Total Dollars Excluded from Spending After Applying Truncation at the Member Level]]=Age_Sex_PY[[#This Row],[Total Spending before Truncation is Applied]]</f>
        <v>1</v>
      </c>
    </row>
    <row r="145" spans="1:10" x14ac:dyDescent="0.25">
      <c r="A145" s="101"/>
      <c r="B145" s="104"/>
      <c r="C145" s="105"/>
      <c r="D145" s="273"/>
      <c r="E145" s="182"/>
      <c r="F145" s="110"/>
      <c r="G145" s="274"/>
      <c r="H145" s="110"/>
      <c r="I145" s="110"/>
      <c r="J145" s="237" t="b">
        <f>Age_Sex_PY[[#This Row],[Total Spending After Applying Truncation at the Member Level]]+Age_Sex_PY[[#This Row],[Total Dollars Excluded from Spending After Applying Truncation at the Member Level]]=Age_Sex_PY[[#This Row],[Total Spending before Truncation is Applied]]</f>
        <v>1</v>
      </c>
    </row>
    <row r="146" spans="1:10" x14ac:dyDescent="0.25">
      <c r="A146" s="101"/>
      <c r="B146" s="104"/>
      <c r="C146" s="105"/>
      <c r="D146" s="273"/>
      <c r="E146" s="182"/>
      <c r="F146" s="110"/>
      <c r="G146" s="274"/>
      <c r="H146" s="110"/>
      <c r="I146" s="110"/>
      <c r="J146" s="237" t="b">
        <f>Age_Sex_PY[[#This Row],[Total Spending After Applying Truncation at the Member Level]]+Age_Sex_PY[[#This Row],[Total Dollars Excluded from Spending After Applying Truncation at the Member Level]]=Age_Sex_PY[[#This Row],[Total Spending before Truncation is Applied]]</f>
        <v>1</v>
      </c>
    </row>
    <row r="147" spans="1:10" x14ac:dyDescent="0.25">
      <c r="A147" s="101"/>
      <c r="B147" s="104"/>
      <c r="C147" s="105"/>
      <c r="D147" s="273"/>
      <c r="E147" s="182"/>
      <c r="F147" s="110"/>
      <c r="G147" s="274"/>
      <c r="H147" s="110"/>
      <c r="I147" s="110"/>
      <c r="J147" s="237" t="b">
        <f>Age_Sex_PY[[#This Row],[Total Spending After Applying Truncation at the Member Level]]+Age_Sex_PY[[#This Row],[Total Dollars Excluded from Spending After Applying Truncation at the Member Level]]=Age_Sex_PY[[#This Row],[Total Spending before Truncation is Applied]]</f>
        <v>1</v>
      </c>
    </row>
    <row r="148" spans="1:10" x14ac:dyDescent="0.25">
      <c r="A148" s="101"/>
      <c r="B148" s="104"/>
      <c r="C148" s="105"/>
      <c r="D148" s="273"/>
      <c r="E148" s="182"/>
      <c r="F148" s="110"/>
      <c r="G148" s="274"/>
      <c r="H148" s="110"/>
      <c r="I148" s="110"/>
      <c r="J148" s="237" t="b">
        <f>Age_Sex_PY[[#This Row],[Total Spending After Applying Truncation at the Member Level]]+Age_Sex_PY[[#This Row],[Total Dollars Excluded from Spending After Applying Truncation at the Member Level]]=Age_Sex_PY[[#This Row],[Total Spending before Truncation is Applied]]</f>
        <v>1</v>
      </c>
    </row>
    <row r="149" spans="1:10" x14ac:dyDescent="0.25">
      <c r="A149" s="101"/>
      <c r="B149" s="104"/>
      <c r="C149" s="105"/>
      <c r="D149" s="273"/>
      <c r="E149" s="182"/>
      <c r="F149" s="110"/>
      <c r="G149" s="274"/>
      <c r="H149" s="110"/>
      <c r="I149" s="110"/>
      <c r="J149" s="237" t="b">
        <f>Age_Sex_PY[[#This Row],[Total Spending After Applying Truncation at the Member Level]]+Age_Sex_PY[[#This Row],[Total Dollars Excluded from Spending After Applying Truncation at the Member Level]]=Age_Sex_PY[[#This Row],[Total Spending before Truncation is Applied]]</f>
        <v>1</v>
      </c>
    </row>
    <row r="150" spans="1:10" x14ac:dyDescent="0.25">
      <c r="A150" s="101"/>
      <c r="B150" s="104"/>
      <c r="C150" s="105"/>
      <c r="D150" s="273"/>
      <c r="E150" s="182"/>
      <c r="F150" s="110"/>
      <c r="G150" s="274"/>
      <c r="H150" s="110"/>
      <c r="I150" s="110"/>
      <c r="J150" s="237" t="b">
        <f>Age_Sex_PY[[#This Row],[Total Spending After Applying Truncation at the Member Level]]+Age_Sex_PY[[#This Row],[Total Dollars Excluded from Spending After Applying Truncation at the Member Level]]=Age_Sex_PY[[#This Row],[Total Spending before Truncation is Applied]]</f>
        <v>1</v>
      </c>
    </row>
    <row r="151" spans="1:10" x14ac:dyDescent="0.25">
      <c r="A151" s="101"/>
      <c r="B151" s="104"/>
      <c r="C151" s="105"/>
      <c r="D151" s="273"/>
      <c r="E151" s="182"/>
      <c r="F151" s="110"/>
      <c r="G151" s="274"/>
      <c r="H151" s="110"/>
      <c r="I151" s="110"/>
      <c r="J151" s="237" t="b">
        <f>Age_Sex_PY[[#This Row],[Total Spending After Applying Truncation at the Member Level]]+Age_Sex_PY[[#This Row],[Total Dollars Excluded from Spending After Applying Truncation at the Member Level]]=Age_Sex_PY[[#This Row],[Total Spending before Truncation is Applied]]</f>
        <v>1</v>
      </c>
    </row>
    <row r="152" spans="1:10" x14ac:dyDescent="0.25">
      <c r="A152" s="101"/>
      <c r="B152" s="104"/>
      <c r="C152" s="105"/>
      <c r="D152" s="273"/>
      <c r="E152" s="182"/>
      <c r="F152" s="110"/>
      <c r="G152" s="274"/>
      <c r="H152" s="110"/>
      <c r="I152" s="110"/>
      <c r="J152" s="237" t="b">
        <f>Age_Sex_PY[[#This Row],[Total Spending After Applying Truncation at the Member Level]]+Age_Sex_PY[[#This Row],[Total Dollars Excluded from Spending After Applying Truncation at the Member Level]]=Age_Sex_PY[[#This Row],[Total Spending before Truncation is Applied]]</f>
        <v>1</v>
      </c>
    </row>
    <row r="153" spans="1:10" x14ac:dyDescent="0.25">
      <c r="A153" s="101"/>
      <c r="B153" s="104"/>
      <c r="C153" s="105"/>
      <c r="D153" s="273"/>
      <c r="E153" s="182"/>
      <c r="F153" s="110"/>
      <c r="G153" s="274"/>
      <c r="H153" s="110"/>
      <c r="I153" s="110"/>
      <c r="J153" s="237" t="b">
        <f>Age_Sex_PY[[#This Row],[Total Spending After Applying Truncation at the Member Level]]+Age_Sex_PY[[#This Row],[Total Dollars Excluded from Spending After Applying Truncation at the Member Level]]=Age_Sex_PY[[#This Row],[Total Spending before Truncation is Applied]]</f>
        <v>1</v>
      </c>
    </row>
    <row r="154" spans="1:10" x14ac:dyDescent="0.25">
      <c r="A154" s="101"/>
      <c r="B154" s="104"/>
      <c r="C154" s="105"/>
      <c r="D154" s="273"/>
      <c r="E154" s="182"/>
      <c r="F154" s="110"/>
      <c r="G154" s="274"/>
      <c r="H154" s="110"/>
      <c r="I154" s="110"/>
      <c r="J154" s="237" t="b">
        <f>Age_Sex_PY[[#This Row],[Total Spending After Applying Truncation at the Member Level]]+Age_Sex_PY[[#This Row],[Total Dollars Excluded from Spending After Applying Truncation at the Member Level]]=Age_Sex_PY[[#This Row],[Total Spending before Truncation is Applied]]</f>
        <v>1</v>
      </c>
    </row>
    <row r="155" spans="1:10" x14ac:dyDescent="0.25">
      <c r="A155" s="101"/>
      <c r="B155" s="104"/>
      <c r="C155" s="105"/>
      <c r="D155" s="273"/>
      <c r="E155" s="182"/>
      <c r="F155" s="110"/>
      <c r="G155" s="274"/>
      <c r="H155" s="110"/>
      <c r="I155" s="110"/>
      <c r="J155" s="237" t="b">
        <f>Age_Sex_PY[[#This Row],[Total Spending After Applying Truncation at the Member Level]]+Age_Sex_PY[[#This Row],[Total Dollars Excluded from Spending After Applying Truncation at the Member Level]]=Age_Sex_PY[[#This Row],[Total Spending before Truncation is Applied]]</f>
        <v>1</v>
      </c>
    </row>
    <row r="156" spans="1:10" x14ac:dyDescent="0.25">
      <c r="A156" s="101"/>
      <c r="B156" s="104"/>
      <c r="C156" s="105"/>
      <c r="D156" s="273"/>
      <c r="E156" s="182"/>
      <c r="F156" s="110"/>
      <c r="G156" s="274"/>
      <c r="H156" s="110"/>
      <c r="I156" s="110"/>
      <c r="J156" s="237" t="b">
        <f>Age_Sex_PY[[#This Row],[Total Spending After Applying Truncation at the Member Level]]+Age_Sex_PY[[#This Row],[Total Dollars Excluded from Spending After Applying Truncation at the Member Level]]=Age_Sex_PY[[#This Row],[Total Spending before Truncation is Applied]]</f>
        <v>1</v>
      </c>
    </row>
    <row r="157" spans="1:10" x14ac:dyDescent="0.25">
      <c r="A157" s="101"/>
      <c r="B157" s="104"/>
      <c r="C157" s="105"/>
      <c r="D157" s="273"/>
      <c r="E157" s="182"/>
      <c r="F157" s="110"/>
      <c r="G157" s="274"/>
      <c r="H157" s="110"/>
      <c r="I157" s="110"/>
      <c r="J157" s="237" t="b">
        <f>Age_Sex_PY[[#This Row],[Total Spending After Applying Truncation at the Member Level]]+Age_Sex_PY[[#This Row],[Total Dollars Excluded from Spending After Applying Truncation at the Member Level]]=Age_Sex_PY[[#This Row],[Total Spending before Truncation is Applied]]</f>
        <v>1</v>
      </c>
    </row>
    <row r="158" spans="1:10" x14ac:dyDescent="0.25">
      <c r="A158" s="101"/>
      <c r="B158" s="104"/>
      <c r="C158" s="105"/>
      <c r="D158" s="273"/>
      <c r="E158" s="182"/>
      <c r="F158" s="110"/>
      <c r="G158" s="274"/>
      <c r="H158" s="110"/>
      <c r="I158" s="110"/>
      <c r="J158" s="237" t="b">
        <f>Age_Sex_PY[[#This Row],[Total Spending After Applying Truncation at the Member Level]]+Age_Sex_PY[[#This Row],[Total Dollars Excluded from Spending After Applying Truncation at the Member Level]]=Age_Sex_PY[[#This Row],[Total Spending before Truncation is Applied]]</f>
        <v>1</v>
      </c>
    </row>
    <row r="159" spans="1:10" x14ac:dyDescent="0.25">
      <c r="A159" s="101"/>
      <c r="B159" s="104"/>
      <c r="C159" s="105"/>
      <c r="D159" s="273"/>
      <c r="E159" s="182"/>
      <c r="F159" s="110"/>
      <c r="G159" s="274"/>
      <c r="H159" s="110"/>
      <c r="I159" s="110"/>
      <c r="J159" s="237" t="b">
        <f>Age_Sex_PY[[#This Row],[Total Spending After Applying Truncation at the Member Level]]+Age_Sex_PY[[#This Row],[Total Dollars Excluded from Spending After Applying Truncation at the Member Level]]=Age_Sex_PY[[#This Row],[Total Spending before Truncation is Applied]]</f>
        <v>1</v>
      </c>
    </row>
    <row r="160" spans="1:10" x14ac:dyDescent="0.25">
      <c r="A160" s="101"/>
      <c r="B160" s="104"/>
      <c r="C160" s="105"/>
      <c r="D160" s="273"/>
      <c r="E160" s="182"/>
      <c r="F160" s="110"/>
      <c r="G160" s="274"/>
      <c r="H160" s="110"/>
      <c r="I160" s="110"/>
      <c r="J160" s="237" t="b">
        <f>Age_Sex_PY[[#This Row],[Total Spending After Applying Truncation at the Member Level]]+Age_Sex_PY[[#This Row],[Total Dollars Excluded from Spending After Applying Truncation at the Member Level]]=Age_Sex_PY[[#This Row],[Total Spending before Truncation is Applied]]</f>
        <v>1</v>
      </c>
    </row>
    <row r="161" spans="1:10" x14ac:dyDescent="0.25">
      <c r="A161" s="101"/>
      <c r="B161" s="104"/>
      <c r="C161" s="105"/>
      <c r="D161" s="273"/>
      <c r="E161" s="182"/>
      <c r="F161" s="110"/>
      <c r="G161" s="274"/>
      <c r="H161" s="110"/>
      <c r="I161" s="110"/>
      <c r="J161" s="237" t="b">
        <f>Age_Sex_PY[[#This Row],[Total Spending After Applying Truncation at the Member Level]]+Age_Sex_PY[[#This Row],[Total Dollars Excluded from Spending After Applying Truncation at the Member Level]]=Age_Sex_PY[[#This Row],[Total Spending before Truncation is Applied]]</f>
        <v>1</v>
      </c>
    </row>
    <row r="162" spans="1:10" x14ac:dyDescent="0.25">
      <c r="A162" s="101"/>
      <c r="B162" s="104"/>
      <c r="C162" s="105"/>
      <c r="D162" s="273"/>
      <c r="E162" s="182"/>
      <c r="F162" s="110"/>
      <c r="G162" s="274"/>
      <c r="H162" s="110"/>
      <c r="I162" s="110"/>
      <c r="J162" s="237" t="b">
        <f>Age_Sex_PY[[#This Row],[Total Spending After Applying Truncation at the Member Level]]+Age_Sex_PY[[#This Row],[Total Dollars Excluded from Spending After Applying Truncation at the Member Level]]=Age_Sex_PY[[#This Row],[Total Spending before Truncation is Applied]]</f>
        <v>1</v>
      </c>
    </row>
    <row r="163" spans="1:10" x14ac:dyDescent="0.25">
      <c r="A163" s="101"/>
      <c r="B163" s="104"/>
      <c r="C163" s="105"/>
      <c r="D163" s="273"/>
      <c r="E163" s="182"/>
      <c r="F163" s="110"/>
      <c r="G163" s="274"/>
      <c r="H163" s="110"/>
      <c r="I163" s="110"/>
      <c r="J163" s="237" t="b">
        <f>Age_Sex_PY[[#This Row],[Total Spending After Applying Truncation at the Member Level]]+Age_Sex_PY[[#This Row],[Total Dollars Excluded from Spending After Applying Truncation at the Member Level]]=Age_Sex_PY[[#This Row],[Total Spending before Truncation is Applied]]</f>
        <v>1</v>
      </c>
    </row>
    <row r="164" spans="1:10" x14ac:dyDescent="0.25">
      <c r="A164" s="101"/>
      <c r="B164" s="104"/>
      <c r="C164" s="105"/>
      <c r="D164" s="273"/>
      <c r="E164" s="182"/>
      <c r="F164" s="110"/>
      <c r="G164" s="274"/>
      <c r="H164" s="110"/>
      <c r="I164" s="110"/>
      <c r="J164" s="237" t="b">
        <f>Age_Sex_PY[[#This Row],[Total Spending After Applying Truncation at the Member Level]]+Age_Sex_PY[[#This Row],[Total Dollars Excluded from Spending After Applying Truncation at the Member Level]]=Age_Sex_PY[[#This Row],[Total Spending before Truncation is Applied]]</f>
        <v>1</v>
      </c>
    </row>
    <row r="165" spans="1:10" x14ac:dyDescent="0.25">
      <c r="A165" s="101"/>
      <c r="B165" s="104"/>
      <c r="C165" s="105"/>
      <c r="D165" s="273"/>
      <c r="E165" s="182"/>
      <c r="F165" s="110"/>
      <c r="G165" s="274"/>
      <c r="H165" s="110"/>
      <c r="I165" s="110"/>
      <c r="J165" s="237" t="b">
        <f>Age_Sex_PY[[#This Row],[Total Spending After Applying Truncation at the Member Level]]+Age_Sex_PY[[#This Row],[Total Dollars Excluded from Spending After Applying Truncation at the Member Level]]=Age_Sex_PY[[#This Row],[Total Spending before Truncation is Applied]]</f>
        <v>1</v>
      </c>
    </row>
    <row r="166" spans="1:10" x14ac:dyDescent="0.25">
      <c r="A166" s="101"/>
      <c r="B166" s="104"/>
      <c r="C166" s="105"/>
      <c r="D166" s="273"/>
      <c r="E166" s="182"/>
      <c r="F166" s="110"/>
      <c r="G166" s="274"/>
      <c r="H166" s="110"/>
      <c r="I166" s="110"/>
      <c r="J166" s="237" t="b">
        <f>Age_Sex_PY[[#This Row],[Total Spending After Applying Truncation at the Member Level]]+Age_Sex_PY[[#This Row],[Total Dollars Excluded from Spending After Applying Truncation at the Member Level]]=Age_Sex_PY[[#This Row],[Total Spending before Truncation is Applied]]</f>
        <v>1</v>
      </c>
    </row>
    <row r="167" spans="1:10" x14ac:dyDescent="0.25">
      <c r="A167" s="101"/>
      <c r="B167" s="104"/>
      <c r="C167" s="105"/>
      <c r="D167" s="273"/>
      <c r="E167" s="182"/>
      <c r="F167" s="110"/>
      <c r="G167" s="274"/>
      <c r="H167" s="110"/>
      <c r="I167" s="110"/>
      <c r="J167" s="237" t="b">
        <f>Age_Sex_PY[[#This Row],[Total Spending After Applying Truncation at the Member Level]]+Age_Sex_PY[[#This Row],[Total Dollars Excluded from Spending After Applying Truncation at the Member Level]]=Age_Sex_PY[[#This Row],[Total Spending before Truncation is Applied]]</f>
        <v>1</v>
      </c>
    </row>
    <row r="168" spans="1:10" x14ac:dyDescent="0.25">
      <c r="A168" s="101"/>
      <c r="B168" s="104"/>
      <c r="C168" s="105"/>
      <c r="D168" s="273"/>
      <c r="E168" s="182"/>
      <c r="F168" s="110"/>
      <c r="G168" s="274"/>
      <c r="H168" s="110"/>
      <c r="I168" s="110"/>
      <c r="J168" s="237" t="b">
        <f>Age_Sex_PY[[#This Row],[Total Spending After Applying Truncation at the Member Level]]+Age_Sex_PY[[#This Row],[Total Dollars Excluded from Spending After Applying Truncation at the Member Level]]=Age_Sex_PY[[#This Row],[Total Spending before Truncation is Applied]]</f>
        <v>1</v>
      </c>
    </row>
    <row r="169" spans="1:10" x14ac:dyDescent="0.25">
      <c r="A169" s="101"/>
      <c r="B169" s="104"/>
      <c r="C169" s="105"/>
      <c r="D169" s="273"/>
      <c r="E169" s="182"/>
      <c r="F169" s="110"/>
      <c r="G169" s="274"/>
      <c r="H169" s="110"/>
      <c r="I169" s="110"/>
      <c r="J169" s="237" t="b">
        <f>Age_Sex_PY[[#This Row],[Total Spending After Applying Truncation at the Member Level]]+Age_Sex_PY[[#This Row],[Total Dollars Excluded from Spending After Applying Truncation at the Member Level]]=Age_Sex_PY[[#This Row],[Total Spending before Truncation is Applied]]</f>
        <v>1</v>
      </c>
    </row>
    <row r="170" spans="1:10" x14ac:dyDescent="0.25">
      <c r="A170" s="101"/>
      <c r="B170" s="104"/>
      <c r="C170" s="105"/>
      <c r="D170" s="273"/>
      <c r="E170" s="182"/>
      <c r="F170" s="110"/>
      <c r="G170" s="274"/>
      <c r="H170" s="110"/>
      <c r="I170" s="110"/>
      <c r="J170" s="237" t="b">
        <f>Age_Sex_PY[[#This Row],[Total Spending After Applying Truncation at the Member Level]]+Age_Sex_PY[[#This Row],[Total Dollars Excluded from Spending After Applying Truncation at the Member Level]]=Age_Sex_PY[[#This Row],[Total Spending before Truncation is Applied]]</f>
        <v>1</v>
      </c>
    </row>
    <row r="171" spans="1:10" x14ac:dyDescent="0.25">
      <c r="A171" s="101"/>
      <c r="B171" s="104"/>
      <c r="C171" s="105"/>
      <c r="D171" s="273"/>
      <c r="E171" s="182"/>
      <c r="F171" s="110"/>
      <c r="G171" s="274"/>
      <c r="H171" s="110"/>
      <c r="I171" s="110"/>
      <c r="J171" s="237" t="b">
        <f>Age_Sex_PY[[#This Row],[Total Spending After Applying Truncation at the Member Level]]+Age_Sex_PY[[#This Row],[Total Dollars Excluded from Spending After Applying Truncation at the Member Level]]=Age_Sex_PY[[#This Row],[Total Spending before Truncation is Applied]]</f>
        <v>1</v>
      </c>
    </row>
    <row r="172" spans="1:10" x14ac:dyDescent="0.25">
      <c r="A172" s="101"/>
      <c r="B172" s="104"/>
      <c r="C172" s="105"/>
      <c r="D172" s="273"/>
      <c r="E172" s="182"/>
      <c r="F172" s="110"/>
      <c r="G172" s="274"/>
      <c r="H172" s="110"/>
      <c r="I172" s="110"/>
      <c r="J172" s="237" t="b">
        <f>Age_Sex_PY[[#This Row],[Total Spending After Applying Truncation at the Member Level]]+Age_Sex_PY[[#This Row],[Total Dollars Excluded from Spending After Applying Truncation at the Member Level]]=Age_Sex_PY[[#This Row],[Total Spending before Truncation is Applied]]</f>
        <v>1</v>
      </c>
    </row>
    <row r="173" spans="1:10" x14ac:dyDescent="0.25">
      <c r="A173" s="101"/>
      <c r="B173" s="104"/>
      <c r="C173" s="105"/>
      <c r="D173" s="273"/>
      <c r="E173" s="182"/>
      <c r="F173" s="110"/>
      <c r="G173" s="274"/>
      <c r="H173" s="110"/>
      <c r="I173" s="110"/>
      <c r="J173" s="237" t="b">
        <f>Age_Sex_PY[[#This Row],[Total Spending After Applying Truncation at the Member Level]]+Age_Sex_PY[[#This Row],[Total Dollars Excluded from Spending After Applying Truncation at the Member Level]]=Age_Sex_PY[[#This Row],[Total Spending before Truncation is Applied]]</f>
        <v>1</v>
      </c>
    </row>
    <row r="174" spans="1:10" x14ac:dyDescent="0.25">
      <c r="A174" s="101"/>
      <c r="B174" s="104"/>
      <c r="C174" s="105"/>
      <c r="D174" s="273"/>
      <c r="E174" s="182"/>
      <c r="F174" s="110"/>
      <c r="G174" s="274"/>
      <c r="H174" s="110"/>
      <c r="I174" s="110"/>
      <c r="J174" s="237" t="b">
        <f>Age_Sex_PY[[#This Row],[Total Spending After Applying Truncation at the Member Level]]+Age_Sex_PY[[#This Row],[Total Dollars Excluded from Spending After Applying Truncation at the Member Level]]=Age_Sex_PY[[#This Row],[Total Spending before Truncation is Applied]]</f>
        <v>1</v>
      </c>
    </row>
    <row r="175" spans="1:10" x14ac:dyDescent="0.25">
      <c r="A175" s="101"/>
      <c r="B175" s="104"/>
      <c r="C175" s="105"/>
      <c r="D175" s="273"/>
      <c r="E175" s="182"/>
      <c r="F175" s="110"/>
      <c r="G175" s="274"/>
      <c r="H175" s="110"/>
      <c r="I175" s="110"/>
      <c r="J175" s="237" t="b">
        <f>Age_Sex_PY[[#This Row],[Total Spending After Applying Truncation at the Member Level]]+Age_Sex_PY[[#This Row],[Total Dollars Excluded from Spending After Applying Truncation at the Member Level]]=Age_Sex_PY[[#This Row],[Total Spending before Truncation is Applied]]</f>
        <v>1</v>
      </c>
    </row>
    <row r="176" spans="1:10" x14ac:dyDescent="0.25">
      <c r="A176" s="101"/>
      <c r="B176" s="104"/>
      <c r="C176" s="105"/>
      <c r="D176" s="273"/>
      <c r="E176" s="182"/>
      <c r="F176" s="110"/>
      <c r="G176" s="274"/>
      <c r="H176" s="110"/>
      <c r="I176" s="110"/>
      <c r="J176" s="237" t="b">
        <f>Age_Sex_PY[[#This Row],[Total Spending After Applying Truncation at the Member Level]]+Age_Sex_PY[[#This Row],[Total Dollars Excluded from Spending After Applying Truncation at the Member Level]]=Age_Sex_PY[[#This Row],[Total Spending before Truncation is Applied]]</f>
        <v>1</v>
      </c>
    </row>
    <row r="177" spans="1:10" x14ac:dyDescent="0.25">
      <c r="A177" s="101"/>
      <c r="B177" s="104"/>
      <c r="C177" s="105"/>
      <c r="D177" s="273"/>
      <c r="E177" s="182"/>
      <c r="F177" s="110"/>
      <c r="G177" s="274"/>
      <c r="H177" s="110"/>
      <c r="I177" s="110"/>
      <c r="J177" s="237" t="b">
        <f>Age_Sex_PY[[#This Row],[Total Spending After Applying Truncation at the Member Level]]+Age_Sex_PY[[#This Row],[Total Dollars Excluded from Spending After Applying Truncation at the Member Level]]=Age_Sex_PY[[#This Row],[Total Spending before Truncation is Applied]]</f>
        <v>1</v>
      </c>
    </row>
    <row r="178" spans="1:10" x14ac:dyDescent="0.25">
      <c r="A178" s="101"/>
      <c r="B178" s="104"/>
      <c r="C178" s="105"/>
      <c r="D178" s="273"/>
      <c r="E178" s="182"/>
      <c r="F178" s="110"/>
      <c r="G178" s="274"/>
      <c r="H178" s="110"/>
      <c r="I178" s="110"/>
      <c r="J178" s="237" t="b">
        <f>Age_Sex_PY[[#This Row],[Total Spending After Applying Truncation at the Member Level]]+Age_Sex_PY[[#This Row],[Total Dollars Excluded from Spending After Applying Truncation at the Member Level]]=Age_Sex_PY[[#This Row],[Total Spending before Truncation is Applied]]</f>
        <v>1</v>
      </c>
    </row>
    <row r="179" spans="1:10" x14ac:dyDescent="0.25">
      <c r="A179" s="101"/>
      <c r="B179" s="104"/>
      <c r="C179" s="105"/>
      <c r="D179" s="273"/>
      <c r="E179" s="182"/>
      <c r="F179" s="110"/>
      <c r="G179" s="274"/>
      <c r="H179" s="110"/>
      <c r="I179" s="110"/>
      <c r="J179" s="237" t="b">
        <f>Age_Sex_PY[[#This Row],[Total Spending After Applying Truncation at the Member Level]]+Age_Sex_PY[[#This Row],[Total Dollars Excluded from Spending After Applying Truncation at the Member Level]]=Age_Sex_PY[[#This Row],[Total Spending before Truncation is Applied]]</f>
        <v>1</v>
      </c>
    </row>
    <row r="180" spans="1:10" x14ac:dyDescent="0.25">
      <c r="A180" s="101"/>
      <c r="B180" s="104"/>
      <c r="C180" s="105"/>
      <c r="D180" s="273"/>
      <c r="E180" s="182"/>
      <c r="F180" s="110"/>
      <c r="G180" s="274"/>
      <c r="H180" s="110"/>
      <c r="I180" s="110"/>
      <c r="J180" s="237" t="b">
        <f>Age_Sex_PY[[#This Row],[Total Spending After Applying Truncation at the Member Level]]+Age_Sex_PY[[#This Row],[Total Dollars Excluded from Spending After Applying Truncation at the Member Level]]=Age_Sex_PY[[#This Row],[Total Spending before Truncation is Applied]]</f>
        <v>1</v>
      </c>
    </row>
    <row r="181" spans="1:10" x14ac:dyDescent="0.25">
      <c r="A181" s="101"/>
      <c r="B181" s="104"/>
      <c r="C181" s="105"/>
      <c r="D181" s="273"/>
      <c r="E181" s="182"/>
      <c r="F181" s="110"/>
      <c r="G181" s="274"/>
      <c r="H181" s="110"/>
      <c r="I181" s="110"/>
      <c r="J181" s="237" t="b">
        <f>Age_Sex_PY[[#This Row],[Total Spending After Applying Truncation at the Member Level]]+Age_Sex_PY[[#This Row],[Total Dollars Excluded from Spending After Applying Truncation at the Member Level]]=Age_Sex_PY[[#This Row],[Total Spending before Truncation is Applied]]</f>
        <v>1</v>
      </c>
    </row>
    <row r="182" spans="1:10" x14ac:dyDescent="0.25">
      <c r="A182" s="101"/>
      <c r="B182" s="104"/>
      <c r="C182" s="105"/>
      <c r="D182" s="273"/>
      <c r="E182" s="182"/>
      <c r="F182" s="110"/>
      <c r="G182" s="274"/>
      <c r="H182" s="110"/>
      <c r="I182" s="110"/>
      <c r="J182" s="237" t="b">
        <f>Age_Sex_PY[[#This Row],[Total Spending After Applying Truncation at the Member Level]]+Age_Sex_PY[[#This Row],[Total Dollars Excluded from Spending After Applying Truncation at the Member Level]]=Age_Sex_PY[[#This Row],[Total Spending before Truncation is Applied]]</f>
        <v>1</v>
      </c>
    </row>
    <row r="183" spans="1:10" x14ac:dyDescent="0.25">
      <c r="A183" s="101"/>
      <c r="B183" s="104"/>
      <c r="C183" s="105"/>
      <c r="D183" s="273"/>
      <c r="E183" s="182"/>
      <c r="F183" s="110"/>
      <c r="G183" s="274"/>
      <c r="H183" s="110"/>
      <c r="I183" s="110"/>
      <c r="J183" s="237" t="b">
        <f>Age_Sex_PY[[#This Row],[Total Spending After Applying Truncation at the Member Level]]+Age_Sex_PY[[#This Row],[Total Dollars Excluded from Spending After Applying Truncation at the Member Level]]=Age_Sex_PY[[#This Row],[Total Spending before Truncation is Applied]]</f>
        <v>1</v>
      </c>
    </row>
    <row r="184" spans="1:10" x14ac:dyDescent="0.25">
      <c r="A184" s="101"/>
      <c r="B184" s="104"/>
      <c r="C184" s="105"/>
      <c r="D184" s="273"/>
      <c r="E184" s="182"/>
      <c r="F184" s="110"/>
      <c r="G184" s="274"/>
      <c r="H184" s="110"/>
      <c r="I184" s="110"/>
      <c r="J184" s="237" t="b">
        <f>Age_Sex_PY[[#This Row],[Total Spending After Applying Truncation at the Member Level]]+Age_Sex_PY[[#This Row],[Total Dollars Excluded from Spending After Applying Truncation at the Member Level]]=Age_Sex_PY[[#This Row],[Total Spending before Truncation is Applied]]</f>
        <v>1</v>
      </c>
    </row>
    <row r="185" spans="1:10" x14ac:dyDescent="0.25">
      <c r="A185" s="101"/>
      <c r="B185" s="104"/>
      <c r="C185" s="105"/>
      <c r="D185" s="273"/>
      <c r="E185" s="182"/>
      <c r="F185" s="110"/>
      <c r="G185" s="274"/>
      <c r="H185" s="110"/>
      <c r="I185" s="110"/>
      <c r="J185" s="237" t="b">
        <f>Age_Sex_PY[[#This Row],[Total Spending After Applying Truncation at the Member Level]]+Age_Sex_PY[[#This Row],[Total Dollars Excluded from Spending After Applying Truncation at the Member Level]]=Age_Sex_PY[[#This Row],[Total Spending before Truncation is Applied]]</f>
        <v>1</v>
      </c>
    </row>
    <row r="186" spans="1:10" x14ac:dyDescent="0.25">
      <c r="A186" s="101"/>
      <c r="B186" s="104"/>
      <c r="C186" s="105"/>
      <c r="D186" s="273"/>
      <c r="E186" s="182"/>
      <c r="F186" s="110"/>
      <c r="G186" s="274"/>
      <c r="H186" s="110"/>
      <c r="I186" s="110"/>
      <c r="J186" s="237" t="b">
        <f>Age_Sex_PY[[#This Row],[Total Spending After Applying Truncation at the Member Level]]+Age_Sex_PY[[#This Row],[Total Dollars Excluded from Spending After Applying Truncation at the Member Level]]=Age_Sex_PY[[#This Row],[Total Spending before Truncation is Applied]]</f>
        <v>1</v>
      </c>
    </row>
    <row r="187" spans="1:10" x14ac:dyDescent="0.25">
      <c r="A187" s="101"/>
      <c r="B187" s="104"/>
      <c r="C187" s="105"/>
      <c r="D187" s="273"/>
      <c r="E187" s="182"/>
      <c r="F187" s="110"/>
      <c r="G187" s="274"/>
      <c r="H187" s="110"/>
      <c r="I187" s="110"/>
      <c r="J187" s="237" t="b">
        <f>Age_Sex_PY[[#This Row],[Total Spending After Applying Truncation at the Member Level]]+Age_Sex_PY[[#This Row],[Total Dollars Excluded from Spending After Applying Truncation at the Member Level]]=Age_Sex_PY[[#This Row],[Total Spending before Truncation is Applied]]</f>
        <v>1</v>
      </c>
    </row>
    <row r="188" spans="1:10" x14ac:dyDescent="0.25">
      <c r="A188" s="101"/>
      <c r="B188" s="104"/>
      <c r="C188" s="105"/>
      <c r="D188" s="273"/>
      <c r="E188" s="182"/>
      <c r="F188" s="110"/>
      <c r="G188" s="274"/>
      <c r="H188" s="110"/>
      <c r="I188" s="110"/>
      <c r="J188" s="237" t="b">
        <f>Age_Sex_PY[[#This Row],[Total Spending After Applying Truncation at the Member Level]]+Age_Sex_PY[[#This Row],[Total Dollars Excluded from Spending After Applying Truncation at the Member Level]]=Age_Sex_PY[[#This Row],[Total Spending before Truncation is Applied]]</f>
        <v>1</v>
      </c>
    </row>
    <row r="189" spans="1:10" x14ac:dyDescent="0.25">
      <c r="A189" s="101"/>
      <c r="B189" s="104"/>
      <c r="C189" s="105"/>
      <c r="D189" s="273"/>
      <c r="E189" s="182"/>
      <c r="F189" s="110"/>
      <c r="G189" s="274"/>
      <c r="H189" s="110"/>
      <c r="I189" s="110"/>
      <c r="J189" s="237" t="b">
        <f>Age_Sex_PY[[#This Row],[Total Spending After Applying Truncation at the Member Level]]+Age_Sex_PY[[#This Row],[Total Dollars Excluded from Spending After Applying Truncation at the Member Level]]=Age_Sex_PY[[#This Row],[Total Spending before Truncation is Applied]]</f>
        <v>1</v>
      </c>
    </row>
    <row r="190" spans="1:10" x14ac:dyDescent="0.25">
      <c r="A190" s="101"/>
      <c r="B190" s="104"/>
      <c r="C190" s="105"/>
      <c r="D190" s="273"/>
      <c r="E190" s="182"/>
      <c r="F190" s="110"/>
      <c r="G190" s="274"/>
      <c r="H190" s="110"/>
      <c r="I190" s="110"/>
      <c r="J190" s="237" t="b">
        <f>Age_Sex_PY[[#This Row],[Total Spending After Applying Truncation at the Member Level]]+Age_Sex_PY[[#This Row],[Total Dollars Excluded from Spending After Applying Truncation at the Member Level]]=Age_Sex_PY[[#This Row],[Total Spending before Truncation is Applied]]</f>
        <v>1</v>
      </c>
    </row>
    <row r="191" spans="1:10" x14ac:dyDescent="0.25">
      <c r="A191" s="101"/>
      <c r="B191" s="104"/>
      <c r="C191" s="105"/>
      <c r="D191" s="273"/>
      <c r="E191" s="182"/>
      <c r="F191" s="110"/>
      <c r="G191" s="274"/>
      <c r="H191" s="110"/>
      <c r="I191" s="110"/>
      <c r="J191" s="237" t="b">
        <f>Age_Sex_PY[[#This Row],[Total Spending After Applying Truncation at the Member Level]]+Age_Sex_PY[[#This Row],[Total Dollars Excluded from Spending After Applying Truncation at the Member Level]]=Age_Sex_PY[[#This Row],[Total Spending before Truncation is Applied]]</f>
        <v>1</v>
      </c>
    </row>
    <row r="192" spans="1:10" x14ac:dyDescent="0.25">
      <c r="A192" s="101"/>
      <c r="B192" s="104"/>
      <c r="C192" s="105"/>
      <c r="D192" s="273"/>
      <c r="E192" s="182"/>
      <c r="F192" s="110"/>
      <c r="G192" s="274"/>
      <c r="H192" s="110"/>
      <c r="I192" s="110"/>
      <c r="J192" s="237" t="b">
        <f>Age_Sex_PY[[#This Row],[Total Spending After Applying Truncation at the Member Level]]+Age_Sex_PY[[#This Row],[Total Dollars Excluded from Spending After Applying Truncation at the Member Level]]=Age_Sex_PY[[#This Row],[Total Spending before Truncation is Applied]]</f>
        <v>1</v>
      </c>
    </row>
    <row r="193" spans="1:10" x14ac:dyDescent="0.25">
      <c r="A193" s="101"/>
      <c r="B193" s="104"/>
      <c r="C193" s="105"/>
      <c r="D193" s="273"/>
      <c r="E193" s="182"/>
      <c r="F193" s="110"/>
      <c r="G193" s="274"/>
      <c r="H193" s="110"/>
      <c r="I193" s="110"/>
      <c r="J193" s="237" t="b">
        <f>Age_Sex_PY[[#This Row],[Total Spending After Applying Truncation at the Member Level]]+Age_Sex_PY[[#This Row],[Total Dollars Excluded from Spending After Applying Truncation at the Member Level]]=Age_Sex_PY[[#This Row],[Total Spending before Truncation is Applied]]</f>
        <v>1</v>
      </c>
    </row>
    <row r="194" spans="1:10" x14ac:dyDescent="0.25">
      <c r="A194" s="101"/>
      <c r="B194" s="104"/>
      <c r="C194" s="105"/>
      <c r="D194" s="273"/>
      <c r="E194" s="182"/>
      <c r="F194" s="110"/>
      <c r="G194" s="274"/>
      <c r="H194" s="110"/>
      <c r="I194" s="110"/>
      <c r="J194" s="237" t="b">
        <f>Age_Sex_PY[[#This Row],[Total Spending After Applying Truncation at the Member Level]]+Age_Sex_PY[[#This Row],[Total Dollars Excluded from Spending After Applying Truncation at the Member Level]]=Age_Sex_PY[[#This Row],[Total Spending before Truncation is Applied]]</f>
        <v>1</v>
      </c>
    </row>
    <row r="195" spans="1:10" x14ac:dyDescent="0.25">
      <c r="A195" s="101"/>
      <c r="B195" s="104"/>
      <c r="C195" s="105"/>
      <c r="D195" s="273"/>
      <c r="E195" s="182"/>
      <c r="F195" s="110"/>
      <c r="G195" s="274"/>
      <c r="H195" s="110"/>
      <c r="I195" s="110"/>
      <c r="J195" s="237" t="b">
        <f>Age_Sex_PY[[#This Row],[Total Spending After Applying Truncation at the Member Level]]+Age_Sex_PY[[#This Row],[Total Dollars Excluded from Spending After Applying Truncation at the Member Level]]=Age_Sex_PY[[#This Row],[Total Spending before Truncation is Applied]]</f>
        <v>1</v>
      </c>
    </row>
    <row r="196" spans="1:10" x14ac:dyDescent="0.25">
      <c r="A196" s="101"/>
      <c r="B196" s="104"/>
      <c r="C196" s="105"/>
      <c r="D196" s="273"/>
      <c r="E196" s="182"/>
      <c r="F196" s="110"/>
      <c r="G196" s="274"/>
      <c r="H196" s="110"/>
      <c r="I196" s="110"/>
      <c r="J196" s="237" t="b">
        <f>Age_Sex_PY[[#This Row],[Total Spending After Applying Truncation at the Member Level]]+Age_Sex_PY[[#This Row],[Total Dollars Excluded from Spending After Applying Truncation at the Member Level]]=Age_Sex_PY[[#This Row],[Total Spending before Truncation is Applied]]</f>
        <v>1</v>
      </c>
    </row>
    <row r="197" spans="1:10" x14ac:dyDescent="0.25">
      <c r="A197" s="101"/>
      <c r="B197" s="104"/>
      <c r="C197" s="105"/>
      <c r="D197" s="273"/>
      <c r="E197" s="182"/>
      <c r="F197" s="110"/>
      <c r="G197" s="274"/>
      <c r="H197" s="110"/>
      <c r="I197" s="110"/>
      <c r="J197" s="237" t="b">
        <f>Age_Sex_PY[[#This Row],[Total Spending After Applying Truncation at the Member Level]]+Age_Sex_PY[[#This Row],[Total Dollars Excluded from Spending After Applying Truncation at the Member Level]]=Age_Sex_PY[[#This Row],[Total Spending before Truncation is Applied]]</f>
        <v>1</v>
      </c>
    </row>
    <row r="198" spans="1:10" x14ac:dyDescent="0.25">
      <c r="A198" s="101"/>
      <c r="B198" s="104"/>
      <c r="C198" s="105"/>
      <c r="D198" s="273"/>
      <c r="E198" s="182"/>
      <c r="F198" s="110"/>
      <c r="G198" s="274"/>
      <c r="H198" s="110"/>
      <c r="I198" s="110"/>
      <c r="J198" s="237" t="b">
        <f>Age_Sex_PY[[#This Row],[Total Spending After Applying Truncation at the Member Level]]+Age_Sex_PY[[#This Row],[Total Dollars Excluded from Spending After Applying Truncation at the Member Level]]=Age_Sex_PY[[#This Row],[Total Spending before Truncation is Applied]]</f>
        <v>1</v>
      </c>
    </row>
    <row r="199" spans="1:10" x14ac:dyDescent="0.25">
      <c r="A199" s="101"/>
      <c r="B199" s="104"/>
      <c r="C199" s="105"/>
      <c r="D199" s="273"/>
      <c r="E199" s="182"/>
      <c r="F199" s="110"/>
      <c r="G199" s="274"/>
      <c r="H199" s="110"/>
      <c r="I199" s="110"/>
      <c r="J199" s="237" t="b">
        <f>Age_Sex_PY[[#This Row],[Total Spending After Applying Truncation at the Member Level]]+Age_Sex_PY[[#This Row],[Total Dollars Excluded from Spending After Applying Truncation at the Member Level]]=Age_Sex_PY[[#This Row],[Total Spending before Truncation is Applied]]</f>
        <v>1</v>
      </c>
    </row>
    <row r="200" spans="1:10" x14ac:dyDescent="0.25">
      <c r="A200" s="101"/>
      <c r="B200" s="104"/>
      <c r="C200" s="105"/>
      <c r="D200" s="273"/>
      <c r="E200" s="182"/>
      <c r="F200" s="110"/>
      <c r="G200" s="274"/>
      <c r="H200" s="110"/>
      <c r="I200" s="110"/>
      <c r="J200" s="237" t="b">
        <f>Age_Sex_PY[[#This Row],[Total Spending After Applying Truncation at the Member Level]]+Age_Sex_PY[[#This Row],[Total Dollars Excluded from Spending After Applying Truncation at the Member Level]]=Age_Sex_PY[[#This Row],[Total Spending before Truncation is Applied]]</f>
        <v>1</v>
      </c>
    </row>
    <row r="201" spans="1:10" x14ac:dyDescent="0.25">
      <c r="A201" s="101"/>
      <c r="B201" s="104"/>
      <c r="C201" s="105"/>
      <c r="D201" s="273"/>
      <c r="E201" s="182"/>
      <c r="F201" s="110"/>
      <c r="G201" s="274"/>
      <c r="H201" s="110"/>
      <c r="I201" s="110"/>
      <c r="J201" s="237" t="b">
        <f>Age_Sex_PY[[#This Row],[Total Spending After Applying Truncation at the Member Level]]+Age_Sex_PY[[#This Row],[Total Dollars Excluded from Spending After Applying Truncation at the Member Level]]=Age_Sex_PY[[#This Row],[Total Spending before Truncation is Applied]]</f>
        <v>1</v>
      </c>
    </row>
    <row r="202" spans="1:10" x14ac:dyDescent="0.25">
      <c r="A202" s="101"/>
      <c r="B202" s="104"/>
      <c r="C202" s="105"/>
      <c r="D202" s="273"/>
      <c r="E202" s="182"/>
      <c r="F202" s="110"/>
      <c r="G202" s="274"/>
      <c r="H202" s="110"/>
      <c r="I202" s="110"/>
      <c r="J202" s="237" t="b">
        <f>Age_Sex_PY[[#This Row],[Total Spending After Applying Truncation at the Member Level]]+Age_Sex_PY[[#This Row],[Total Dollars Excluded from Spending After Applying Truncation at the Member Level]]=Age_Sex_PY[[#This Row],[Total Spending before Truncation is Applied]]</f>
        <v>1</v>
      </c>
    </row>
    <row r="203" spans="1:10" x14ac:dyDescent="0.25">
      <c r="A203" s="101"/>
      <c r="B203" s="104"/>
      <c r="C203" s="105"/>
      <c r="D203" s="273"/>
      <c r="E203" s="182"/>
      <c r="F203" s="110"/>
      <c r="G203" s="274"/>
      <c r="H203" s="110"/>
      <c r="I203" s="110"/>
      <c r="J203" s="237" t="b">
        <f>Age_Sex_PY[[#This Row],[Total Spending After Applying Truncation at the Member Level]]+Age_Sex_PY[[#This Row],[Total Dollars Excluded from Spending After Applying Truncation at the Member Level]]=Age_Sex_PY[[#This Row],[Total Spending before Truncation is Applied]]</f>
        <v>1</v>
      </c>
    </row>
    <row r="204" spans="1:10" x14ac:dyDescent="0.25">
      <c r="A204" s="101"/>
      <c r="B204" s="104"/>
      <c r="C204" s="105"/>
      <c r="D204" s="273"/>
      <c r="E204" s="182"/>
      <c r="F204" s="110"/>
      <c r="G204" s="274"/>
      <c r="H204" s="110"/>
      <c r="I204" s="110"/>
      <c r="J204" s="237" t="b">
        <f>Age_Sex_PY[[#This Row],[Total Spending After Applying Truncation at the Member Level]]+Age_Sex_PY[[#This Row],[Total Dollars Excluded from Spending After Applying Truncation at the Member Level]]=Age_Sex_PY[[#This Row],[Total Spending before Truncation is Applied]]</f>
        <v>1</v>
      </c>
    </row>
    <row r="205" spans="1:10" x14ac:dyDescent="0.25">
      <c r="A205" s="101"/>
      <c r="B205" s="104"/>
      <c r="C205" s="105"/>
      <c r="D205" s="273"/>
      <c r="E205" s="182"/>
      <c r="F205" s="110"/>
      <c r="G205" s="274"/>
      <c r="H205" s="110"/>
      <c r="I205" s="110"/>
      <c r="J205" s="237" t="b">
        <f>Age_Sex_PY[[#This Row],[Total Spending After Applying Truncation at the Member Level]]+Age_Sex_PY[[#This Row],[Total Dollars Excluded from Spending After Applying Truncation at the Member Level]]=Age_Sex_PY[[#This Row],[Total Spending before Truncation is Applied]]</f>
        <v>1</v>
      </c>
    </row>
    <row r="206" spans="1:10" x14ac:dyDescent="0.25">
      <c r="A206" s="101"/>
      <c r="B206" s="104"/>
      <c r="C206" s="105"/>
      <c r="D206" s="273"/>
      <c r="E206" s="182"/>
      <c r="F206" s="110"/>
      <c r="G206" s="274"/>
      <c r="H206" s="110"/>
      <c r="I206" s="110"/>
      <c r="J206" s="237" t="b">
        <f>Age_Sex_PY[[#This Row],[Total Spending After Applying Truncation at the Member Level]]+Age_Sex_PY[[#This Row],[Total Dollars Excluded from Spending After Applying Truncation at the Member Level]]=Age_Sex_PY[[#This Row],[Total Spending before Truncation is Applied]]</f>
        <v>1</v>
      </c>
    </row>
    <row r="207" spans="1:10" x14ac:dyDescent="0.25">
      <c r="A207" s="101"/>
      <c r="B207" s="104"/>
      <c r="C207" s="105"/>
      <c r="D207" s="273"/>
      <c r="E207" s="182"/>
      <c r="F207" s="110"/>
      <c r="G207" s="274"/>
      <c r="H207" s="110"/>
      <c r="I207" s="110"/>
      <c r="J207" s="237" t="b">
        <f>Age_Sex_PY[[#This Row],[Total Spending After Applying Truncation at the Member Level]]+Age_Sex_PY[[#This Row],[Total Dollars Excluded from Spending After Applying Truncation at the Member Level]]=Age_Sex_PY[[#This Row],[Total Spending before Truncation is Applied]]</f>
        <v>1</v>
      </c>
    </row>
    <row r="208" spans="1:10" x14ac:dyDescent="0.25">
      <c r="A208" s="101"/>
      <c r="B208" s="104"/>
      <c r="C208" s="105"/>
      <c r="D208" s="273"/>
      <c r="E208" s="182"/>
      <c r="F208" s="110"/>
      <c r="G208" s="274"/>
      <c r="H208" s="110"/>
      <c r="I208" s="110"/>
      <c r="J208" s="237" t="b">
        <f>Age_Sex_PY[[#This Row],[Total Spending After Applying Truncation at the Member Level]]+Age_Sex_PY[[#This Row],[Total Dollars Excluded from Spending After Applying Truncation at the Member Level]]=Age_Sex_PY[[#This Row],[Total Spending before Truncation is Applied]]</f>
        <v>1</v>
      </c>
    </row>
    <row r="209" spans="1:10" x14ac:dyDescent="0.25">
      <c r="A209" s="101"/>
      <c r="B209" s="104"/>
      <c r="C209" s="105"/>
      <c r="D209" s="273"/>
      <c r="E209" s="182"/>
      <c r="F209" s="110"/>
      <c r="G209" s="274"/>
      <c r="H209" s="110"/>
      <c r="I209" s="110"/>
      <c r="J209" s="237" t="b">
        <f>Age_Sex_PY[[#This Row],[Total Spending After Applying Truncation at the Member Level]]+Age_Sex_PY[[#This Row],[Total Dollars Excluded from Spending After Applying Truncation at the Member Level]]=Age_Sex_PY[[#This Row],[Total Spending before Truncation is Applied]]</f>
        <v>1</v>
      </c>
    </row>
    <row r="210" spans="1:10" x14ac:dyDescent="0.25">
      <c r="A210" s="101"/>
      <c r="B210" s="104"/>
      <c r="C210" s="105"/>
      <c r="D210" s="273"/>
      <c r="E210" s="182"/>
      <c r="F210" s="110"/>
      <c r="G210" s="274"/>
      <c r="H210" s="110"/>
      <c r="I210" s="110"/>
      <c r="J210" s="237" t="b">
        <f>Age_Sex_PY[[#This Row],[Total Spending After Applying Truncation at the Member Level]]+Age_Sex_PY[[#This Row],[Total Dollars Excluded from Spending After Applying Truncation at the Member Level]]=Age_Sex_PY[[#This Row],[Total Spending before Truncation is Applied]]</f>
        <v>1</v>
      </c>
    </row>
    <row r="211" spans="1:10" x14ac:dyDescent="0.25">
      <c r="A211" s="101"/>
      <c r="B211" s="104"/>
      <c r="C211" s="105"/>
      <c r="D211" s="273"/>
      <c r="E211" s="182"/>
      <c r="F211" s="110"/>
      <c r="G211" s="274"/>
      <c r="H211" s="110"/>
      <c r="I211" s="110"/>
      <c r="J211" s="237" t="b">
        <f>Age_Sex_PY[[#This Row],[Total Spending After Applying Truncation at the Member Level]]+Age_Sex_PY[[#This Row],[Total Dollars Excluded from Spending After Applying Truncation at the Member Level]]=Age_Sex_PY[[#This Row],[Total Spending before Truncation is Applied]]</f>
        <v>1</v>
      </c>
    </row>
    <row r="212" spans="1:10" x14ac:dyDescent="0.25">
      <c r="A212" s="101"/>
      <c r="B212" s="104"/>
      <c r="C212" s="105"/>
      <c r="D212" s="273"/>
      <c r="E212" s="182"/>
      <c r="F212" s="110"/>
      <c r="G212" s="274"/>
      <c r="H212" s="110"/>
      <c r="I212" s="110"/>
      <c r="J212" s="237" t="b">
        <f>Age_Sex_PY[[#This Row],[Total Spending After Applying Truncation at the Member Level]]+Age_Sex_PY[[#This Row],[Total Dollars Excluded from Spending After Applying Truncation at the Member Level]]=Age_Sex_PY[[#This Row],[Total Spending before Truncation is Applied]]</f>
        <v>1</v>
      </c>
    </row>
    <row r="213" spans="1:10" x14ac:dyDescent="0.25">
      <c r="A213" s="101"/>
      <c r="B213" s="104"/>
      <c r="C213" s="105"/>
      <c r="D213" s="273"/>
      <c r="E213" s="182"/>
      <c r="F213" s="110"/>
      <c r="G213" s="274"/>
      <c r="H213" s="110"/>
      <c r="I213" s="110"/>
      <c r="J213" s="237" t="b">
        <f>Age_Sex_PY[[#This Row],[Total Spending After Applying Truncation at the Member Level]]+Age_Sex_PY[[#This Row],[Total Dollars Excluded from Spending After Applying Truncation at the Member Level]]=Age_Sex_PY[[#This Row],[Total Spending before Truncation is Applied]]</f>
        <v>1</v>
      </c>
    </row>
    <row r="214" spans="1:10" x14ac:dyDescent="0.25">
      <c r="A214" s="101"/>
      <c r="B214" s="104"/>
      <c r="C214" s="105"/>
      <c r="D214" s="273"/>
      <c r="E214" s="182"/>
      <c r="F214" s="110"/>
      <c r="G214" s="274"/>
      <c r="H214" s="110"/>
      <c r="I214" s="110"/>
      <c r="J214" s="237" t="b">
        <f>Age_Sex_PY[[#This Row],[Total Spending After Applying Truncation at the Member Level]]+Age_Sex_PY[[#This Row],[Total Dollars Excluded from Spending After Applying Truncation at the Member Level]]=Age_Sex_PY[[#This Row],[Total Spending before Truncation is Applied]]</f>
        <v>1</v>
      </c>
    </row>
    <row r="215" spans="1:10" x14ac:dyDescent="0.25">
      <c r="A215" s="101"/>
      <c r="B215" s="104"/>
      <c r="C215" s="105"/>
      <c r="D215" s="273"/>
      <c r="E215" s="182"/>
      <c r="F215" s="110"/>
      <c r="G215" s="274"/>
      <c r="H215" s="110"/>
      <c r="I215" s="110"/>
      <c r="J215" s="237" t="b">
        <f>Age_Sex_PY[[#This Row],[Total Spending After Applying Truncation at the Member Level]]+Age_Sex_PY[[#This Row],[Total Dollars Excluded from Spending After Applying Truncation at the Member Level]]=Age_Sex_PY[[#This Row],[Total Spending before Truncation is Applied]]</f>
        <v>1</v>
      </c>
    </row>
    <row r="216" spans="1:10" x14ac:dyDescent="0.25">
      <c r="A216" s="101"/>
      <c r="B216" s="104"/>
      <c r="C216" s="105"/>
      <c r="D216" s="273"/>
      <c r="E216" s="182"/>
      <c r="F216" s="110"/>
      <c r="G216" s="274"/>
      <c r="H216" s="110"/>
      <c r="I216" s="110"/>
      <c r="J216" s="237" t="b">
        <f>Age_Sex_PY[[#This Row],[Total Spending After Applying Truncation at the Member Level]]+Age_Sex_PY[[#This Row],[Total Dollars Excluded from Spending After Applying Truncation at the Member Level]]=Age_Sex_PY[[#This Row],[Total Spending before Truncation is Applied]]</f>
        <v>1</v>
      </c>
    </row>
    <row r="217" spans="1:10" x14ac:dyDescent="0.25">
      <c r="A217" s="101"/>
      <c r="B217" s="104"/>
      <c r="C217" s="105"/>
      <c r="D217" s="273"/>
      <c r="E217" s="182"/>
      <c r="F217" s="110"/>
      <c r="G217" s="274"/>
      <c r="H217" s="110"/>
      <c r="I217" s="110"/>
      <c r="J217" s="237" t="b">
        <f>Age_Sex_PY[[#This Row],[Total Spending After Applying Truncation at the Member Level]]+Age_Sex_PY[[#This Row],[Total Dollars Excluded from Spending After Applying Truncation at the Member Level]]=Age_Sex_PY[[#This Row],[Total Spending before Truncation is Applied]]</f>
        <v>1</v>
      </c>
    </row>
    <row r="218" spans="1:10" x14ac:dyDescent="0.25">
      <c r="A218" s="101"/>
      <c r="B218" s="104"/>
      <c r="C218" s="105"/>
      <c r="D218" s="273"/>
      <c r="E218" s="182"/>
      <c r="F218" s="110"/>
      <c r="G218" s="274"/>
      <c r="H218" s="110"/>
      <c r="I218" s="110"/>
      <c r="J218" s="237" t="b">
        <f>Age_Sex_PY[[#This Row],[Total Spending After Applying Truncation at the Member Level]]+Age_Sex_PY[[#This Row],[Total Dollars Excluded from Spending After Applying Truncation at the Member Level]]=Age_Sex_PY[[#This Row],[Total Spending before Truncation is Applied]]</f>
        <v>1</v>
      </c>
    </row>
    <row r="219" spans="1:10" x14ac:dyDescent="0.25">
      <c r="A219" s="101"/>
      <c r="B219" s="104"/>
      <c r="C219" s="105"/>
      <c r="D219" s="273"/>
      <c r="E219" s="182"/>
      <c r="F219" s="110"/>
      <c r="G219" s="274"/>
      <c r="H219" s="110"/>
      <c r="I219" s="110"/>
      <c r="J219" s="237" t="b">
        <f>Age_Sex_PY[[#This Row],[Total Spending After Applying Truncation at the Member Level]]+Age_Sex_PY[[#This Row],[Total Dollars Excluded from Spending After Applying Truncation at the Member Level]]=Age_Sex_PY[[#This Row],[Total Spending before Truncation is Applied]]</f>
        <v>1</v>
      </c>
    </row>
    <row r="220" spans="1:10" x14ac:dyDescent="0.25">
      <c r="A220" s="101"/>
      <c r="B220" s="104"/>
      <c r="C220" s="105"/>
      <c r="D220" s="273"/>
      <c r="E220" s="182"/>
      <c r="F220" s="110"/>
      <c r="G220" s="274"/>
      <c r="H220" s="110"/>
      <c r="I220" s="110"/>
      <c r="J220" s="237" t="b">
        <f>Age_Sex_PY[[#This Row],[Total Spending After Applying Truncation at the Member Level]]+Age_Sex_PY[[#This Row],[Total Dollars Excluded from Spending After Applying Truncation at the Member Level]]=Age_Sex_PY[[#This Row],[Total Spending before Truncation is Applied]]</f>
        <v>1</v>
      </c>
    </row>
    <row r="221" spans="1:10" x14ac:dyDescent="0.25">
      <c r="A221" s="101"/>
      <c r="B221" s="104"/>
      <c r="C221" s="105"/>
      <c r="D221" s="273"/>
      <c r="E221" s="182"/>
      <c r="F221" s="110"/>
      <c r="G221" s="274"/>
      <c r="H221" s="110"/>
      <c r="I221" s="110"/>
      <c r="J221" s="237" t="b">
        <f>Age_Sex_PY[[#This Row],[Total Spending After Applying Truncation at the Member Level]]+Age_Sex_PY[[#This Row],[Total Dollars Excluded from Spending After Applying Truncation at the Member Level]]=Age_Sex_PY[[#This Row],[Total Spending before Truncation is Applied]]</f>
        <v>1</v>
      </c>
    </row>
    <row r="222" spans="1:10" x14ac:dyDescent="0.25">
      <c r="A222" s="101"/>
      <c r="B222" s="104"/>
      <c r="C222" s="105"/>
      <c r="D222" s="273"/>
      <c r="E222" s="182"/>
      <c r="F222" s="110"/>
      <c r="G222" s="274"/>
      <c r="H222" s="110"/>
      <c r="I222" s="110"/>
      <c r="J222" s="237" t="b">
        <f>Age_Sex_PY[[#This Row],[Total Spending After Applying Truncation at the Member Level]]+Age_Sex_PY[[#This Row],[Total Dollars Excluded from Spending After Applying Truncation at the Member Level]]=Age_Sex_PY[[#This Row],[Total Spending before Truncation is Applied]]</f>
        <v>1</v>
      </c>
    </row>
    <row r="223" spans="1:10" x14ac:dyDescent="0.25">
      <c r="A223" s="101"/>
      <c r="B223" s="104"/>
      <c r="C223" s="105"/>
      <c r="D223" s="273"/>
      <c r="E223" s="182"/>
      <c r="F223" s="110"/>
      <c r="G223" s="274"/>
      <c r="H223" s="110"/>
      <c r="I223" s="110"/>
      <c r="J223" s="237" t="b">
        <f>Age_Sex_PY[[#This Row],[Total Spending After Applying Truncation at the Member Level]]+Age_Sex_PY[[#This Row],[Total Dollars Excluded from Spending After Applying Truncation at the Member Level]]=Age_Sex_PY[[#This Row],[Total Spending before Truncation is Applied]]</f>
        <v>1</v>
      </c>
    </row>
    <row r="224" spans="1:10" x14ac:dyDescent="0.25">
      <c r="A224" s="101"/>
      <c r="B224" s="104"/>
      <c r="C224" s="105"/>
      <c r="D224" s="273"/>
      <c r="E224" s="182"/>
      <c r="F224" s="110"/>
      <c r="G224" s="274"/>
      <c r="H224" s="110"/>
      <c r="I224" s="110"/>
      <c r="J224" s="237" t="b">
        <f>Age_Sex_PY[[#This Row],[Total Spending After Applying Truncation at the Member Level]]+Age_Sex_PY[[#This Row],[Total Dollars Excluded from Spending After Applying Truncation at the Member Level]]=Age_Sex_PY[[#This Row],[Total Spending before Truncation is Applied]]</f>
        <v>1</v>
      </c>
    </row>
    <row r="225" spans="1:10" x14ac:dyDescent="0.25">
      <c r="A225" s="101"/>
      <c r="B225" s="104"/>
      <c r="C225" s="105"/>
      <c r="D225" s="273"/>
      <c r="E225" s="182"/>
      <c r="F225" s="110"/>
      <c r="G225" s="274"/>
      <c r="H225" s="110"/>
      <c r="I225" s="110"/>
      <c r="J225" s="237" t="b">
        <f>Age_Sex_PY[[#This Row],[Total Spending After Applying Truncation at the Member Level]]+Age_Sex_PY[[#This Row],[Total Dollars Excluded from Spending After Applying Truncation at the Member Level]]=Age_Sex_PY[[#This Row],[Total Spending before Truncation is Applied]]</f>
        <v>1</v>
      </c>
    </row>
    <row r="226" spans="1:10" x14ac:dyDescent="0.25">
      <c r="A226" s="101"/>
      <c r="B226" s="104"/>
      <c r="C226" s="105"/>
      <c r="D226" s="273"/>
      <c r="E226" s="182"/>
      <c r="F226" s="110"/>
      <c r="G226" s="274"/>
      <c r="H226" s="110"/>
      <c r="I226" s="110"/>
      <c r="J226" s="237" t="b">
        <f>Age_Sex_PY[[#This Row],[Total Spending After Applying Truncation at the Member Level]]+Age_Sex_PY[[#This Row],[Total Dollars Excluded from Spending After Applying Truncation at the Member Level]]=Age_Sex_PY[[#This Row],[Total Spending before Truncation is Applied]]</f>
        <v>1</v>
      </c>
    </row>
    <row r="227" spans="1:10" x14ac:dyDescent="0.25">
      <c r="A227" s="101"/>
      <c r="B227" s="104"/>
      <c r="C227" s="105"/>
      <c r="D227" s="273"/>
      <c r="E227" s="182"/>
      <c r="F227" s="110"/>
      <c r="G227" s="274"/>
      <c r="H227" s="110"/>
      <c r="I227" s="110"/>
      <c r="J227" s="237" t="b">
        <f>Age_Sex_PY[[#This Row],[Total Spending After Applying Truncation at the Member Level]]+Age_Sex_PY[[#This Row],[Total Dollars Excluded from Spending After Applying Truncation at the Member Level]]=Age_Sex_PY[[#This Row],[Total Spending before Truncation is Applied]]</f>
        <v>1</v>
      </c>
    </row>
    <row r="228" spans="1:10" x14ac:dyDescent="0.25">
      <c r="A228" s="101"/>
      <c r="B228" s="104"/>
      <c r="C228" s="105"/>
      <c r="D228" s="273"/>
      <c r="E228" s="182"/>
      <c r="F228" s="110"/>
      <c r="G228" s="274"/>
      <c r="H228" s="110"/>
      <c r="I228" s="110"/>
      <c r="J228" s="237" t="b">
        <f>Age_Sex_PY[[#This Row],[Total Spending After Applying Truncation at the Member Level]]+Age_Sex_PY[[#This Row],[Total Dollars Excluded from Spending After Applying Truncation at the Member Level]]=Age_Sex_PY[[#This Row],[Total Spending before Truncation is Applied]]</f>
        <v>1</v>
      </c>
    </row>
    <row r="229" spans="1:10" x14ac:dyDescent="0.25">
      <c r="A229" s="101"/>
      <c r="B229" s="104"/>
      <c r="C229" s="105"/>
      <c r="D229" s="273"/>
      <c r="E229" s="182"/>
      <c r="F229" s="110"/>
      <c r="G229" s="274"/>
      <c r="H229" s="110"/>
      <c r="I229" s="110"/>
      <c r="J229" s="237" t="b">
        <f>Age_Sex_PY[[#This Row],[Total Spending After Applying Truncation at the Member Level]]+Age_Sex_PY[[#This Row],[Total Dollars Excluded from Spending After Applying Truncation at the Member Level]]=Age_Sex_PY[[#This Row],[Total Spending before Truncation is Applied]]</f>
        <v>1</v>
      </c>
    </row>
    <row r="230" spans="1:10" x14ac:dyDescent="0.25">
      <c r="A230" s="101"/>
      <c r="B230" s="104"/>
      <c r="C230" s="105"/>
      <c r="D230" s="273"/>
      <c r="E230" s="182"/>
      <c r="F230" s="110"/>
      <c r="G230" s="274"/>
      <c r="H230" s="110"/>
      <c r="I230" s="110"/>
      <c r="J230" s="237" t="b">
        <f>Age_Sex_PY[[#This Row],[Total Spending After Applying Truncation at the Member Level]]+Age_Sex_PY[[#This Row],[Total Dollars Excluded from Spending After Applying Truncation at the Member Level]]=Age_Sex_PY[[#This Row],[Total Spending before Truncation is Applied]]</f>
        <v>1</v>
      </c>
    </row>
    <row r="231" spans="1:10" x14ac:dyDescent="0.25">
      <c r="A231" s="101"/>
      <c r="B231" s="104"/>
      <c r="C231" s="105"/>
      <c r="D231" s="273"/>
      <c r="E231" s="182"/>
      <c r="F231" s="110"/>
      <c r="G231" s="274"/>
      <c r="H231" s="110"/>
      <c r="I231" s="110"/>
      <c r="J231" s="237" t="b">
        <f>Age_Sex_PY[[#This Row],[Total Spending After Applying Truncation at the Member Level]]+Age_Sex_PY[[#This Row],[Total Dollars Excluded from Spending After Applying Truncation at the Member Level]]=Age_Sex_PY[[#This Row],[Total Spending before Truncation is Applied]]</f>
        <v>1</v>
      </c>
    </row>
    <row r="232" spans="1:10" x14ac:dyDescent="0.25">
      <c r="A232" s="101"/>
      <c r="B232" s="104"/>
      <c r="C232" s="105"/>
      <c r="D232" s="273"/>
      <c r="E232" s="182"/>
      <c r="F232" s="110"/>
      <c r="G232" s="274"/>
      <c r="H232" s="110"/>
      <c r="I232" s="110"/>
      <c r="J232" s="237" t="b">
        <f>Age_Sex_PY[[#This Row],[Total Spending After Applying Truncation at the Member Level]]+Age_Sex_PY[[#This Row],[Total Dollars Excluded from Spending After Applying Truncation at the Member Level]]=Age_Sex_PY[[#This Row],[Total Spending before Truncation is Applied]]</f>
        <v>1</v>
      </c>
    </row>
    <row r="233" spans="1:10" x14ac:dyDescent="0.25">
      <c r="A233" s="101"/>
      <c r="B233" s="104"/>
      <c r="C233" s="105"/>
      <c r="D233" s="273"/>
      <c r="E233" s="182"/>
      <c r="F233" s="110"/>
      <c r="G233" s="274"/>
      <c r="H233" s="110"/>
      <c r="I233" s="110"/>
      <c r="J233" s="237" t="b">
        <f>Age_Sex_PY[[#This Row],[Total Spending After Applying Truncation at the Member Level]]+Age_Sex_PY[[#This Row],[Total Dollars Excluded from Spending After Applying Truncation at the Member Level]]=Age_Sex_PY[[#This Row],[Total Spending before Truncation is Applied]]</f>
        <v>1</v>
      </c>
    </row>
    <row r="234" spans="1:10" x14ac:dyDescent="0.25">
      <c r="A234" s="101"/>
      <c r="B234" s="104"/>
      <c r="C234" s="105"/>
      <c r="D234" s="273"/>
      <c r="E234" s="182"/>
      <c r="F234" s="110"/>
      <c r="G234" s="274"/>
      <c r="H234" s="110"/>
      <c r="I234" s="110"/>
      <c r="J234" s="237" t="b">
        <f>Age_Sex_PY[[#This Row],[Total Spending After Applying Truncation at the Member Level]]+Age_Sex_PY[[#This Row],[Total Dollars Excluded from Spending After Applying Truncation at the Member Level]]=Age_Sex_PY[[#This Row],[Total Spending before Truncation is Applied]]</f>
        <v>1</v>
      </c>
    </row>
    <row r="235" spans="1:10" x14ac:dyDescent="0.25">
      <c r="A235" s="101"/>
      <c r="B235" s="104"/>
      <c r="C235" s="105"/>
      <c r="D235" s="273"/>
      <c r="E235" s="182"/>
      <c r="F235" s="110"/>
      <c r="G235" s="274"/>
      <c r="H235" s="110"/>
      <c r="I235" s="110"/>
      <c r="J235" s="237" t="b">
        <f>Age_Sex_PY[[#This Row],[Total Spending After Applying Truncation at the Member Level]]+Age_Sex_PY[[#This Row],[Total Dollars Excluded from Spending After Applying Truncation at the Member Level]]=Age_Sex_PY[[#This Row],[Total Spending before Truncation is Applied]]</f>
        <v>1</v>
      </c>
    </row>
    <row r="236" spans="1:10" x14ac:dyDescent="0.25">
      <c r="A236" s="101"/>
      <c r="B236" s="104"/>
      <c r="C236" s="105"/>
      <c r="D236" s="273"/>
      <c r="E236" s="182"/>
      <c r="F236" s="110"/>
      <c r="G236" s="274"/>
      <c r="H236" s="110"/>
      <c r="I236" s="110"/>
      <c r="J236" s="237" t="b">
        <f>Age_Sex_PY[[#This Row],[Total Spending After Applying Truncation at the Member Level]]+Age_Sex_PY[[#This Row],[Total Dollars Excluded from Spending After Applying Truncation at the Member Level]]=Age_Sex_PY[[#This Row],[Total Spending before Truncation is Applied]]</f>
        <v>1</v>
      </c>
    </row>
    <row r="237" spans="1:10" x14ac:dyDescent="0.25">
      <c r="A237" s="101"/>
      <c r="B237" s="104"/>
      <c r="C237" s="105"/>
      <c r="D237" s="273"/>
      <c r="E237" s="182"/>
      <c r="F237" s="110"/>
      <c r="G237" s="274"/>
      <c r="H237" s="110"/>
      <c r="I237" s="110"/>
      <c r="J237" s="237" t="b">
        <f>Age_Sex_PY[[#This Row],[Total Spending After Applying Truncation at the Member Level]]+Age_Sex_PY[[#This Row],[Total Dollars Excluded from Spending After Applying Truncation at the Member Level]]=Age_Sex_PY[[#This Row],[Total Spending before Truncation is Applied]]</f>
        <v>1</v>
      </c>
    </row>
    <row r="238" spans="1:10" x14ac:dyDescent="0.25">
      <c r="A238" s="101"/>
      <c r="B238" s="104"/>
      <c r="C238" s="105"/>
      <c r="D238" s="273"/>
      <c r="E238" s="182"/>
      <c r="F238" s="110"/>
      <c r="G238" s="274"/>
      <c r="H238" s="110"/>
      <c r="I238" s="110"/>
      <c r="J238" s="237" t="b">
        <f>Age_Sex_PY[[#This Row],[Total Spending After Applying Truncation at the Member Level]]+Age_Sex_PY[[#This Row],[Total Dollars Excluded from Spending After Applying Truncation at the Member Level]]=Age_Sex_PY[[#This Row],[Total Spending before Truncation is Applied]]</f>
        <v>1</v>
      </c>
    </row>
    <row r="239" spans="1:10" x14ac:dyDescent="0.25">
      <c r="A239" s="101"/>
      <c r="B239" s="104"/>
      <c r="C239" s="105"/>
      <c r="D239" s="273"/>
      <c r="E239" s="182"/>
      <c r="F239" s="110"/>
      <c r="G239" s="274"/>
      <c r="H239" s="110"/>
      <c r="I239" s="110"/>
      <c r="J239" s="237" t="b">
        <f>Age_Sex_PY[[#This Row],[Total Spending After Applying Truncation at the Member Level]]+Age_Sex_PY[[#This Row],[Total Dollars Excluded from Spending After Applying Truncation at the Member Level]]=Age_Sex_PY[[#This Row],[Total Spending before Truncation is Applied]]</f>
        <v>1</v>
      </c>
    </row>
    <row r="240" spans="1:10" x14ac:dyDescent="0.25">
      <c r="A240" s="101"/>
      <c r="B240" s="104"/>
      <c r="C240" s="105"/>
      <c r="D240" s="273"/>
      <c r="E240" s="182"/>
      <c r="F240" s="110"/>
      <c r="G240" s="274"/>
      <c r="H240" s="110"/>
      <c r="I240" s="110"/>
      <c r="J240" s="237" t="b">
        <f>Age_Sex_PY[[#This Row],[Total Spending After Applying Truncation at the Member Level]]+Age_Sex_PY[[#This Row],[Total Dollars Excluded from Spending After Applying Truncation at the Member Level]]=Age_Sex_PY[[#This Row],[Total Spending before Truncation is Applied]]</f>
        <v>1</v>
      </c>
    </row>
    <row r="241" spans="1:10" x14ac:dyDescent="0.25">
      <c r="A241" s="101"/>
      <c r="B241" s="104"/>
      <c r="C241" s="105"/>
      <c r="D241" s="273"/>
      <c r="E241" s="182"/>
      <c r="F241" s="110"/>
      <c r="G241" s="274"/>
      <c r="H241" s="110"/>
      <c r="I241" s="110"/>
      <c r="J241" s="237" t="b">
        <f>Age_Sex_PY[[#This Row],[Total Spending After Applying Truncation at the Member Level]]+Age_Sex_PY[[#This Row],[Total Dollars Excluded from Spending After Applying Truncation at the Member Level]]=Age_Sex_PY[[#This Row],[Total Spending before Truncation is Applied]]</f>
        <v>1</v>
      </c>
    </row>
    <row r="242" spans="1:10" x14ac:dyDescent="0.25">
      <c r="A242" s="101"/>
      <c r="B242" s="104"/>
      <c r="C242" s="105"/>
      <c r="D242" s="273"/>
      <c r="E242" s="182"/>
      <c r="F242" s="110"/>
      <c r="G242" s="274"/>
      <c r="H242" s="110"/>
      <c r="I242" s="110"/>
      <c r="J242" s="237" t="b">
        <f>Age_Sex_PY[[#This Row],[Total Spending After Applying Truncation at the Member Level]]+Age_Sex_PY[[#This Row],[Total Dollars Excluded from Spending After Applying Truncation at the Member Level]]=Age_Sex_PY[[#This Row],[Total Spending before Truncation is Applied]]</f>
        <v>1</v>
      </c>
    </row>
    <row r="243" spans="1:10" x14ac:dyDescent="0.25">
      <c r="A243" s="101"/>
      <c r="B243" s="104"/>
      <c r="C243" s="105"/>
      <c r="D243" s="273"/>
      <c r="E243" s="182"/>
      <c r="F243" s="110"/>
      <c r="G243" s="274"/>
      <c r="H243" s="110"/>
      <c r="I243" s="110"/>
      <c r="J243" s="237" t="b">
        <f>Age_Sex_PY[[#This Row],[Total Spending After Applying Truncation at the Member Level]]+Age_Sex_PY[[#This Row],[Total Dollars Excluded from Spending After Applying Truncation at the Member Level]]=Age_Sex_PY[[#This Row],[Total Spending before Truncation is Applied]]</f>
        <v>1</v>
      </c>
    </row>
    <row r="244" spans="1:10" x14ac:dyDescent="0.25">
      <c r="A244" s="101"/>
      <c r="B244" s="104"/>
      <c r="C244" s="105"/>
      <c r="D244" s="273"/>
      <c r="E244" s="182"/>
      <c r="F244" s="110"/>
      <c r="G244" s="274"/>
      <c r="H244" s="110"/>
      <c r="I244" s="110"/>
      <c r="J244" s="237" t="b">
        <f>Age_Sex_PY[[#This Row],[Total Spending After Applying Truncation at the Member Level]]+Age_Sex_PY[[#This Row],[Total Dollars Excluded from Spending After Applying Truncation at the Member Level]]=Age_Sex_PY[[#This Row],[Total Spending before Truncation is Applied]]</f>
        <v>1</v>
      </c>
    </row>
    <row r="245" spans="1:10" x14ac:dyDescent="0.25">
      <c r="A245" s="101"/>
      <c r="B245" s="104"/>
      <c r="C245" s="105"/>
      <c r="D245" s="273"/>
      <c r="E245" s="182"/>
      <c r="F245" s="110"/>
      <c r="G245" s="274"/>
      <c r="H245" s="110"/>
      <c r="I245" s="110"/>
      <c r="J245" s="237" t="b">
        <f>Age_Sex_PY[[#This Row],[Total Spending After Applying Truncation at the Member Level]]+Age_Sex_PY[[#This Row],[Total Dollars Excluded from Spending After Applying Truncation at the Member Level]]=Age_Sex_PY[[#This Row],[Total Spending before Truncation is Applied]]</f>
        <v>1</v>
      </c>
    </row>
    <row r="246" spans="1:10" x14ac:dyDescent="0.25">
      <c r="A246" s="101"/>
      <c r="B246" s="104"/>
      <c r="C246" s="105"/>
      <c r="D246" s="273"/>
      <c r="E246" s="182"/>
      <c r="F246" s="110"/>
      <c r="G246" s="274"/>
      <c r="H246" s="110"/>
      <c r="I246" s="110"/>
      <c r="J246" s="237" t="b">
        <f>Age_Sex_PY[[#This Row],[Total Spending After Applying Truncation at the Member Level]]+Age_Sex_PY[[#This Row],[Total Dollars Excluded from Spending After Applying Truncation at the Member Level]]=Age_Sex_PY[[#This Row],[Total Spending before Truncation is Applied]]</f>
        <v>1</v>
      </c>
    </row>
    <row r="247" spans="1:10" x14ac:dyDescent="0.25">
      <c r="A247" s="101"/>
      <c r="B247" s="104"/>
      <c r="C247" s="105"/>
      <c r="D247" s="273"/>
      <c r="E247" s="182"/>
      <c r="F247" s="110"/>
      <c r="G247" s="274"/>
      <c r="H247" s="110"/>
      <c r="I247" s="110"/>
      <c r="J247" s="237" t="b">
        <f>Age_Sex_PY[[#This Row],[Total Spending After Applying Truncation at the Member Level]]+Age_Sex_PY[[#This Row],[Total Dollars Excluded from Spending After Applying Truncation at the Member Level]]=Age_Sex_PY[[#This Row],[Total Spending before Truncation is Applied]]</f>
        <v>1</v>
      </c>
    </row>
    <row r="248" spans="1:10" x14ac:dyDescent="0.25">
      <c r="A248" s="101"/>
      <c r="B248" s="104"/>
      <c r="C248" s="105"/>
      <c r="D248" s="273"/>
      <c r="E248" s="182"/>
      <c r="F248" s="110"/>
      <c r="G248" s="274"/>
      <c r="H248" s="110"/>
      <c r="I248" s="110"/>
      <c r="J248" s="237" t="b">
        <f>Age_Sex_PY[[#This Row],[Total Spending After Applying Truncation at the Member Level]]+Age_Sex_PY[[#This Row],[Total Dollars Excluded from Spending After Applying Truncation at the Member Level]]=Age_Sex_PY[[#This Row],[Total Spending before Truncation is Applied]]</f>
        <v>1</v>
      </c>
    </row>
    <row r="249" spans="1:10" x14ac:dyDescent="0.25">
      <c r="A249" s="101"/>
      <c r="B249" s="104"/>
      <c r="C249" s="105"/>
      <c r="D249" s="273"/>
      <c r="E249" s="182"/>
      <c r="F249" s="110"/>
      <c r="G249" s="274"/>
      <c r="H249" s="110"/>
      <c r="I249" s="110"/>
      <c r="J249" s="237" t="b">
        <f>Age_Sex_PY[[#This Row],[Total Spending After Applying Truncation at the Member Level]]+Age_Sex_PY[[#This Row],[Total Dollars Excluded from Spending After Applying Truncation at the Member Level]]=Age_Sex_PY[[#This Row],[Total Spending before Truncation is Applied]]</f>
        <v>1</v>
      </c>
    </row>
    <row r="250" spans="1:10" x14ac:dyDescent="0.25">
      <c r="A250" s="101"/>
      <c r="B250" s="104"/>
      <c r="C250" s="105"/>
      <c r="D250" s="273"/>
      <c r="E250" s="182"/>
      <c r="F250" s="110"/>
      <c r="G250" s="274"/>
      <c r="H250" s="110"/>
      <c r="I250" s="110"/>
      <c r="J250" s="237" t="b">
        <f>Age_Sex_PY[[#This Row],[Total Spending After Applying Truncation at the Member Level]]+Age_Sex_PY[[#This Row],[Total Dollars Excluded from Spending After Applying Truncation at the Member Level]]=Age_Sex_PY[[#This Row],[Total Spending before Truncation is Applied]]</f>
        <v>1</v>
      </c>
    </row>
    <row r="251" spans="1:10" x14ac:dyDescent="0.25">
      <c r="A251" s="101"/>
      <c r="B251" s="104"/>
      <c r="C251" s="105"/>
      <c r="D251" s="273"/>
      <c r="E251" s="182"/>
      <c r="F251" s="110"/>
      <c r="G251" s="274"/>
      <c r="H251" s="110"/>
      <c r="I251" s="110"/>
      <c r="J251" s="237" t="b">
        <f>Age_Sex_PY[[#This Row],[Total Spending After Applying Truncation at the Member Level]]+Age_Sex_PY[[#This Row],[Total Dollars Excluded from Spending After Applying Truncation at the Member Level]]=Age_Sex_PY[[#This Row],[Total Spending before Truncation is Applied]]</f>
        <v>1</v>
      </c>
    </row>
    <row r="252" spans="1:10" x14ac:dyDescent="0.25">
      <c r="A252" s="101"/>
      <c r="B252" s="104"/>
      <c r="C252" s="105"/>
      <c r="D252" s="273"/>
      <c r="E252" s="182"/>
      <c r="F252" s="110"/>
      <c r="G252" s="274"/>
      <c r="H252" s="110"/>
      <c r="I252" s="110"/>
      <c r="J252" s="237" t="b">
        <f>Age_Sex_PY[[#This Row],[Total Spending After Applying Truncation at the Member Level]]+Age_Sex_PY[[#This Row],[Total Dollars Excluded from Spending After Applying Truncation at the Member Level]]=Age_Sex_PY[[#This Row],[Total Spending before Truncation is Applied]]</f>
        <v>1</v>
      </c>
    </row>
    <row r="253" spans="1:10" x14ac:dyDescent="0.25">
      <c r="A253" s="101"/>
      <c r="B253" s="104"/>
      <c r="C253" s="105"/>
      <c r="D253" s="273"/>
      <c r="E253" s="182"/>
      <c r="F253" s="110"/>
      <c r="G253" s="274"/>
      <c r="H253" s="110"/>
      <c r="I253" s="110"/>
      <c r="J253" s="237" t="b">
        <f>Age_Sex_PY[[#This Row],[Total Spending After Applying Truncation at the Member Level]]+Age_Sex_PY[[#This Row],[Total Dollars Excluded from Spending After Applying Truncation at the Member Level]]=Age_Sex_PY[[#This Row],[Total Spending before Truncation is Applied]]</f>
        <v>1</v>
      </c>
    </row>
    <row r="254" spans="1:10" x14ac:dyDescent="0.25">
      <c r="A254" s="101"/>
      <c r="B254" s="104"/>
      <c r="C254" s="105"/>
      <c r="D254" s="273"/>
      <c r="E254" s="182"/>
      <c r="F254" s="110"/>
      <c r="G254" s="274"/>
      <c r="H254" s="110"/>
      <c r="I254" s="110"/>
      <c r="J254" s="237" t="b">
        <f>Age_Sex_PY[[#This Row],[Total Spending After Applying Truncation at the Member Level]]+Age_Sex_PY[[#This Row],[Total Dollars Excluded from Spending After Applying Truncation at the Member Level]]=Age_Sex_PY[[#This Row],[Total Spending before Truncation is Applied]]</f>
        <v>1</v>
      </c>
    </row>
    <row r="255" spans="1:10" x14ac:dyDescent="0.25">
      <c r="A255" s="101"/>
      <c r="B255" s="104"/>
      <c r="C255" s="105"/>
      <c r="D255" s="273"/>
      <c r="E255" s="182"/>
      <c r="F255" s="110"/>
      <c r="G255" s="274"/>
      <c r="H255" s="110"/>
      <c r="I255" s="110"/>
      <c r="J255" s="237" t="b">
        <f>Age_Sex_PY[[#This Row],[Total Spending After Applying Truncation at the Member Level]]+Age_Sex_PY[[#This Row],[Total Dollars Excluded from Spending After Applying Truncation at the Member Level]]=Age_Sex_PY[[#This Row],[Total Spending before Truncation is Applied]]</f>
        <v>1</v>
      </c>
    </row>
    <row r="256" spans="1:10" x14ac:dyDescent="0.25">
      <c r="A256" s="101"/>
      <c r="B256" s="104"/>
      <c r="C256" s="105"/>
      <c r="D256" s="273"/>
      <c r="E256" s="182"/>
      <c r="F256" s="110"/>
      <c r="G256" s="274"/>
      <c r="H256" s="110"/>
      <c r="I256" s="110"/>
      <c r="J256" s="237" t="b">
        <f>Age_Sex_PY[[#This Row],[Total Spending After Applying Truncation at the Member Level]]+Age_Sex_PY[[#This Row],[Total Dollars Excluded from Spending After Applying Truncation at the Member Level]]=Age_Sex_PY[[#This Row],[Total Spending before Truncation is Applied]]</f>
        <v>1</v>
      </c>
    </row>
    <row r="257" spans="1:10" x14ac:dyDescent="0.25">
      <c r="A257" s="101"/>
      <c r="B257" s="104"/>
      <c r="C257" s="105"/>
      <c r="D257" s="273"/>
      <c r="E257" s="182"/>
      <c r="F257" s="110"/>
      <c r="G257" s="274"/>
      <c r="H257" s="110"/>
      <c r="I257" s="110"/>
      <c r="J257" s="237" t="b">
        <f>Age_Sex_PY[[#This Row],[Total Spending After Applying Truncation at the Member Level]]+Age_Sex_PY[[#This Row],[Total Dollars Excluded from Spending After Applying Truncation at the Member Level]]=Age_Sex_PY[[#This Row],[Total Spending before Truncation is Applied]]</f>
        <v>1</v>
      </c>
    </row>
    <row r="258" spans="1:10" x14ac:dyDescent="0.25">
      <c r="A258" s="101"/>
      <c r="B258" s="104"/>
      <c r="C258" s="105"/>
      <c r="D258" s="273"/>
      <c r="E258" s="182"/>
      <c r="F258" s="110"/>
      <c r="G258" s="274"/>
      <c r="H258" s="110"/>
      <c r="I258" s="110"/>
      <c r="J258" s="237" t="b">
        <f>Age_Sex_PY[[#This Row],[Total Spending After Applying Truncation at the Member Level]]+Age_Sex_PY[[#This Row],[Total Dollars Excluded from Spending After Applying Truncation at the Member Level]]=Age_Sex_PY[[#This Row],[Total Spending before Truncation is Applied]]</f>
        <v>1</v>
      </c>
    </row>
    <row r="259" spans="1:10" x14ac:dyDescent="0.25">
      <c r="A259" s="101"/>
      <c r="B259" s="104"/>
      <c r="C259" s="105"/>
      <c r="D259" s="273"/>
      <c r="E259" s="182"/>
      <c r="F259" s="110"/>
      <c r="G259" s="274"/>
      <c r="H259" s="110"/>
      <c r="I259" s="110"/>
      <c r="J259" s="237" t="b">
        <f>Age_Sex_PY[[#This Row],[Total Spending After Applying Truncation at the Member Level]]+Age_Sex_PY[[#This Row],[Total Dollars Excluded from Spending After Applying Truncation at the Member Level]]=Age_Sex_PY[[#This Row],[Total Spending before Truncation is Applied]]</f>
        <v>1</v>
      </c>
    </row>
    <row r="260" spans="1:10" x14ac:dyDescent="0.25">
      <c r="A260" s="101"/>
      <c r="B260" s="104"/>
      <c r="C260" s="105"/>
      <c r="D260" s="273"/>
      <c r="E260" s="182"/>
      <c r="F260" s="110"/>
      <c r="G260" s="274"/>
      <c r="H260" s="110"/>
      <c r="I260" s="110"/>
      <c r="J260" s="237" t="b">
        <f>Age_Sex_PY[[#This Row],[Total Spending After Applying Truncation at the Member Level]]+Age_Sex_PY[[#This Row],[Total Dollars Excluded from Spending After Applying Truncation at the Member Level]]=Age_Sex_PY[[#This Row],[Total Spending before Truncation is Applied]]</f>
        <v>1</v>
      </c>
    </row>
    <row r="261" spans="1:10" x14ac:dyDescent="0.25">
      <c r="A261" s="101"/>
      <c r="B261" s="104"/>
      <c r="C261" s="105"/>
      <c r="D261" s="273"/>
      <c r="E261" s="182"/>
      <c r="F261" s="110"/>
      <c r="G261" s="274"/>
      <c r="H261" s="110"/>
      <c r="I261" s="110"/>
      <c r="J261" s="237" t="b">
        <f>Age_Sex_PY[[#This Row],[Total Spending After Applying Truncation at the Member Level]]+Age_Sex_PY[[#This Row],[Total Dollars Excluded from Spending After Applying Truncation at the Member Level]]=Age_Sex_PY[[#This Row],[Total Spending before Truncation is Applied]]</f>
        <v>1</v>
      </c>
    </row>
    <row r="262" spans="1:10" x14ac:dyDescent="0.25">
      <c r="A262" s="101"/>
      <c r="B262" s="104"/>
      <c r="C262" s="105"/>
      <c r="D262" s="273"/>
      <c r="E262" s="182"/>
      <c r="F262" s="110"/>
      <c r="G262" s="274"/>
      <c r="H262" s="110"/>
      <c r="I262" s="110"/>
      <c r="J262" s="237" t="b">
        <f>Age_Sex_PY[[#This Row],[Total Spending After Applying Truncation at the Member Level]]+Age_Sex_PY[[#This Row],[Total Dollars Excluded from Spending After Applying Truncation at the Member Level]]=Age_Sex_PY[[#This Row],[Total Spending before Truncation is Applied]]</f>
        <v>1</v>
      </c>
    </row>
    <row r="263" spans="1:10" x14ac:dyDescent="0.25">
      <c r="A263" s="101"/>
      <c r="B263" s="104"/>
      <c r="C263" s="105"/>
      <c r="D263" s="273"/>
      <c r="E263" s="182"/>
      <c r="F263" s="110"/>
      <c r="G263" s="274"/>
      <c r="H263" s="110"/>
      <c r="I263" s="110"/>
      <c r="J263" s="237" t="b">
        <f>Age_Sex_PY[[#This Row],[Total Spending After Applying Truncation at the Member Level]]+Age_Sex_PY[[#This Row],[Total Dollars Excluded from Spending After Applying Truncation at the Member Level]]=Age_Sex_PY[[#This Row],[Total Spending before Truncation is Applied]]</f>
        <v>1</v>
      </c>
    </row>
    <row r="264" spans="1:10" x14ac:dyDescent="0.25">
      <c r="A264" s="101"/>
      <c r="B264" s="104"/>
      <c r="C264" s="105"/>
      <c r="D264" s="273"/>
      <c r="E264" s="182"/>
      <c r="F264" s="110"/>
      <c r="G264" s="274"/>
      <c r="H264" s="110"/>
      <c r="I264" s="110"/>
      <c r="J264" s="237" t="b">
        <f>Age_Sex_PY[[#This Row],[Total Spending After Applying Truncation at the Member Level]]+Age_Sex_PY[[#This Row],[Total Dollars Excluded from Spending After Applying Truncation at the Member Level]]=Age_Sex_PY[[#This Row],[Total Spending before Truncation is Applied]]</f>
        <v>1</v>
      </c>
    </row>
    <row r="265" spans="1:10" x14ac:dyDescent="0.25">
      <c r="A265" s="101"/>
      <c r="B265" s="104"/>
      <c r="C265" s="105"/>
      <c r="D265" s="273"/>
      <c r="E265" s="182"/>
      <c r="F265" s="110"/>
      <c r="G265" s="274"/>
      <c r="H265" s="110"/>
      <c r="I265" s="110"/>
      <c r="J265" s="237" t="b">
        <f>Age_Sex_PY[[#This Row],[Total Spending After Applying Truncation at the Member Level]]+Age_Sex_PY[[#This Row],[Total Dollars Excluded from Spending After Applying Truncation at the Member Level]]=Age_Sex_PY[[#This Row],[Total Spending before Truncation is Applied]]</f>
        <v>1</v>
      </c>
    </row>
    <row r="266" spans="1:10" x14ac:dyDescent="0.25">
      <c r="A266" s="101"/>
      <c r="B266" s="104"/>
      <c r="C266" s="105"/>
      <c r="D266" s="273"/>
      <c r="E266" s="182"/>
      <c r="F266" s="110"/>
      <c r="G266" s="274"/>
      <c r="H266" s="110"/>
      <c r="I266" s="110"/>
      <c r="J266" s="237" t="b">
        <f>Age_Sex_PY[[#This Row],[Total Spending After Applying Truncation at the Member Level]]+Age_Sex_PY[[#This Row],[Total Dollars Excluded from Spending After Applying Truncation at the Member Level]]=Age_Sex_PY[[#This Row],[Total Spending before Truncation is Applied]]</f>
        <v>1</v>
      </c>
    </row>
    <row r="267" spans="1:10" x14ac:dyDescent="0.25">
      <c r="A267" s="101"/>
      <c r="B267" s="104"/>
      <c r="C267" s="105"/>
      <c r="D267" s="273"/>
      <c r="E267" s="182"/>
      <c r="F267" s="110"/>
      <c r="G267" s="274"/>
      <c r="H267" s="110"/>
      <c r="I267" s="110"/>
      <c r="J267" s="237" t="b">
        <f>Age_Sex_PY[[#This Row],[Total Spending After Applying Truncation at the Member Level]]+Age_Sex_PY[[#This Row],[Total Dollars Excluded from Spending After Applying Truncation at the Member Level]]=Age_Sex_PY[[#This Row],[Total Spending before Truncation is Applied]]</f>
        <v>1</v>
      </c>
    </row>
    <row r="268" spans="1:10" x14ac:dyDescent="0.25">
      <c r="A268" s="101"/>
      <c r="B268" s="104"/>
      <c r="C268" s="105"/>
      <c r="D268" s="273"/>
      <c r="E268" s="182"/>
      <c r="F268" s="110"/>
      <c r="G268" s="274"/>
      <c r="H268" s="110"/>
      <c r="I268" s="110"/>
      <c r="J268" s="237" t="b">
        <f>Age_Sex_PY[[#This Row],[Total Spending After Applying Truncation at the Member Level]]+Age_Sex_PY[[#This Row],[Total Dollars Excluded from Spending After Applying Truncation at the Member Level]]=Age_Sex_PY[[#This Row],[Total Spending before Truncation is Applied]]</f>
        <v>1</v>
      </c>
    </row>
    <row r="269" spans="1:10" x14ac:dyDescent="0.25">
      <c r="A269" s="101"/>
      <c r="B269" s="104"/>
      <c r="C269" s="105"/>
      <c r="D269" s="273"/>
      <c r="E269" s="182"/>
      <c r="F269" s="110"/>
      <c r="G269" s="274"/>
      <c r="H269" s="110"/>
      <c r="I269" s="110"/>
      <c r="J269" s="237" t="b">
        <f>Age_Sex_PY[[#This Row],[Total Spending After Applying Truncation at the Member Level]]+Age_Sex_PY[[#This Row],[Total Dollars Excluded from Spending After Applying Truncation at the Member Level]]=Age_Sex_PY[[#This Row],[Total Spending before Truncation is Applied]]</f>
        <v>1</v>
      </c>
    </row>
    <row r="270" spans="1:10" x14ac:dyDescent="0.25">
      <c r="A270" s="101"/>
      <c r="B270" s="104"/>
      <c r="C270" s="105"/>
      <c r="D270" s="273"/>
      <c r="E270" s="182"/>
      <c r="F270" s="110"/>
      <c r="G270" s="274"/>
      <c r="H270" s="110"/>
      <c r="I270" s="110"/>
      <c r="J270" s="237" t="b">
        <f>Age_Sex_PY[[#This Row],[Total Spending After Applying Truncation at the Member Level]]+Age_Sex_PY[[#This Row],[Total Dollars Excluded from Spending After Applying Truncation at the Member Level]]=Age_Sex_PY[[#This Row],[Total Spending before Truncation is Applied]]</f>
        <v>1</v>
      </c>
    </row>
    <row r="271" spans="1:10" x14ac:dyDescent="0.25">
      <c r="A271" s="101"/>
      <c r="B271" s="104"/>
      <c r="C271" s="105"/>
      <c r="D271" s="273"/>
      <c r="E271" s="182"/>
      <c r="F271" s="110"/>
      <c r="G271" s="274"/>
      <c r="H271" s="110"/>
      <c r="I271" s="110"/>
      <c r="J271" s="237" t="b">
        <f>Age_Sex_PY[[#This Row],[Total Spending After Applying Truncation at the Member Level]]+Age_Sex_PY[[#This Row],[Total Dollars Excluded from Spending After Applying Truncation at the Member Level]]=Age_Sex_PY[[#This Row],[Total Spending before Truncation is Applied]]</f>
        <v>1</v>
      </c>
    </row>
    <row r="272" spans="1:10" x14ac:dyDescent="0.25">
      <c r="A272" s="101"/>
      <c r="B272" s="104"/>
      <c r="C272" s="105"/>
      <c r="D272" s="273"/>
      <c r="E272" s="182"/>
      <c r="F272" s="110"/>
      <c r="G272" s="274"/>
      <c r="H272" s="110"/>
      <c r="I272" s="110"/>
      <c r="J272" s="237" t="b">
        <f>Age_Sex_PY[[#This Row],[Total Spending After Applying Truncation at the Member Level]]+Age_Sex_PY[[#This Row],[Total Dollars Excluded from Spending After Applying Truncation at the Member Level]]=Age_Sex_PY[[#This Row],[Total Spending before Truncation is Applied]]</f>
        <v>1</v>
      </c>
    </row>
    <row r="273" spans="1:10" x14ac:dyDescent="0.25">
      <c r="A273" s="101"/>
      <c r="B273" s="104"/>
      <c r="C273" s="105"/>
      <c r="D273" s="273"/>
      <c r="E273" s="182"/>
      <c r="F273" s="110"/>
      <c r="G273" s="274"/>
      <c r="H273" s="110"/>
      <c r="I273" s="110"/>
      <c r="J273" s="237" t="b">
        <f>Age_Sex_PY[[#This Row],[Total Spending After Applying Truncation at the Member Level]]+Age_Sex_PY[[#This Row],[Total Dollars Excluded from Spending After Applying Truncation at the Member Level]]=Age_Sex_PY[[#This Row],[Total Spending before Truncation is Applied]]</f>
        <v>1</v>
      </c>
    </row>
    <row r="274" spans="1:10" x14ac:dyDescent="0.25">
      <c r="A274" s="101"/>
      <c r="B274" s="104"/>
      <c r="C274" s="105"/>
      <c r="D274" s="273"/>
      <c r="E274" s="182"/>
      <c r="F274" s="110"/>
      <c r="G274" s="274"/>
      <c r="H274" s="110"/>
      <c r="I274" s="110"/>
      <c r="J274" s="237" t="b">
        <f>Age_Sex_PY[[#This Row],[Total Spending After Applying Truncation at the Member Level]]+Age_Sex_PY[[#This Row],[Total Dollars Excluded from Spending After Applying Truncation at the Member Level]]=Age_Sex_PY[[#This Row],[Total Spending before Truncation is Applied]]</f>
        <v>1</v>
      </c>
    </row>
    <row r="275" spans="1:10" x14ac:dyDescent="0.25">
      <c r="A275" s="101"/>
      <c r="B275" s="104"/>
      <c r="C275" s="105"/>
      <c r="D275" s="273"/>
      <c r="E275" s="182"/>
      <c r="F275" s="110"/>
      <c r="G275" s="274"/>
      <c r="H275" s="110"/>
      <c r="I275" s="110"/>
      <c r="J275" s="237" t="b">
        <f>Age_Sex_PY[[#This Row],[Total Spending After Applying Truncation at the Member Level]]+Age_Sex_PY[[#This Row],[Total Dollars Excluded from Spending After Applying Truncation at the Member Level]]=Age_Sex_PY[[#This Row],[Total Spending before Truncation is Applied]]</f>
        <v>1</v>
      </c>
    </row>
    <row r="276" spans="1:10" x14ac:dyDescent="0.25">
      <c r="A276" s="101"/>
      <c r="B276" s="104"/>
      <c r="C276" s="105"/>
      <c r="D276" s="273"/>
      <c r="E276" s="182"/>
      <c r="F276" s="110"/>
      <c r="G276" s="274"/>
      <c r="H276" s="110"/>
      <c r="I276" s="110"/>
      <c r="J276" s="237" t="b">
        <f>Age_Sex_PY[[#This Row],[Total Spending After Applying Truncation at the Member Level]]+Age_Sex_PY[[#This Row],[Total Dollars Excluded from Spending After Applying Truncation at the Member Level]]=Age_Sex_PY[[#This Row],[Total Spending before Truncation is Applied]]</f>
        <v>1</v>
      </c>
    </row>
    <row r="277" spans="1:10" x14ac:dyDescent="0.25">
      <c r="A277" s="101"/>
      <c r="B277" s="104"/>
      <c r="C277" s="105"/>
      <c r="D277" s="273"/>
      <c r="E277" s="182"/>
      <c r="F277" s="110"/>
      <c r="G277" s="274"/>
      <c r="H277" s="110"/>
      <c r="I277" s="110"/>
      <c r="J277" s="237" t="b">
        <f>Age_Sex_PY[[#This Row],[Total Spending After Applying Truncation at the Member Level]]+Age_Sex_PY[[#This Row],[Total Dollars Excluded from Spending After Applying Truncation at the Member Level]]=Age_Sex_PY[[#This Row],[Total Spending before Truncation is Applied]]</f>
        <v>1</v>
      </c>
    </row>
    <row r="278" spans="1:10" x14ac:dyDescent="0.25">
      <c r="A278" s="101"/>
      <c r="B278" s="104"/>
      <c r="C278" s="105"/>
      <c r="D278" s="273"/>
      <c r="E278" s="182"/>
      <c r="F278" s="110"/>
      <c r="G278" s="274"/>
      <c r="H278" s="110"/>
      <c r="I278" s="110"/>
      <c r="J278" s="237" t="b">
        <f>Age_Sex_PY[[#This Row],[Total Spending After Applying Truncation at the Member Level]]+Age_Sex_PY[[#This Row],[Total Dollars Excluded from Spending After Applying Truncation at the Member Level]]=Age_Sex_PY[[#This Row],[Total Spending before Truncation is Applied]]</f>
        <v>1</v>
      </c>
    </row>
    <row r="279" spans="1:10" x14ac:dyDescent="0.25">
      <c r="A279" s="101"/>
      <c r="B279" s="104"/>
      <c r="C279" s="105"/>
      <c r="D279" s="273"/>
      <c r="E279" s="182"/>
      <c r="F279" s="110"/>
      <c r="G279" s="274"/>
      <c r="H279" s="110"/>
      <c r="I279" s="110"/>
      <c r="J279" s="237" t="b">
        <f>Age_Sex_PY[[#This Row],[Total Spending After Applying Truncation at the Member Level]]+Age_Sex_PY[[#This Row],[Total Dollars Excluded from Spending After Applying Truncation at the Member Level]]=Age_Sex_PY[[#This Row],[Total Spending before Truncation is Applied]]</f>
        <v>1</v>
      </c>
    </row>
    <row r="280" spans="1:10" x14ac:dyDescent="0.25">
      <c r="A280" s="101"/>
      <c r="B280" s="104"/>
      <c r="C280" s="105"/>
      <c r="D280" s="273"/>
      <c r="E280" s="182"/>
      <c r="F280" s="110"/>
      <c r="G280" s="274"/>
      <c r="H280" s="110"/>
      <c r="I280" s="110"/>
      <c r="J280" s="237" t="b">
        <f>Age_Sex_PY[[#This Row],[Total Spending After Applying Truncation at the Member Level]]+Age_Sex_PY[[#This Row],[Total Dollars Excluded from Spending After Applying Truncation at the Member Level]]=Age_Sex_PY[[#This Row],[Total Spending before Truncation is Applied]]</f>
        <v>1</v>
      </c>
    </row>
    <row r="281" spans="1:10" x14ac:dyDescent="0.25">
      <c r="A281" s="101"/>
      <c r="B281" s="104"/>
      <c r="C281" s="105"/>
      <c r="D281" s="273"/>
      <c r="E281" s="182"/>
      <c r="F281" s="110"/>
      <c r="G281" s="274"/>
      <c r="H281" s="110"/>
      <c r="I281" s="110"/>
      <c r="J281" s="237" t="b">
        <f>Age_Sex_PY[[#This Row],[Total Spending After Applying Truncation at the Member Level]]+Age_Sex_PY[[#This Row],[Total Dollars Excluded from Spending After Applying Truncation at the Member Level]]=Age_Sex_PY[[#This Row],[Total Spending before Truncation is Applied]]</f>
        <v>1</v>
      </c>
    </row>
    <row r="282" spans="1:10" x14ac:dyDescent="0.25">
      <c r="A282" s="101"/>
      <c r="B282" s="104"/>
      <c r="C282" s="105"/>
      <c r="D282" s="273"/>
      <c r="E282" s="182"/>
      <c r="F282" s="110"/>
      <c r="G282" s="274"/>
      <c r="H282" s="110"/>
      <c r="I282" s="110"/>
      <c r="J282" s="237" t="b">
        <f>Age_Sex_PY[[#This Row],[Total Spending After Applying Truncation at the Member Level]]+Age_Sex_PY[[#This Row],[Total Dollars Excluded from Spending After Applying Truncation at the Member Level]]=Age_Sex_PY[[#This Row],[Total Spending before Truncation is Applied]]</f>
        <v>1</v>
      </c>
    </row>
    <row r="283" spans="1:10" x14ac:dyDescent="0.25">
      <c r="A283" s="101"/>
      <c r="B283" s="104"/>
      <c r="C283" s="105"/>
      <c r="D283" s="273"/>
      <c r="E283" s="182"/>
      <c r="F283" s="110"/>
      <c r="G283" s="274"/>
      <c r="H283" s="110"/>
      <c r="I283" s="110"/>
      <c r="J283" s="237" t="b">
        <f>Age_Sex_PY[[#This Row],[Total Spending After Applying Truncation at the Member Level]]+Age_Sex_PY[[#This Row],[Total Dollars Excluded from Spending After Applying Truncation at the Member Level]]=Age_Sex_PY[[#This Row],[Total Spending before Truncation is Applied]]</f>
        <v>1</v>
      </c>
    </row>
    <row r="284" spans="1:10" x14ac:dyDescent="0.25">
      <c r="A284" s="101"/>
      <c r="B284" s="104"/>
      <c r="C284" s="105"/>
      <c r="D284" s="273"/>
      <c r="E284" s="182"/>
      <c r="F284" s="110"/>
      <c r="G284" s="274"/>
      <c r="H284" s="110"/>
      <c r="I284" s="110"/>
      <c r="J284" s="237" t="b">
        <f>Age_Sex_PY[[#This Row],[Total Spending After Applying Truncation at the Member Level]]+Age_Sex_PY[[#This Row],[Total Dollars Excluded from Spending After Applying Truncation at the Member Level]]=Age_Sex_PY[[#This Row],[Total Spending before Truncation is Applied]]</f>
        <v>1</v>
      </c>
    </row>
    <row r="285" spans="1:10" x14ac:dyDescent="0.25">
      <c r="A285" s="101"/>
      <c r="B285" s="104"/>
      <c r="C285" s="105"/>
      <c r="D285" s="273"/>
      <c r="E285" s="182"/>
      <c r="F285" s="110"/>
      <c r="G285" s="274"/>
      <c r="H285" s="110"/>
      <c r="I285" s="110"/>
      <c r="J285" s="237" t="b">
        <f>Age_Sex_PY[[#This Row],[Total Spending After Applying Truncation at the Member Level]]+Age_Sex_PY[[#This Row],[Total Dollars Excluded from Spending After Applying Truncation at the Member Level]]=Age_Sex_PY[[#This Row],[Total Spending before Truncation is Applied]]</f>
        <v>1</v>
      </c>
    </row>
    <row r="286" spans="1:10" x14ac:dyDescent="0.25">
      <c r="A286" s="101"/>
      <c r="B286" s="104"/>
      <c r="C286" s="105"/>
      <c r="D286" s="273"/>
      <c r="E286" s="182"/>
      <c r="F286" s="110"/>
      <c r="G286" s="274"/>
      <c r="H286" s="110"/>
      <c r="I286" s="110"/>
      <c r="J286" s="237" t="b">
        <f>Age_Sex_PY[[#This Row],[Total Spending After Applying Truncation at the Member Level]]+Age_Sex_PY[[#This Row],[Total Dollars Excluded from Spending After Applying Truncation at the Member Level]]=Age_Sex_PY[[#This Row],[Total Spending before Truncation is Applied]]</f>
        <v>1</v>
      </c>
    </row>
    <row r="287" spans="1:10" x14ac:dyDescent="0.25">
      <c r="A287" s="101"/>
      <c r="B287" s="104"/>
      <c r="C287" s="105"/>
      <c r="D287" s="273"/>
      <c r="E287" s="182"/>
      <c r="F287" s="110"/>
      <c r="G287" s="274"/>
      <c r="H287" s="110"/>
      <c r="I287" s="110"/>
      <c r="J287" s="237" t="b">
        <f>Age_Sex_PY[[#This Row],[Total Spending After Applying Truncation at the Member Level]]+Age_Sex_PY[[#This Row],[Total Dollars Excluded from Spending After Applying Truncation at the Member Level]]=Age_Sex_PY[[#This Row],[Total Spending before Truncation is Applied]]</f>
        <v>1</v>
      </c>
    </row>
    <row r="288" spans="1:10" x14ac:dyDescent="0.25">
      <c r="A288" s="101"/>
      <c r="B288" s="104"/>
      <c r="C288" s="105"/>
      <c r="D288" s="273"/>
      <c r="E288" s="182"/>
      <c r="F288" s="110"/>
      <c r="G288" s="274"/>
      <c r="H288" s="110"/>
      <c r="I288" s="110"/>
      <c r="J288" s="237" t="b">
        <f>Age_Sex_PY[[#This Row],[Total Spending After Applying Truncation at the Member Level]]+Age_Sex_PY[[#This Row],[Total Dollars Excluded from Spending After Applying Truncation at the Member Level]]=Age_Sex_PY[[#This Row],[Total Spending before Truncation is Applied]]</f>
        <v>1</v>
      </c>
    </row>
    <row r="289" spans="1:10" x14ac:dyDescent="0.25">
      <c r="A289" s="101"/>
      <c r="B289" s="104"/>
      <c r="C289" s="105"/>
      <c r="D289" s="273"/>
      <c r="E289" s="182"/>
      <c r="F289" s="110"/>
      <c r="G289" s="274"/>
      <c r="H289" s="110"/>
      <c r="I289" s="110"/>
      <c r="J289" s="237" t="b">
        <f>Age_Sex_PY[[#This Row],[Total Spending After Applying Truncation at the Member Level]]+Age_Sex_PY[[#This Row],[Total Dollars Excluded from Spending After Applying Truncation at the Member Level]]=Age_Sex_PY[[#This Row],[Total Spending before Truncation is Applied]]</f>
        <v>1</v>
      </c>
    </row>
    <row r="290" spans="1:10" x14ac:dyDescent="0.25">
      <c r="A290" s="101"/>
      <c r="B290" s="104"/>
      <c r="C290" s="105"/>
      <c r="D290" s="273"/>
      <c r="E290" s="182"/>
      <c r="F290" s="110"/>
      <c r="G290" s="274"/>
      <c r="H290" s="110"/>
      <c r="I290" s="110"/>
      <c r="J290" s="237" t="b">
        <f>Age_Sex_PY[[#This Row],[Total Spending After Applying Truncation at the Member Level]]+Age_Sex_PY[[#This Row],[Total Dollars Excluded from Spending After Applying Truncation at the Member Level]]=Age_Sex_PY[[#This Row],[Total Spending before Truncation is Applied]]</f>
        <v>1</v>
      </c>
    </row>
    <row r="291" spans="1:10" x14ac:dyDescent="0.25">
      <c r="A291" s="101"/>
      <c r="B291" s="104"/>
      <c r="C291" s="105"/>
      <c r="D291" s="273"/>
      <c r="E291" s="182"/>
      <c r="F291" s="110"/>
      <c r="G291" s="274"/>
      <c r="H291" s="110"/>
      <c r="I291" s="110"/>
      <c r="J291" s="237" t="b">
        <f>Age_Sex_PY[[#This Row],[Total Spending After Applying Truncation at the Member Level]]+Age_Sex_PY[[#This Row],[Total Dollars Excluded from Spending After Applying Truncation at the Member Level]]=Age_Sex_PY[[#This Row],[Total Spending before Truncation is Applied]]</f>
        <v>1</v>
      </c>
    </row>
    <row r="292" spans="1:10" x14ac:dyDescent="0.25">
      <c r="A292" s="101"/>
      <c r="B292" s="104"/>
      <c r="C292" s="105"/>
      <c r="D292" s="273"/>
      <c r="E292" s="182"/>
      <c r="F292" s="110"/>
      <c r="G292" s="274"/>
      <c r="H292" s="110"/>
      <c r="I292" s="110"/>
      <c r="J292" s="237" t="b">
        <f>Age_Sex_PY[[#This Row],[Total Spending After Applying Truncation at the Member Level]]+Age_Sex_PY[[#This Row],[Total Dollars Excluded from Spending After Applying Truncation at the Member Level]]=Age_Sex_PY[[#This Row],[Total Spending before Truncation is Applied]]</f>
        <v>1</v>
      </c>
    </row>
    <row r="293" spans="1:10" x14ac:dyDescent="0.25">
      <c r="A293" s="101"/>
      <c r="B293" s="104"/>
      <c r="C293" s="105"/>
      <c r="D293" s="273"/>
      <c r="E293" s="182"/>
      <c r="F293" s="110"/>
      <c r="G293" s="274"/>
      <c r="H293" s="110"/>
      <c r="I293" s="110"/>
      <c r="J293" s="237" t="b">
        <f>Age_Sex_PY[[#This Row],[Total Spending After Applying Truncation at the Member Level]]+Age_Sex_PY[[#This Row],[Total Dollars Excluded from Spending After Applying Truncation at the Member Level]]=Age_Sex_PY[[#This Row],[Total Spending before Truncation is Applied]]</f>
        <v>1</v>
      </c>
    </row>
    <row r="294" spans="1:10" x14ac:dyDescent="0.25">
      <c r="A294" s="101"/>
      <c r="B294" s="104"/>
      <c r="C294" s="105"/>
      <c r="D294" s="273"/>
      <c r="E294" s="182"/>
      <c r="F294" s="110"/>
      <c r="G294" s="274"/>
      <c r="H294" s="110"/>
      <c r="I294" s="110"/>
      <c r="J294" s="237" t="b">
        <f>Age_Sex_PY[[#This Row],[Total Spending After Applying Truncation at the Member Level]]+Age_Sex_PY[[#This Row],[Total Dollars Excluded from Spending After Applying Truncation at the Member Level]]=Age_Sex_PY[[#This Row],[Total Spending before Truncation is Applied]]</f>
        <v>1</v>
      </c>
    </row>
    <row r="295" spans="1:10" x14ac:dyDescent="0.25">
      <c r="A295" s="101"/>
      <c r="B295" s="104"/>
      <c r="C295" s="105"/>
      <c r="D295" s="273"/>
      <c r="E295" s="182"/>
      <c r="F295" s="110"/>
      <c r="G295" s="274"/>
      <c r="H295" s="110"/>
      <c r="I295" s="110"/>
      <c r="J295" s="237" t="b">
        <f>Age_Sex_PY[[#This Row],[Total Spending After Applying Truncation at the Member Level]]+Age_Sex_PY[[#This Row],[Total Dollars Excluded from Spending After Applying Truncation at the Member Level]]=Age_Sex_PY[[#This Row],[Total Spending before Truncation is Applied]]</f>
        <v>1</v>
      </c>
    </row>
    <row r="296" spans="1:10" x14ac:dyDescent="0.25">
      <c r="A296" s="101"/>
      <c r="B296" s="104"/>
      <c r="C296" s="105"/>
      <c r="D296" s="273"/>
      <c r="E296" s="182"/>
      <c r="F296" s="110"/>
      <c r="G296" s="274"/>
      <c r="H296" s="110"/>
      <c r="I296" s="110"/>
      <c r="J296" s="237" t="b">
        <f>Age_Sex_PY[[#This Row],[Total Spending After Applying Truncation at the Member Level]]+Age_Sex_PY[[#This Row],[Total Dollars Excluded from Spending After Applying Truncation at the Member Level]]=Age_Sex_PY[[#This Row],[Total Spending before Truncation is Applied]]</f>
        <v>1</v>
      </c>
    </row>
    <row r="297" spans="1:10" x14ac:dyDescent="0.25">
      <c r="A297" s="101"/>
      <c r="B297" s="104"/>
      <c r="C297" s="105"/>
      <c r="D297" s="273"/>
      <c r="E297" s="182"/>
      <c r="F297" s="110"/>
      <c r="G297" s="274"/>
      <c r="H297" s="110"/>
      <c r="I297" s="110"/>
      <c r="J297" s="237" t="b">
        <f>Age_Sex_PY[[#This Row],[Total Spending After Applying Truncation at the Member Level]]+Age_Sex_PY[[#This Row],[Total Dollars Excluded from Spending After Applying Truncation at the Member Level]]=Age_Sex_PY[[#This Row],[Total Spending before Truncation is Applied]]</f>
        <v>1</v>
      </c>
    </row>
    <row r="298" spans="1:10" x14ac:dyDescent="0.25">
      <c r="A298" s="101"/>
      <c r="B298" s="104"/>
      <c r="C298" s="105"/>
      <c r="D298" s="273"/>
      <c r="E298" s="182"/>
      <c r="F298" s="110"/>
      <c r="G298" s="274"/>
      <c r="H298" s="110"/>
      <c r="I298" s="110"/>
      <c r="J298" s="237" t="b">
        <f>Age_Sex_PY[[#This Row],[Total Spending After Applying Truncation at the Member Level]]+Age_Sex_PY[[#This Row],[Total Dollars Excluded from Spending After Applying Truncation at the Member Level]]=Age_Sex_PY[[#This Row],[Total Spending before Truncation is Applied]]</f>
        <v>1</v>
      </c>
    </row>
    <row r="299" spans="1:10" x14ac:dyDescent="0.25">
      <c r="A299" s="101"/>
      <c r="B299" s="104"/>
      <c r="C299" s="105"/>
      <c r="D299" s="273"/>
      <c r="E299" s="182"/>
      <c r="F299" s="110"/>
      <c r="G299" s="274"/>
      <c r="H299" s="110"/>
      <c r="I299" s="110"/>
      <c r="J299" s="237" t="b">
        <f>Age_Sex_PY[[#This Row],[Total Spending After Applying Truncation at the Member Level]]+Age_Sex_PY[[#This Row],[Total Dollars Excluded from Spending After Applying Truncation at the Member Level]]=Age_Sex_PY[[#This Row],[Total Spending before Truncation is Applied]]</f>
        <v>1</v>
      </c>
    </row>
    <row r="300" spans="1:10" x14ac:dyDescent="0.25">
      <c r="A300" s="101"/>
      <c r="B300" s="104"/>
      <c r="C300" s="105"/>
      <c r="D300" s="273"/>
      <c r="E300" s="182"/>
      <c r="F300" s="110"/>
      <c r="G300" s="274"/>
      <c r="H300" s="110"/>
      <c r="I300" s="110"/>
      <c r="J300" s="237" t="b">
        <f>Age_Sex_PY[[#This Row],[Total Spending After Applying Truncation at the Member Level]]+Age_Sex_PY[[#This Row],[Total Dollars Excluded from Spending After Applying Truncation at the Member Level]]=Age_Sex_PY[[#This Row],[Total Spending before Truncation is Applied]]</f>
        <v>1</v>
      </c>
    </row>
    <row r="301" spans="1:10" x14ac:dyDescent="0.25">
      <c r="A301" s="101"/>
      <c r="B301" s="104"/>
      <c r="C301" s="105"/>
      <c r="D301" s="273"/>
      <c r="E301" s="182"/>
      <c r="F301" s="110"/>
      <c r="G301" s="274"/>
      <c r="H301" s="110"/>
      <c r="I301" s="110"/>
      <c r="J301" s="237" t="b">
        <f>Age_Sex_PY[[#This Row],[Total Spending After Applying Truncation at the Member Level]]+Age_Sex_PY[[#This Row],[Total Dollars Excluded from Spending After Applying Truncation at the Member Level]]=Age_Sex_PY[[#This Row],[Total Spending before Truncation is Applied]]</f>
        <v>1</v>
      </c>
    </row>
    <row r="302" spans="1:10" x14ac:dyDescent="0.25">
      <c r="A302" s="101"/>
      <c r="B302" s="104"/>
      <c r="C302" s="105"/>
      <c r="D302" s="273"/>
      <c r="E302" s="182"/>
      <c r="F302" s="110"/>
      <c r="G302" s="274"/>
      <c r="H302" s="110"/>
      <c r="I302" s="110"/>
      <c r="J302" s="237" t="b">
        <f>Age_Sex_PY[[#This Row],[Total Spending After Applying Truncation at the Member Level]]+Age_Sex_PY[[#This Row],[Total Dollars Excluded from Spending After Applying Truncation at the Member Level]]=Age_Sex_PY[[#This Row],[Total Spending before Truncation is Applied]]</f>
        <v>1</v>
      </c>
    </row>
    <row r="303" spans="1:10" x14ac:dyDescent="0.25">
      <c r="A303" s="101"/>
      <c r="B303" s="104"/>
      <c r="C303" s="105"/>
      <c r="D303" s="273"/>
      <c r="E303" s="182"/>
      <c r="F303" s="110"/>
      <c r="G303" s="274"/>
      <c r="H303" s="110"/>
      <c r="I303" s="110"/>
      <c r="J303" s="237" t="b">
        <f>Age_Sex_PY[[#This Row],[Total Spending After Applying Truncation at the Member Level]]+Age_Sex_PY[[#This Row],[Total Dollars Excluded from Spending After Applying Truncation at the Member Level]]=Age_Sex_PY[[#This Row],[Total Spending before Truncation is Applied]]</f>
        <v>1</v>
      </c>
    </row>
    <row r="304" spans="1:10" x14ac:dyDescent="0.25">
      <c r="A304" s="101"/>
      <c r="B304" s="104"/>
      <c r="C304" s="105"/>
      <c r="D304" s="273"/>
      <c r="E304" s="182"/>
      <c r="F304" s="110"/>
      <c r="G304" s="274"/>
      <c r="H304" s="110"/>
      <c r="I304" s="110"/>
      <c r="J304" s="237" t="b">
        <f>Age_Sex_PY[[#This Row],[Total Spending After Applying Truncation at the Member Level]]+Age_Sex_PY[[#This Row],[Total Dollars Excluded from Spending After Applying Truncation at the Member Level]]=Age_Sex_PY[[#This Row],[Total Spending before Truncation is Applied]]</f>
        <v>1</v>
      </c>
    </row>
    <row r="305" spans="1:10" x14ac:dyDescent="0.25">
      <c r="A305" s="101"/>
      <c r="B305" s="104"/>
      <c r="C305" s="105"/>
      <c r="D305" s="273"/>
      <c r="E305" s="182"/>
      <c r="F305" s="110"/>
      <c r="G305" s="274"/>
      <c r="H305" s="110"/>
      <c r="I305" s="110"/>
      <c r="J305" s="237" t="b">
        <f>Age_Sex_PY[[#This Row],[Total Spending After Applying Truncation at the Member Level]]+Age_Sex_PY[[#This Row],[Total Dollars Excluded from Spending After Applying Truncation at the Member Level]]=Age_Sex_PY[[#This Row],[Total Spending before Truncation is Applied]]</f>
        <v>1</v>
      </c>
    </row>
    <row r="306" spans="1:10" x14ac:dyDescent="0.25">
      <c r="A306" s="101"/>
      <c r="B306" s="104"/>
      <c r="C306" s="105"/>
      <c r="D306" s="273"/>
      <c r="E306" s="182"/>
      <c r="F306" s="110"/>
      <c r="G306" s="274"/>
      <c r="H306" s="110"/>
      <c r="I306" s="110"/>
      <c r="J306" s="237" t="b">
        <f>Age_Sex_PY[[#This Row],[Total Spending After Applying Truncation at the Member Level]]+Age_Sex_PY[[#This Row],[Total Dollars Excluded from Spending After Applying Truncation at the Member Level]]=Age_Sex_PY[[#This Row],[Total Spending before Truncation is Applied]]</f>
        <v>1</v>
      </c>
    </row>
    <row r="307" spans="1:10" x14ac:dyDescent="0.25">
      <c r="A307" s="101"/>
      <c r="B307" s="104"/>
      <c r="C307" s="105"/>
      <c r="D307" s="273"/>
      <c r="E307" s="182"/>
      <c r="F307" s="110"/>
      <c r="G307" s="274"/>
      <c r="H307" s="110"/>
      <c r="I307" s="110"/>
      <c r="J307" s="237" t="b">
        <f>Age_Sex_PY[[#This Row],[Total Spending After Applying Truncation at the Member Level]]+Age_Sex_PY[[#This Row],[Total Dollars Excluded from Spending After Applying Truncation at the Member Level]]=Age_Sex_PY[[#This Row],[Total Spending before Truncation is Applied]]</f>
        <v>1</v>
      </c>
    </row>
    <row r="308" spans="1:10" x14ac:dyDescent="0.25">
      <c r="A308" s="101"/>
      <c r="B308" s="104"/>
      <c r="C308" s="105"/>
      <c r="D308" s="273"/>
      <c r="E308" s="182"/>
      <c r="F308" s="110"/>
      <c r="G308" s="274"/>
      <c r="H308" s="110"/>
      <c r="I308" s="110"/>
      <c r="J308" s="237" t="b">
        <f>Age_Sex_PY[[#This Row],[Total Spending After Applying Truncation at the Member Level]]+Age_Sex_PY[[#This Row],[Total Dollars Excluded from Spending After Applying Truncation at the Member Level]]=Age_Sex_PY[[#This Row],[Total Spending before Truncation is Applied]]</f>
        <v>1</v>
      </c>
    </row>
    <row r="309" spans="1:10" x14ac:dyDescent="0.25">
      <c r="A309" s="101"/>
      <c r="B309" s="104"/>
      <c r="C309" s="105"/>
      <c r="D309" s="273"/>
      <c r="E309" s="182"/>
      <c r="F309" s="110"/>
      <c r="G309" s="274"/>
      <c r="H309" s="110"/>
      <c r="I309" s="110"/>
      <c r="J309" s="237" t="b">
        <f>Age_Sex_PY[[#This Row],[Total Spending After Applying Truncation at the Member Level]]+Age_Sex_PY[[#This Row],[Total Dollars Excluded from Spending After Applying Truncation at the Member Level]]=Age_Sex_PY[[#This Row],[Total Spending before Truncation is Applied]]</f>
        <v>1</v>
      </c>
    </row>
    <row r="310" spans="1:10" x14ac:dyDescent="0.25">
      <c r="A310" s="101"/>
      <c r="B310" s="104"/>
      <c r="C310" s="105"/>
      <c r="D310" s="273"/>
      <c r="E310" s="182"/>
      <c r="F310" s="110"/>
      <c r="G310" s="274"/>
      <c r="H310" s="110"/>
      <c r="I310" s="110"/>
      <c r="J310" s="237" t="b">
        <f>Age_Sex_PY[[#This Row],[Total Spending After Applying Truncation at the Member Level]]+Age_Sex_PY[[#This Row],[Total Dollars Excluded from Spending After Applying Truncation at the Member Level]]=Age_Sex_PY[[#This Row],[Total Spending before Truncation is Applied]]</f>
        <v>1</v>
      </c>
    </row>
    <row r="311" spans="1:10" x14ac:dyDescent="0.25">
      <c r="A311" s="101"/>
      <c r="B311" s="104"/>
      <c r="C311" s="105"/>
      <c r="D311" s="273"/>
      <c r="E311" s="182"/>
      <c r="F311" s="110"/>
      <c r="G311" s="274"/>
      <c r="H311" s="110"/>
      <c r="I311" s="110"/>
      <c r="J311" s="237" t="b">
        <f>Age_Sex_PY[[#This Row],[Total Spending After Applying Truncation at the Member Level]]+Age_Sex_PY[[#This Row],[Total Dollars Excluded from Spending After Applying Truncation at the Member Level]]=Age_Sex_PY[[#This Row],[Total Spending before Truncation is Applied]]</f>
        <v>1</v>
      </c>
    </row>
    <row r="312" spans="1:10" x14ac:dyDescent="0.25">
      <c r="A312" s="101"/>
      <c r="B312" s="104"/>
      <c r="C312" s="105"/>
      <c r="D312" s="273"/>
      <c r="E312" s="182"/>
      <c r="F312" s="110"/>
      <c r="G312" s="274"/>
      <c r="H312" s="110"/>
      <c r="I312" s="110"/>
      <c r="J312" s="237" t="b">
        <f>Age_Sex_PY[[#This Row],[Total Spending After Applying Truncation at the Member Level]]+Age_Sex_PY[[#This Row],[Total Dollars Excluded from Spending After Applying Truncation at the Member Level]]=Age_Sex_PY[[#This Row],[Total Spending before Truncation is Applied]]</f>
        <v>1</v>
      </c>
    </row>
    <row r="313" spans="1:10" x14ac:dyDescent="0.25">
      <c r="A313" s="101"/>
      <c r="B313" s="104"/>
      <c r="C313" s="105"/>
      <c r="D313" s="273"/>
      <c r="E313" s="182"/>
      <c r="F313" s="110"/>
      <c r="G313" s="274"/>
      <c r="H313" s="110"/>
      <c r="I313" s="110"/>
      <c r="J313" s="237" t="b">
        <f>Age_Sex_PY[[#This Row],[Total Spending After Applying Truncation at the Member Level]]+Age_Sex_PY[[#This Row],[Total Dollars Excluded from Spending After Applying Truncation at the Member Level]]=Age_Sex_PY[[#This Row],[Total Spending before Truncation is Applied]]</f>
        <v>1</v>
      </c>
    </row>
    <row r="314" spans="1:10" x14ac:dyDescent="0.25">
      <c r="A314" s="101"/>
      <c r="B314" s="104"/>
      <c r="C314" s="105"/>
      <c r="D314" s="273"/>
      <c r="E314" s="182"/>
      <c r="F314" s="110"/>
      <c r="G314" s="274"/>
      <c r="H314" s="110"/>
      <c r="I314" s="110"/>
      <c r="J314" s="237" t="b">
        <f>Age_Sex_PY[[#This Row],[Total Spending After Applying Truncation at the Member Level]]+Age_Sex_PY[[#This Row],[Total Dollars Excluded from Spending After Applying Truncation at the Member Level]]=Age_Sex_PY[[#This Row],[Total Spending before Truncation is Applied]]</f>
        <v>1</v>
      </c>
    </row>
    <row r="315" spans="1:10" x14ac:dyDescent="0.25">
      <c r="A315" s="101"/>
      <c r="B315" s="104"/>
      <c r="C315" s="105"/>
      <c r="D315" s="273"/>
      <c r="E315" s="182"/>
      <c r="F315" s="110"/>
      <c r="G315" s="274"/>
      <c r="H315" s="110"/>
      <c r="I315" s="110"/>
      <c r="J315" s="237" t="b">
        <f>Age_Sex_PY[[#This Row],[Total Spending After Applying Truncation at the Member Level]]+Age_Sex_PY[[#This Row],[Total Dollars Excluded from Spending After Applying Truncation at the Member Level]]=Age_Sex_PY[[#This Row],[Total Spending before Truncation is Applied]]</f>
        <v>1</v>
      </c>
    </row>
    <row r="316" spans="1:10" x14ac:dyDescent="0.25">
      <c r="A316" s="101"/>
      <c r="B316" s="104"/>
      <c r="C316" s="105"/>
      <c r="D316" s="273"/>
      <c r="E316" s="182"/>
      <c r="F316" s="110"/>
      <c r="G316" s="274"/>
      <c r="H316" s="110"/>
      <c r="I316" s="110"/>
      <c r="J316" s="237" t="b">
        <f>Age_Sex_PY[[#This Row],[Total Spending After Applying Truncation at the Member Level]]+Age_Sex_PY[[#This Row],[Total Dollars Excluded from Spending After Applying Truncation at the Member Level]]=Age_Sex_PY[[#This Row],[Total Spending before Truncation is Applied]]</f>
        <v>1</v>
      </c>
    </row>
    <row r="317" spans="1:10" x14ac:dyDescent="0.25">
      <c r="A317" s="101"/>
      <c r="B317" s="104"/>
      <c r="C317" s="105"/>
      <c r="D317" s="273"/>
      <c r="E317" s="182"/>
      <c r="F317" s="110"/>
      <c r="G317" s="274"/>
      <c r="H317" s="110"/>
      <c r="I317" s="110"/>
      <c r="J317" s="237" t="b">
        <f>Age_Sex_PY[[#This Row],[Total Spending After Applying Truncation at the Member Level]]+Age_Sex_PY[[#This Row],[Total Dollars Excluded from Spending After Applying Truncation at the Member Level]]=Age_Sex_PY[[#This Row],[Total Spending before Truncation is Applied]]</f>
        <v>1</v>
      </c>
    </row>
    <row r="318" spans="1:10" x14ac:dyDescent="0.25">
      <c r="A318" s="101"/>
      <c r="B318" s="104"/>
      <c r="C318" s="105"/>
      <c r="D318" s="273"/>
      <c r="E318" s="182"/>
      <c r="F318" s="110"/>
      <c r="G318" s="274"/>
      <c r="H318" s="110"/>
      <c r="I318" s="110"/>
      <c r="J318" s="237" t="b">
        <f>Age_Sex_PY[[#This Row],[Total Spending After Applying Truncation at the Member Level]]+Age_Sex_PY[[#This Row],[Total Dollars Excluded from Spending After Applying Truncation at the Member Level]]=Age_Sex_PY[[#This Row],[Total Spending before Truncation is Applied]]</f>
        <v>1</v>
      </c>
    </row>
    <row r="319" spans="1:10" x14ac:dyDescent="0.25">
      <c r="A319" s="101"/>
      <c r="B319" s="104"/>
      <c r="C319" s="105"/>
      <c r="D319" s="273"/>
      <c r="E319" s="182"/>
      <c r="F319" s="110"/>
      <c r="G319" s="274"/>
      <c r="H319" s="110"/>
      <c r="I319" s="110"/>
      <c r="J319" s="237" t="b">
        <f>Age_Sex_PY[[#This Row],[Total Spending After Applying Truncation at the Member Level]]+Age_Sex_PY[[#This Row],[Total Dollars Excluded from Spending After Applying Truncation at the Member Level]]=Age_Sex_PY[[#This Row],[Total Spending before Truncation is Applied]]</f>
        <v>1</v>
      </c>
    </row>
    <row r="320" spans="1:10" x14ac:dyDescent="0.25">
      <c r="A320" s="101"/>
      <c r="B320" s="104"/>
      <c r="C320" s="105"/>
      <c r="D320" s="273"/>
      <c r="E320" s="182"/>
      <c r="F320" s="110"/>
      <c r="G320" s="274"/>
      <c r="H320" s="110"/>
      <c r="I320" s="110"/>
      <c r="J320" s="237" t="b">
        <f>Age_Sex_PY[[#This Row],[Total Spending After Applying Truncation at the Member Level]]+Age_Sex_PY[[#This Row],[Total Dollars Excluded from Spending After Applying Truncation at the Member Level]]=Age_Sex_PY[[#This Row],[Total Spending before Truncation is Applied]]</f>
        <v>1</v>
      </c>
    </row>
    <row r="321" spans="1:10" x14ac:dyDescent="0.25">
      <c r="A321" s="101"/>
      <c r="B321" s="104"/>
      <c r="C321" s="105"/>
      <c r="D321" s="273"/>
      <c r="E321" s="182"/>
      <c r="F321" s="110"/>
      <c r="G321" s="274"/>
      <c r="H321" s="110"/>
      <c r="I321" s="110"/>
      <c r="J321" s="237" t="b">
        <f>Age_Sex_PY[[#This Row],[Total Spending After Applying Truncation at the Member Level]]+Age_Sex_PY[[#This Row],[Total Dollars Excluded from Spending After Applying Truncation at the Member Level]]=Age_Sex_PY[[#This Row],[Total Spending before Truncation is Applied]]</f>
        <v>1</v>
      </c>
    </row>
    <row r="322" spans="1:10" x14ac:dyDescent="0.25">
      <c r="A322" s="101"/>
      <c r="B322" s="104"/>
      <c r="C322" s="105"/>
      <c r="D322" s="273"/>
      <c r="E322" s="182"/>
      <c r="F322" s="110"/>
      <c r="G322" s="274"/>
      <c r="H322" s="110"/>
      <c r="I322" s="110"/>
      <c r="J322" s="237" t="b">
        <f>Age_Sex_PY[[#This Row],[Total Spending After Applying Truncation at the Member Level]]+Age_Sex_PY[[#This Row],[Total Dollars Excluded from Spending After Applying Truncation at the Member Level]]=Age_Sex_PY[[#This Row],[Total Spending before Truncation is Applied]]</f>
        <v>1</v>
      </c>
    </row>
    <row r="323" spans="1:10" x14ac:dyDescent="0.25">
      <c r="A323" s="101"/>
      <c r="B323" s="104"/>
      <c r="C323" s="105"/>
      <c r="D323" s="273"/>
      <c r="E323" s="182"/>
      <c r="F323" s="110"/>
      <c r="G323" s="274"/>
      <c r="H323" s="110"/>
      <c r="I323" s="110"/>
      <c r="J323" s="237" t="b">
        <f>Age_Sex_PY[[#This Row],[Total Spending After Applying Truncation at the Member Level]]+Age_Sex_PY[[#This Row],[Total Dollars Excluded from Spending After Applying Truncation at the Member Level]]=Age_Sex_PY[[#This Row],[Total Spending before Truncation is Applied]]</f>
        <v>1</v>
      </c>
    </row>
    <row r="324" spans="1:10" x14ac:dyDescent="0.25">
      <c r="A324" s="101"/>
      <c r="B324" s="104"/>
      <c r="C324" s="105"/>
      <c r="D324" s="273"/>
      <c r="E324" s="182"/>
      <c r="F324" s="110"/>
      <c r="G324" s="274"/>
      <c r="H324" s="110"/>
      <c r="I324" s="110"/>
      <c r="J324" s="237" t="b">
        <f>Age_Sex_PY[[#This Row],[Total Spending After Applying Truncation at the Member Level]]+Age_Sex_PY[[#This Row],[Total Dollars Excluded from Spending After Applying Truncation at the Member Level]]=Age_Sex_PY[[#This Row],[Total Spending before Truncation is Applied]]</f>
        <v>1</v>
      </c>
    </row>
    <row r="325" spans="1:10" x14ac:dyDescent="0.25">
      <c r="A325" s="101"/>
      <c r="B325" s="104"/>
      <c r="C325" s="105"/>
      <c r="D325" s="273"/>
      <c r="E325" s="182"/>
      <c r="F325" s="110"/>
      <c r="G325" s="274"/>
      <c r="H325" s="110"/>
      <c r="I325" s="110"/>
      <c r="J325" s="237" t="b">
        <f>Age_Sex_PY[[#This Row],[Total Spending After Applying Truncation at the Member Level]]+Age_Sex_PY[[#This Row],[Total Dollars Excluded from Spending After Applying Truncation at the Member Level]]=Age_Sex_PY[[#This Row],[Total Spending before Truncation is Applied]]</f>
        <v>1</v>
      </c>
    </row>
    <row r="326" spans="1:10" x14ac:dyDescent="0.25">
      <c r="A326" s="101"/>
      <c r="B326" s="104"/>
      <c r="C326" s="105"/>
      <c r="D326" s="273"/>
      <c r="E326" s="182"/>
      <c r="F326" s="110"/>
      <c r="G326" s="274"/>
      <c r="H326" s="110"/>
      <c r="I326" s="110"/>
      <c r="J326" s="237" t="b">
        <f>Age_Sex_PY[[#This Row],[Total Spending After Applying Truncation at the Member Level]]+Age_Sex_PY[[#This Row],[Total Dollars Excluded from Spending After Applying Truncation at the Member Level]]=Age_Sex_PY[[#This Row],[Total Spending before Truncation is Applied]]</f>
        <v>1</v>
      </c>
    </row>
    <row r="327" spans="1:10" x14ac:dyDescent="0.25">
      <c r="A327" s="101"/>
      <c r="B327" s="104"/>
      <c r="C327" s="105"/>
      <c r="D327" s="273"/>
      <c r="E327" s="182"/>
      <c r="F327" s="110"/>
      <c r="G327" s="274"/>
      <c r="H327" s="110"/>
      <c r="I327" s="110"/>
      <c r="J327" s="237" t="b">
        <f>Age_Sex_PY[[#This Row],[Total Spending After Applying Truncation at the Member Level]]+Age_Sex_PY[[#This Row],[Total Dollars Excluded from Spending After Applying Truncation at the Member Level]]=Age_Sex_PY[[#This Row],[Total Spending before Truncation is Applied]]</f>
        <v>1</v>
      </c>
    </row>
    <row r="328" spans="1:10" x14ac:dyDescent="0.25">
      <c r="A328" s="101"/>
      <c r="B328" s="104"/>
      <c r="C328" s="105"/>
      <c r="D328" s="273"/>
      <c r="E328" s="182"/>
      <c r="F328" s="110"/>
      <c r="G328" s="274"/>
      <c r="H328" s="110"/>
      <c r="I328" s="110"/>
      <c r="J328" s="237" t="b">
        <f>Age_Sex_PY[[#This Row],[Total Spending After Applying Truncation at the Member Level]]+Age_Sex_PY[[#This Row],[Total Dollars Excluded from Spending After Applying Truncation at the Member Level]]=Age_Sex_PY[[#This Row],[Total Spending before Truncation is Applied]]</f>
        <v>1</v>
      </c>
    </row>
    <row r="329" spans="1:10" x14ac:dyDescent="0.25">
      <c r="A329" s="101"/>
      <c r="B329" s="104"/>
      <c r="C329" s="105"/>
      <c r="D329" s="273"/>
      <c r="E329" s="182"/>
      <c r="F329" s="110"/>
      <c r="G329" s="274"/>
      <c r="H329" s="110"/>
      <c r="I329" s="110"/>
      <c r="J329" s="237" t="b">
        <f>Age_Sex_PY[[#This Row],[Total Spending After Applying Truncation at the Member Level]]+Age_Sex_PY[[#This Row],[Total Dollars Excluded from Spending After Applying Truncation at the Member Level]]=Age_Sex_PY[[#This Row],[Total Spending before Truncation is Applied]]</f>
        <v>1</v>
      </c>
    </row>
    <row r="330" spans="1:10" x14ac:dyDescent="0.25">
      <c r="A330" s="101"/>
      <c r="B330" s="104"/>
      <c r="C330" s="105"/>
      <c r="D330" s="273"/>
      <c r="E330" s="182"/>
      <c r="F330" s="110"/>
      <c r="G330" s="274"/>
      <c r="H330" s="110"/>
      <c r="I330" s="110"/>
      <c r="J330" s="237" t="b">
        <f>Age_Sex_PY[[#This Row],[Total Spending After Applying Truncation at the Member Level]]+Age_Sex_PY[[#This Row],[Total Dollars Excluded from Spending After Applying Truncation at the Member Level]]=Age_Sex_PY[[#This Row],[Total Spending before Truncation is Applied]]</f>
        <v>1</v>
      </c>
    </row>
    <row r="331" spans="1:10" x14ac:dyDescent="0.25">
      <c r="A331" s="101"/>
      <c r="B331" s="104"/>
      <c r="C331" s="105"/>
      <c r="D331" s="273"/>
      <c r="E331" s="182"/>
      <c r="F331" s="110"/>
      <c r="G331" s="274"/>
      <c r="H331" s="110"/>
      <c r="I331" s="110"/>
      <c r="J331" s="237" t="b">
        <f>Age_Sex_PY[[#This Row],[Total Spending After Applying Truncation at the Member Level]]+Age_Sex_PY[[#This Row],[Total Dollars Excluded from Spending After Applying Truncation at the Member Level]]=Age_Sex_PY[[#This Row],[Total Spending before Truncation is Applied]]</f>
        <v>1</v>
      </c>
    </row>
    <row r="332" spans="1:10" x14ac:dyDescent="0.25">
      <c r="A332" s="101"/>
      <c r="B332" s="104"/>
      <c r="C332" s="105"/>
      <c r="D332" s="273"/>
      <c r="E332" s="182"/>
      <c r="F332" s="110"/>
      <c r="G332" s="274"/>
      <c r="H332" s="110"/>
      <c r="I332" s="110"/>
      <c r="J332" s="237" t="b">
        <f>Age_Sex_PY[[#This Row],[Total Spending After Applying Truncation at the Member Level]]+Age_Sex_PY[[#This Row],[Total Dollars Excluded from Spending After Applying Truncation at the Member Level]]=Age_Sex_PY[[#This Row],[Total Spending before Truncation is Applied]]</f>
        <v>1</v>
      </c>
    </row>
    <row r="333" spans="1:10" x14ac:dyDescent="0.25">
      <c r="A333" s="101"/>
      <c r="B333" s="104"/>
      <c r="C333" s="105"/>
      <c r="D333" s="273"/>
      <c r="E333" s="182"/>
      <c r="F333" s="110"/>
      <c r="G333" s="274"/>
      <c r="H333" s="110"/>
      <c r="I333" s="110"/>
      <c r="J333" s="237" t="b">
        <f>Age_Sex_PY[[#This Row],[Total Spending After Applying Truncation at the Member Level]]+Age_Sex_PY[[#This Row],[Total Dollars Excluded from Spending After Applying Truncation at the Member Level]]=Age_Sex_PY[[#This Row],[Total Spending before Truncation is Applied]]</f>
        <v>1</v>
      </c>
    </row>
    <row r="334" spans="1:10" x14ac:dyDescent="0.25">
      <c r="A334" s="101"/>
      <c r="B334" s="104"/>
      <c r="C334" s="105"/>
      <c r="D334" s="273"/>
      <c r="E334" s="182"/>
      <c r="F334" s="110"/>
      <c r="G334" s="274"/>
      <c r="H334" s="110"/>
      <c r="I334" s="110"/>
      <c r="J334" s="237" t="b">
        <f>Age_Sex_PY[[#This Row],[Total Spending After Applying Truncation at the Member Level]]+Age_Sex_PY[[#This Row],[Total Dollars Excluded from Spending After Applying Truncation at the Member Level]]=Age_Sex_PY[[#This Row],[Total Spending before Truncation is Applied]]</f>
        <v>1</v>
      </c>
    </row>
    <row r="335" spans="1:10" x14ac:dyDescent="0.25">
      <c r="A335" s="101"/>
      <c r="B335" s="104"/>
      <c r="C335" s="105"/>
      <c r="D335" s="273"/>
      <c r="E335" s="182"/>
      <c r="F335" s="110"/>
      <c r="G335" s="274"/>
      <c r="H335" s="110"/>
      <c r="I335" s="110"/>
      <c r="J335" s="237" t="b">
        <f>Age_Sex_PY[[#This Row],[Total Spending After Applying Truncation at the Member Level]]+Age_Sex_PY[[#This Row],[Total Dollars Excluded from Spending After Applying Truncation at the Member Level]]=Age_Sex_PY[[#This Row],[Total Spending before Truncation is Applied]]</f>
        <v>1</v>
      </c>
    </row>
    <row r="336" spans="1:10" x14ac:dyDescent="0.25">
      <c r="A336" s="101"/>
      <c r="B336" s="104"/>
      <c r="C336" s="105"/>
      <c r="D336" s="273"/>
      <c r="E336" s="182"/>
      <c r="F336" s="110"/>
      <c r="G336" s="274"/>
      <c r="H336" s="110"/>
      <c r="I336" s="110"/>
      <c r="J336" s="237" t="b">
        <f>Age_Sex_PY[[#This Row],[Total Spending After Applying Truncation at the Member Level]]+Age_Sex_PY[[#This Row],[Total Dollars Excluded from Spending After Applying Truncation at the Member Level]]=Age_Sex_PY[[#This Row],[Total Spending before Truncation is Applied]]</f>
        <v>1</v>
      </c>
    </row>
    <row r="337" spans="1:10" x14ac:dyDescent="0.25">
      <c r="A337" s="101"/>
      <c r="B337" s="104"/>
      <c r="C337" s="105"/>
      <c r="D337" s="273"/>
      <c r="E337" s="182"/>
      <c r="F337" s="110"/>
      <c r="G337" s="274"/>
      <c r="H337" s="110"/>
      <c r="I337" s="110"/>
      <c r="J337" s="237" t="b">
        <f>Age_Sex_PY[[#This Row],[Total Spending After Applying Truncation at the Member Level]]+Age_Sex_PY[[#This Row],[Total Dollars Excluded from Spending After Applying Truncation at the Member Level]]=Age_Sex_PY[[#This Row],[Total Spending before Truncation is Applied]]</f>
        <v>1</v>
      </c>
    </row>
    <row r="338" spans="1:10" x14ac:dyDescent="0.25">
      <c r="A338" s="101"/>
      <c r="B338" s="104"/>
      <c r="C338" s="105"/>
      <c r="D338" s="273"/>
      <c r="E338" s="182"/>
      <c r="F338" s="110"/>
      <c r="G338" s="274"/>
      <c r="H338" s="110"/>
      <c r="I338" s="110"/>
      <c r="J338" s="237" t="b">
        <f>Age_Sex_PY[[#This Row],[Total Spending After Applying Truncation at the Member Level]]+Age_Sex_PY[[#This Row],[Total Dollars Excluded from Spending After Applying Truncation at the Member Level]]=Age_Sex_PY[[#This Row],[Total Spending before Truncation is Applied]]</f>
        <v>1</v>
      </c>
    </row>
    <row r="339" spans="1:10" x14ac:dyDescent="0.25">
      <c r="A339" s="101"/>
      <c r="B339" s="104"/>
      <c r="C339" s="105"/>
      <c r="D339" s="273"/>
      <c r="E339" s="182"/>
      <c r="F339" s="110"/>
      <c r="G339" s="274"/>
      <c r="H339" s="110"/>
      <c r="I339" s="110"/>
      <c r="J339" s="237" t="b">
        <f>Age_Sex_PY[[#This Row],[Total Spending After Applying Truncation at the Member Level]]+Age_Sex_PY[[#This Row],[Total Dollars Excluded from Spending After Applying Truncation at the Member Level]]=Age_Sex_PY[[#This Row],[Total Spending before Truncation is Applied]]</f>
        <v>1</v>
      </c>
    </row>
    <row r="340" spans="1:10" x14ac:dyDescent="0.25">
      <c r="A340" s="101"/>
      <c r="B340" s="104"/>
      <c r="C340" s="105"/>
      <c r="D340" s="273"/>
      <c r="E340" s="182"/>
      <c r="F340" s="110"/>
      <c r="G340" s="274"/>
      <c r="H340" s="110"/>
      <c r="I340" s="110"/>
      <c r="J340" s="237" t="b">
        <f>Age_Sex_PY[[#This Row],[Total Spending After Applying Truncation at the Member Level]]+Age_Sex_PY[[#This Row],[Total Dollars Excluded from Spending After Applying Truncation at the Member Level]]=Age_Sex_PY[[#This Row],[Total Spending before Truncation is Applied]]</f>
        <v>1</v>
      </c>
    </row>
    <row r="341" spans="1:10" x14ac:dyDescent="0.25">
      <c r="A341" s="101"/>
      <c r="B341" s="104"/>
      <c r="C341" s="105"/>
      <c r="D341" s="273"/>
      <c r="E341" s="182"/>
      <c r="F341" s="110"/>
      <c r="G341" s="274"/>
      <c r="H341" s="110"/>
      <c r="I341" s="110"/>
      <c r="J341" s="237" t="b">
        <f>Age_Sex_PY[[#This Row],[Total Spending After Applying Truncation at the Member Level]]+Age_Sex_PY[[#This Row],[Total Dollars Excluded from Spending After Applying Truncation at the Member Level]]=Age_Sex_PY[[#This Row],[Total Spending before Truncation is Applied]]</f>
        <v>1</v>
      </c>
    </row>
    <row r="342" spans="1:10" x14ac:dyDescent="0.25">
      <c r="A342" s="101"/>
      <c r="B342" s="104"/>
      <c r="C342" s="105"/>
      <c r="D342" s="273"/>
      <c r="E342" s="182"/>
      <c r="F342" s="110"/>
      <c r="G342" s="274"/>
      <c r="H342" s="110"/>
      <c r="I342" s="110"/>
      <c r="J342" s="237" t="b">
        <f>Age_Sex_PY[[#This Row],[Total Spending After Applying Truncation at the Member Level]]+Age_Sex_PY[[#This Row],[Total Dollars Excluded from Spending After Applying Truncation at the Member Level]]=Age_Sex_PY[[#This Row],[Total Spending before Truncation is Applied]]</f>
        <v>1</v>
      </c>
    </row>
    <row r="343" spans="1:10" x14ac:dyDescent="0.25">
      <c r="A343" s="101"/>
      <c r="B343" s="104"/>
      <c r="C343" s="105"/>
      <c r="D343" s="273"/>
      <c r="E343" s="182"/>
      <c r="F343" s="110"/>
      <c r="G343" s="274"/>
      <c r="H343" s="110"/>
      <c r="I343" s="110"/>
      <c r="J343" s="237" t="b">
        <f>Age_Sex_PY[[#This Row],[Total Spending After Applying Truncation at the Member Level]]+Age_Sex_PY[[#This Row],[Total Dollars Excluded from Spending After Applying Truncation at the Member Level]]=Age_Sex_PY[[#This Row],[Total Spending before Truncation is Applied]]</f>
        <v>1</v>
      </c>
    </row>
    <row r="344" spans="1:10" x14ac:dyDescent="0.25">
      <c r="A344" s="101"/>
      <c r="B344" s="104"/>
      <c r="C344" s="105"/>
      <c r="D344" s="273"/>
      <c r="E344" s="182"/>
      <c r="F344" s="110"/>
      <c r="G344" s="274"/>
      <c r="H344" s="110"/>
      <c r="I344" s="110"/>
      <c r="J344" s="237" t="b">
        <f>Age_Sex_PY[[#This Row],[Total Spending After Applying Truncation at the Member Level]]+Age_Sex_PY[[#This Row],[Total Dollars Excluded from Spending After Applying Truncation at the Member Level]]=Age_Sex_PY[[#This Row],[Total Spending before Truncation is Applied]]</f>
        <v>1</v>
      </c>
    </row>
    <row r="345" spans="1:10" x14ac:dyDescent="0.25">
      <c r="A345" s="101"/>
      <c r="B345" s="104"/>
      <c r="C345" s="105"/>
      <c r="D345" s="273"/>
      <c r="E345" s="182"/>
      <c r="F345" s="110"/>
      <c r="G345" s="274"/>
      <c r="H345" s="110"/>
      <c r="I345" s="110"/>
      <c r="J345" s="237" t="b">
        <f>Age_Sex_PY[[#This Row],[Total Spending After Applying Truncation at the Member Level]]+Age_Sex_PY[[#This Row],[Total Dollars Excluded from Spending After Applying Truncation at the Member Level]]=Age_Sex_PY[[#This Row],[Total Spending before Truncation is Applied]]</f>
        <v>1</v>
      </c>
    </row>
    <row r="346" spans="1:10" x14ac:dyDescent="0.25">
      <c r="A346" s="101"/>
      <c r="B346" s="104"/>
      <c r="C346" s="105"/>
      <c r="D346" s="273"/>
      <c r="E346" s="182"/>
      <c r="F346" s="110"/>
      <c r="G346" s="274"/>
      <c r="H346" s="110"/>
      <c r="I346" s="110"/>
      <c r="J346" s="237" t="b">
        <f>Age_Sex_PY[[#This Row],[Total Spending After Applying Truncation at the Member Level]]+Age_Sex_PY[[#This Row],[Total Dollars Excluded from Spending After Applying Truncation at the Member Level]]=Age_Sex_PY[[#This Row],[Total Spending before Truncation is Applied]]</f>
        <v>1</v>
      </c>
    </row>
    <row r="347" spans="1:10" x14ac:dyDescent="0.25">
      <c r="A347" s="101"/>
      <c r="B347" s="104"/>
      <c r="C347" s="105"/>
      <c r="D347" s="273"/>
      <c r="E347" s="182"/>
      <c r="F347" s="110"/>
      <c r="G347" s="274"/>
      <c r="H347" s="110"/>
      <c r="I347" s="110"/>
      <c r="J347" s="237" t="b">
        <f>Age_Sex_PY[[#This Row],[Total Spending After Applying Truncation at the Member Level]]+Age_Sex_PY[[#This Row],[Total Dollars Excluded from Spending After Applying Truncation at the Member Level]]=Age_Sex_PY[[#This Row],[Total Spending before Truncation is Applied]]</f>
        <v>1</v>
      </c>
    </row>
    <row r="348" spans="1:10" x14ac:dyDescent="0.25">
      <c r="A348" s="101"/>
      <c r="B348" s="104"/>
      <c r="C348" s="105"/>
      <c r="D348" s="273"/>
      <c r="E348" s="182"/>
      <c r="F348" s="110"/>
      <c r="G348" s="274"/>
      <c r="H348" s="110"/>
      <c r="I348" s="110"/>
      <c r="J348" s="237" t="b">
        <f>Age_Sex_PY[[#This Row],[Total Spending After Applying Truncation at the Member Level]]+Age_Sex_PY[[#This Row],[Total Dollars Excluded from Spending After Applying Truncation at the Member Level]]=Age_Sex_PY[[#This Row],[Total Spending before Truncation is Applied]]</f>
        <v>1</v>
      </c>
    </row>
    <row r="349" spans="1:10" x14ac:dyDescent="0.25">
      <c r="A349" s="101"/>
      <c r="B349" s="104"/>
      <c r="C349" s="105"/>
      <c r="D349" s="273"/>
      <c r="E349" s="182"/>
      <c r="F349" s="110"/>
      <c r="G349" s="274"/>
      <c r="H349" s="110"/>
      <c r="I349" s="110"/>
      <c r="J349" s="237" t="b">
        <f>Age_Sex_PY[[#This Row],[Total Spending After Applying Truncation at the Member Level]]+Age_Sex_PY[[#This Row],[Total Dollars Excluded from Spending After Applying Truncation at the Member Level]]=Age_Sex_PY[[#This Row],[Total Spending before Truncation is Applied]]</f>
        <v>1</v>
      </c>
    </row>
    <row r="350" spans="1:10" x14ac:dyDescent="0.25">
      <c r="A350" s="101"/>
      <c r="B350" s="104"/>
      <c r="C350" s="105"/>
      <c r="D350" s="273"/>
      <c r="E350" s="182"/>
      <c r="F350" s="110"/>
      <c r="G350" s="274"/>
      <c r="H350" s="110"/>
      <c r="I350" s="110"/>
      <c r="J350" s="237" t="b">
        <f>Age_Sex_PY[[#This Row],[Total Spending After Applying Truncation at the Member Level]]+Age_Sex_PY[[#This Row],[Total Dollars Excluded from Spending After Applying Truncation at the Member Level]]=Age_Sex_PY[[#This Row],[Total Spending before Truncation is Applied]]</f>
        <v>1</v>
      </c>
    </row>
    <row r="351" spans="1:10" x14ac:dyDescent="0.25">
      <c r="A351" s="101"/>
      <c r="B351" s="104"/>
      <c r="C351" s="105"/>
      <c r="D351" s="273"/>
      <c r="E351" s="182"/>
      <c r="F351" s="110"/>
      <c r="G351" s="274"/>
      <c r="H351" s="110"/>
      <c r="I351" s="110"/>
      <c r="J351" s="237" t="b">
        <f>Age_Sex_PY[[#This Row],[Total Spending After Applying Truncation at the Member Level]]+Age_Sex_PY[[#This Row],[Total Dollars Excluded from Spending After Applying Truncation at the Member Level]]=Age_Sex_PY[[#This Row],[Total Spending before Truncation is Applied]]</f>
        <v>1</v>
      </c>
    </row>
    <row r="352" spans="1:10" x14ac:dyDescent="0.25">
      <c r="A352" s="101"/>
      <c r="B352" s="104"/>
      <c r="C352" s="105"/>
      <c r="D352" s="273"/>
      <c r="E352" s="182"/>
      <c r="F352" s="110"/>
      <c r="G352" s="274"/>
      <c r="H352" s="110"/>
      <c r="I352" s="110"/>
      <c r="J352" s="237" t="b">
        <f>Age_Sex_PY[[#This Row],[Total Spending After Applying Truncation at the Member Level]]+Age_Sex_PY[[#This Row],[Total Dollars Excluded from Spending After Applying Truncation at the Member Level]]=Age_Sex_PY[[#This Row],[Total Spending before Truncation is Applied]]</f>
        <v>1</v>
      </c>
    </row>
    <row r="353" spans="1:10" x14ac:dyDescent="0.25">
      <c r="A353" s="101"/>
      <c r="B353" s="104"/>
      <c r="C353" s="105"/>
      <c r="D353" s="273"/>
      <c r="E353" s="182"/>
      <c r="F353" s="110"/>
      <c r="G353" s="274"/>
      <c r="H353" s="110"/>
      <c r="I353" s="110"/>
      <c r="J353" s="237" t="b">
        <f>Age_Sex_PY[[#This Row],[Total Spending After Applying Truncation at the Member Level]]+Age_Sex_PY[[#This Row],[Total Dollars Excluded from Spending After Applying Truncation at the Member Level]]=Age_Sex_PY[[#This Row],[Total Spending before Truncation is Applied]]</f>
        <v>1</v>
      </c>
    </row>
    <row r="354" spans="1:10" x14ac:dyDescent="0.25">
      <c r="A354" s="101"/>
      <c r="B354" s="104"/>
      <c r="C354" s="105"/>
      <c r="D354" s="273"/>
      <c r="E354" s="182"/>
      <c r="F354" s="110"/>
      <c r="G354" s="274"/>
      <c r="H354" s="110"/>
      <c r="I354" s="110"/>
      <c r="J354" s="237" t="b">
        <f>Age_Sex_PY[[#This Row],[Total Spending After Applying Truncation at the Member Level]]+Age_Sex_PY[[#This Row],[Total Dollars Excluded from Spending After Applying Truncation at the Member Level]]=Age_Sex_PY[[#This Row],[Total Spending before Truncation is Applied]]</f>
        <v>1</v>
      </c>
    </row>
    <row r="355" spans="1:10" x14ac:dyDescent="0.25">
      <c r="A355" s="101"/>
      <c r="B355" s="104"/>
      <c r="C355" s="105"/>
      <c r="D355" s="273"/>
      <c r="E355" s="182"/>
      <c r="F355" s="110"/>
      <c r="G355" s="274"/>
      <c r="H355" s="110"/>
      <c r="I355" s="110"/>
      <c r="J355" s="237" t="b">
        <f>Age_Sex_PY[[#This Row],[Total Spending After Applying Truncation at the Member Level]]+Age_Sex_PY[[#This Row],[Total Dollars Excluded from Spending After Applying Truncation at the Member Level]]=Age_Sex_PY[[#This Row],[Total Spending before Truncation is Applied]]</f>
        <v>1</v>
      </c>
    </row>
    <row r="356" spans="1:10" x14ac:dyDescent="0.25">
      <c r="A356" s="101"/>
      <c r="B356" s="104"/>
      <c r="C356" s="105"/>
      <c r="D356" s="273"/>
      <c r="E356" s="182"/>
      <c r="F356" s="110"/>
      <c r="G356" s="274"/>
      <c r="H356" s="110"/>
      <c r="I356" s="110"/>
      <c r="J356" s="237" t="b">
        <f>Age_Sex_PY[[#This Row],[Total Spending After Applying Truncation at the Member Level]]+Age_Sex_PY[[#This Row],[Total Dollars Excluded from Spending After Applying Truncation at the Member Level]]=Age_Sex_PY[[#This Row],[Total Spending before Truncation is Applied]]</f>
        <v>1</v>
      </c>
    </row>
    <row r="357" spans="1:10" x14ac:dyDescent="0.25">
      <c r="A357" s="101"/>
      <c r="B357" s="104"/>
      <c r="C357" s="105"/>
      <c r="D357" s="273"/>
      <c r="E357" s="182"/>
      <c r="F357" s="110"/>
      <c r="G357" s="274"/>
      <c r="H357" s="110"/>
      <c r="I357" s="110"/>
      <c r="J357" s="237" t="b">
        <f>Age_Sex_PY[[#This Row],[Total Spending After Applying Truncation at the Member Level]]+Age_Sex_PY[[#This Row],[Total Dollars Excluded from Spending After Applying Truncation at the Member Level]]=Age_Sex_PY[[#This Row],[Total Spending before Truncation is Applied]]</f>
        <v>1</v>
      </c>
    </row>
    <row r="358" spans="1:10" x14ac:dyDescent="0.25">
      <c r="A358" s="101"/>
      <c r="B358" s="104"/>
      <c r="C358" s="105"/>
      <c r="D358" s="273"/>
      <c r="E358" s="182"/>
      <c r="F358" s="110"/>
      <c r="G358" s="274"/>
      <c r="H358" s="110"/>
      <c r="I358" s="110"/>
      <c r="J358" s="237" t="b">
        <f>Age_Sex_PY[[#This Row],[Total Spending After Applying Truncation at the Member Level]]+Age_Sex_PY[[#This Row],[Total Dollars Excluded from Spending After Applying Truncation at the Member Level]]=Age_Sex_PY[[#This Row],[Total Spending before Truncation is Applied]]</f>
        <v>1</v>
      </c>
    </row>
    <row r="359" spans="1:10" x14ac:dyDescent="0.25">
      <c r="A359" s="101"/>
      <c r="B359" s="104"/>
      <c r="C359" s="105"/>
      <c r="D359" s="273"/>
      <c r="E359" s="182"/>
      <c r="F359" s="110"/>
      <c r="G359" s="274"/>
      <c r="H359" s="110"/>
      <c r="I359" s="110"/>
      <c r="J359" s="237" t="b">
        <f>Age_Sex_PY[[#This Row],[Total Spending After Applying Truncation at the Member Level]]+Age_Sex_PY[[#This Row],[Total Dollars Excluded from Spending After Applying Truncation at the Member Level]]=Age_Sex_PY[[#This Row],[Total Spending before Truncation is Applied]]</f>
        <v>1</v>
      </c>
    </row>
    <row r="360" spans="1:10" x14ac:dyDescent="0.25">
      <c r="A360" s="101"/>
      <c r="B360" s="104"/>
      <c r="C360" s="105"/>
      <c r="D360" s="273"/>
      <c r="E360" s="182"/>
      <c r="F360" s="110"/>
      <c r="G360" s="274"/>
      <c r="H360" s="110"/>
      <c r="I360" s="110"/>
      <c r="J360" s="237" t="b">
        <f>Age_Sex_PY[[#This Row],[Total Spending After Applying Truncation at the Member Level]]+Age_Sex_PY[[#This Row],[Total Dollars Excluded from Spending After Applying Truncation at the Member Level]]=Age_Sex_PY[[#This Row],[Total Spending before Truncation is Applied]]</f>
        <v>1</v>
      </c>
    </row>
    <row r="361" spans="1:10" x14ac:dyDescent="0.25">
      <c r="A361" s="101"/>
      <c r="B361" s="104"/>
      <c r="C361" s="105"/>
      <c r="D361" s="273"/>
      <c r="E361" s="182"/>
      <c r="F361" s="110"/>
      <c r="G361" s="274"/>
      <c r="H361" s="110"/>
      <c r="I361" s="110"/>
      <c r="J361" s="237" t="b">
        <f>Age_Sex_PY[[#This Row],[Total Spending After Applying Truncation at the Member Level]]+Age_Sex_PY[[#This Row],[Total Dollars Excluded from Spending After Applying Truncation at the Member Level]]=Age_Sex_PY[[#This Row],[Total Spending before Truncation is Applied]]</f>
        <v>1</v>
      </c>
    </row>
    <row r="362" spans="1:10" x14ac:dyDescent="0.25">
      <c r="A362" s="101"/>
      <c r="B362" s="104"/>
      <c r="C362" s="105"/>
      <c r="D362" s="273"/>
      <c r="E362" s="182"/>
      <c r="F362" s="110"/>
      <c r="G362" s="274"/>
      <c r="H362" s="110"/>
      <c r="I362" s="110"/>
      <c r="J362" s="237" t="b">
        <f>Age_Sex_PY[[#This Row],[Total Spending After Applying Truncation at the Member Level]]+Age_Sex_PY[[#This Row],[Total Dollars Excluded from Spending After Applying Truncation at the Member Level]]=Age_Sex_PY[[#This Row],[Total Spending before Truncation is Applied]]</f>
        <v>1</v>
      </c>
    </row>
    <row r="363" spans="1:10" x14ac:dyDescent="0.25">
      <c r="A363" s="101"/>
      <c r="B363" s="104"/>
      <c r="C363" s="105"/>
      <c r="D363" s="273"/>
      <c r="E363" s="182"/>
      <c r="F363" s="110"/>
      <c r="G363" s="274"/>
      <c r="H363" s="110"/>
      <c r="I363" s="110"/>
      <c r="J363" s="237" t="b">
        <f>Age_Sex_PY[[#This Row],[Total Spending After Applying Truncation at the Member Level]]+Age_Sex_PY[[#This Row],[Total Dollars Excluded from Spending After Applying Truncation at the Member Level]]=Age_Sex_PY[[#This Row],[Total Spending before Truncation is Applied]]</f>
        <v>1</v>
      </c>
    </row>
    <row r="364" spans="1:10" x14ac:dyDescent="0.25">
      <c r="A364" s="101"/>
      <c r="B364" s="104"/>
      <c r="C364" s="105"/>
      <c r="D364" s="273"/>
      <c r="E364" s="182"/>
      <c r="F364" s="110"/>
      <c r="G364" s="274"/>
      <c r="H364" s="110"/>
      <c r="I364" s="110"/>
      <c r="J364" s="237" t="b">
        <f>Age_Sex_PY[[#This Row],[Total Spending After Applying Truncation at the Member Level]]+Age_Sex_PY[[#This Row],[Total Dollars Excluded from Spending After Applying Truncation at the Member Level]]=Age_Sex_PY[[#This Row],[Total Spending before Truncation is Applied]]</f>
        <v>1</v>
      </c>
    </row>
    <row r="365" spans="1:10" x14ac:dyDescent="0.25">
      <c r="A365" s="101"/>
      <c r="B365" s="104"/>
      <c r="C365" s="105"/>
      <c r="D365" s="273"/>
      <c r="E365" s="182"/>
      <c r="F365" s="110"/>
      <c r="G365" s="274"/>
      <c r="H365" s="110"/>
      <c r="I365" s="110"/>
      <c r="J365" s="237" t="b">
        <f>Age_Sex_PY[[#This Row],[Total Spending After Applying Truncation at the Member Level]]+Age_Sex_PY[[#This Row],[Total Dollars Excluded from Spending After Applying Truncation at the Member Level]]=Age_Sex_PY[[#This Row],[Total Spending before Truncation is Applied]]</f>
        <v>1</v>
      </c>
    </row>
    <row r="366" spans="1:10" x14ac:dyDescent="0.25">
      <c r="A366" s="101"/>
      <c r="B366" s="104"/>
      <c r="C366" s="105"/>
      <c r="D366" s="273"/>
      <c r="E366" s="182"/>
      <c r="F366" s="110"/>
      <c r="G366" s="274"/>
      <c r="H366" s="110"/>
      <c r="I366" s="110"/>
      <c r="J366" s="237" t="b">
        <f>Age_Sex_PY[[#This Row],[Total Spending After Applying Truncation at the Member Level]]+Age_Sex_PY[[#This Row],[Total Dollars Excluded from Spending After Applying Truncation at the Member Level]]=Age_Sex_PY[[#This Row],[Total Spending before Truncation is Applied]]</f>
        <v>1</v>
      </c>
    </row>
    <row r="367" spans="1:10" x14ac:dyDescent="0.25">
      <c r="A367" s="101"/>
      <c r="B367" s="104"/>
      <c r="C367" s="105"/>
      <c r="D367" s="273"/>
      <c r="E367" s="182"/>
      <c r="F367" s="110"/>
      <c r="G367" s="274"/>
      <c r="H367" s="110"/>
      <c r="I367" s="110"/>
      <c r="J367" s="237" t="b">
        <f>Age_Sex_PY[[#This Row],[Total Spending After Applying Truncation at the Member Level]]+Age_Sex_PY[[#This Row],[Total Dollars Excluded from Spending After Applying Truncation at the Member Level]]=Age_Sex_PY[[#This Row],[Total Spending before Truncation is Applied]]</f>
        <v>1</v>
      </c>
    </row>
    <row r="368" spans="1:10" x14ac:dyDescent="0.25">
      <c r="A368" s="101"/>
      <c r="B368" s="104"/>
      <c r="C368" s="105"/>
      <c r="D368" s="273"/>
      <c r="E368" s="182"/>
      <c r="F368" s="110"/>
      <c r="G368" s="274"/>
      <c r="H368" s="110"/>
      <c r="I368" s="110"/>
      <c r="J368" s="237" t="b">
        <f>Age_Sex_PY[[#This Row],[Total Spending After Applying Truncation at the Member Level]]+Age_Sex_PY[[#This Row],[Total Dollars Excluded from Spending After Applying Truncation at the Member Level]]=Age_Sex_PY[[#This Row],[Total Spending before Truncation is Applied]]</f>
        <v>1</v>
      </c>
    </row>
    <row r="369" spans="1:10" x14ac:dyDescent="0.25">
      <c r="A369" s="101"/>
      <c r="B369" s="104"/>
      <c r="C369" s="105"/>
      <c r="D369" s="273"/>
      <c r="E369" s="182"/>
      <c r="F369" s="110"/>
      <c r="G369" s="274"/>
      <c r="H369" s="110"/>
      <c r="I369" s="110"/>
      <c r="J369" s="237" t="b">
        <f>Age_Sex_PY[[#This Row],[Total Spending After Applying Truncation at the Member Level]]+Age_Sex_PY[[#This Row],[Total Dollars Excluded from Spending After Applying Truncation at the Member Level]]=Age_Sex_PY[[#This Row],[Total Spending before Truncation is Applied]]</f>
        <v>1</v>
      </c>
    </row>
    <row r="370" spans="1:10" x14ac:dyDescent="0.25">
      <c r="A370" s="101"/>
      <c r="B370" s="104"/>
      <c r="C370" s="105"/>
      <c r="D370" s="273"/>
      <c r="E370" s="182"/>
      <c r="F370" s="110"/>
      <c r="G370" s="274"/>
      <c r="H370" s="110"/>
      <c r="I370" s="110"/>
      <c r="J370" s="237" t="b">
        <f>Age_Sex_PY[[#This Row],[Total Spending After Applying Truncation at the Member Level]]+Age_Sex_PY[[#This Row],[Total Dollars Excluded from Spending After Applying Truncation at the Member Level]]=Age_Sex_PY[[#This Row],[Total Spending before Truncation is Applied]]</f>
        <v>1</v>
      </c>
    </row>
    <row r="371" spans="1:10" x14ac:dyDescent="0.25">
      <c r="A371" s="101"/>
      <c r="B371" s="104"/>
      <c r="C371" s="105"/>
      <c r="D371" s="273"/>
      <c r="E371" s="182"/>
      <c r="F371" s="110"/>
      <c r="G371" s="274"/>
      <c r="H371" s="110"/>
      <c r="I371" s="110"/>
      <c r="J371" s="237" t="b">
        <f>Age_Sex_PY[[#This Row],[Total Spending After Applying Truncation at the Member Level]]+Age_Sex_PY[[#This Row],[Total Dollars Excluded from Spending After Applying Truncation at the Member Level]]=Age_Sex_PY[[#This Row],[Total Spending before Truncation is Applied]]</f>
        <v>1</v>
      </c>
    </row>
    <row r="372" spans="1:10" x14ac:dyDescent="0.25">
      <c r="A372" s="101"/>
      <c r="B372" s="104"/>
      <c r="C372" s="105"/>
      <c r="D372" s="273"/>
      <c r="E372" s="182"/>
      <c r="F372" s="110"/>
      <c r="G372" s="274"/>
      <c r="H372" s="110"/>
      <c r="I372" s="110"/>
      <c r="J372" s="237" t="b">
        <f>Age_Sex_PY[[#This Row],[Total Spending After Applying Truncation at the Member Level]]+Age_Sex_PY[[#This Row],[Total Dollars Excluded from Spending After Applying Truncation at the Member Level]]=Age_Sex_PY[[#This Row],[Total Spending before Truncation is Applied]]</f>
        <v>1</v>
      </c>
    </row>
    <row r="373" spans="1:10" x14ac:dyDescent="0.25">
      <c r="A373" s="101"/>
      <c r="B373" s="104"/>
      <c r="C373" s="105"/>
      <c r="D373" s="273"/>
      <c r="E373" s="182"/>
      <c r="F373" s="110"/>
      <c r="G373" s="274"/>
      <c r="H373" s="110"/>
      <c r="I373" s="110"/>
      <c r="J373" s="237" t="b">
        <f>Age_Sex_PY[[#This Row],[Total Spending After Applying Truncation at the Member Level]]+Age_Sex_PY[[#This Row],[Total Dollars Excluded from Spending After Applying Truncation at the Member Level]]=Age_Sex_PY[[#This Row],[Total Spending before Truncation is Applied]]</f>
        <v>1</v>
      </c>
    </row>
    <row r="374" spans="1:10" x14ac:dyDescent="0.25">
      <c r="A374" s="101"/>
      <c r="B374" s="104"/>
      <c r="C374" s="105"/>
      <c r="D374" s="273"/>
      <c r="E374" s="182"/>
      <c r="F374" s="110"/>
      <c r="G374" s="274"/>
      <c r="H374" s="110"/>
      <c r="I374" s="110"/>
      <c r="J374" s="237" t="b">
        <f>Age_Sex_PY[[#This Row],[Total Spending After Applying Truncation at the Member Level]]+Age_Sex_PY[[#This Row],[Total Dollars Excluded from Spending After Applying Truncation at the Member Level]]=Age_Sex_PY[[#This Row],[Total Spending before Truncation is Applied]]</f>
        <v>1</v>
      </c>
    </row>
    <row r="375" spans="1:10" x14ac:dyDescent="0.25">
      <c r="A375" s="101"/>
      <c r="B375" s="104"/>
      <c r="C375" s="105"/>
      <c r="D375" s="273"/>
      <c r="E375" s="182"/>
      <c r="F375" s="110"/>
      <c r="G375" s="274"/>
      <c r="H375" s="110"/>
      <c r="I375" s="110"/>
      <c r="J375" s="237" t="b">
        <f>Age_Sex_PY[[#This Row],[Total Spending After Applying Truncation at the Member Level]]+Age_Sex_PY[[#This Row],[Total Dollars Excluded from Spending After Applying Truncation at the Member Level]]=Age_Sex_PY[[#This Row],[Total Spending before Truncation is Applied]]</f>
        <v>1</v>
      </c>
    </row>
    <row r="376" spans="1:10" x14ac:dyDescent="0.25">
      <c r="A376" s="101"/>
      <c r="B376" s="104"/>
      <c r="C376" s="105"/>
      <c r="D376" s="273"/>
      <c r="E376" s="182"/>
      <c r="F376" s="110"/>
      <c r="G376" s="274"/>
      <c r="H376" s="110"/>
      <c r="I376" s="110"/>
      <c r="J376" s="237" t="b">
        <f>Age_Sex_PY[[#This Row],[Total Spending After Applying Truncation at the Member Level]]+Age_Sex_PY[[#This Row],[Total Dollars Excluded from Spending After Applying Truncation at the Member Level]]=Age_Sex_PY[[#This Row],[Total Spending before Truncation is Applied]]</f>
        <v>1</v>
      </c>
    </row>
    <row r="377" spans="1:10" x14ac:dyDescent="0.25">
      <c r="A377" s="101"/>
      <c r="B377" s="104"/>
      <c r="C377" s="105"/>
      <c r="D377" s="273"/>
      <c r="E377" s="182"/>
      <c r="F377" s="110"/>
      <c r="G377" s="274"/>
      <c r="H377" s="110"/>
      <c r="I377" s="110"/>
      <c r="J377" s="237" t="b">
        <f>Age_Sex_PY[[#This Row],[Total Spending After Applying Truncation at the Member Level]]+Age_Sex_PY[[#This Row],[Total Dollars Excluded from Spending After Applying Truncation at the Member Level]]=Age_Sex_PY[[#This Row],[Total Spending before Truncation is Applied]]</f>
        <v>1</v>
      </c>
    </row>
    <row r="378" spans="1:10" x14ac:dyDescent="0.25">
      <c r="A378" s="101"/>
      <c r="B378" s="104"/>
      <c r="C378" s="105"/>
      <c r="D378" s="273"/>
      <c r="E378" s="182"/>
      <c r="F378" s="110"/>
      <c r="G378" s="274"/>
      <c r="H378" s="110"/>
      <c r="I378" s="110"/>
      <c r="J378" s="237" t="b">
        <f>Age_Sex_PY[[#This Row],[Total Spending After Applying Truncation at the Member Level]]+Age_Sex_PY[[#This Row],[Total Dollars Excluded from Spending After Applying Truncation at the Member Level]]=Age_Sex_PY[[#This Row],[Total Spending before Truncation is Applied]]</f>
        <v>1</v>
      </c>
    </row>
    <row r="379" spans="1:10" x14ac:dyDescent="0.25">
      <c r="A379" s="101"/>
      <c r="B379" s="104"/>
      <c r="C379" s="105"/>
      <c r="D379" s="273"/>
      <c r="E379" s="182"/>
      <c r="F379" s="110"/>
      <c r="G379" s="274"/>
      <c r="H379" s="110"/>
      <c r="I379" s="110"/>
      <c r="J379" s="237" t="b">
        <f>Age_Sex_PY[[#This Row],[Total Spending After Applying Truncation at the Member Level]]+Age_Sex_PY[[#This Row],[Total Dollars Excluded from Spending After Applying Truncation at the Member Level]]=Age_Sex_PY[[#This Row],[Total Spending before Truncation is Applied]]</f>
        <v>1</v>
      </c>
    </row>
    <row r="380" spans="1:10" x14ac:dyDescent="0.25">
      <c r="A380" s="101"/>
      <c r="B380" s="104"/>
      <c r="C380" s="105"/>
      <c r="D380" s="273"/>
      <c r="E380" s="182"/>
      <c r="F380" s="110"/>
      <c r="G380" s="274"/>
      <c r="H380" s="110"/>
      <c r="I380" s="110"/>
      <c r="J380" s="237" t="b">
        <f>Age_Sex_PY[[#This Row],[Total Spending After Applying Truncation at the Member Level]]+Age_Sex_PY[[#This Row],[Total Dollars Excluded from Spending After Applying Truncation at the Member Level]]=Age_Sex_PY[[#This Row],[Total Spending before Truncation is Applied]]</f>
        <v>1</v>
      </c>
    </row>
    <row r="381" spans="1:10" x14ac:dyDescent="0.25">
      <c r="A381" s="101"/>
      <c r="B381" s="104"/>
      <c r="C381" s="105"/>
      <c r="D381" s="273"/>
      <c r="E381" s="182"/>
      <c r="F381" s="110"/>
      <c r="G381" s="274"/>
      <c r="H381" s="110"/>
      <c r="I381" s="110"/>
      <c r="J381" s="237" t="b">
        <f>Age_Sex_PY[[#This Row],[Total Spending After Applying Truncation at the Member Level]]+Age_Sex_PY[[#This Row],[Total Dollars Excluded from Spending After Applying Truncation at the Member Level]]=Age_Sex_PY[[#This Row],[Total Spending before Truncation is Applied]]</f>
        <v>1</v>
      </c>
    </row>
    <row r="382" spans="1:10" x14ac:dyDescent="0.25">
      <c r="A382" s="101"/>
      <c r="B382" s="104"/>
      <c r="C382" s="105"/>
      <c r="D382" s="273"/>
      <c r="E382" s="182"/>
      <c r="F382" s="110"/>
      <c r="G382" s="274"/>
      <c r="H382" s="110"/>
      <c r="I382" s="110"/>
      <c r="J382" s="237" t="b">
        <f>Age_Sex_PY[[#This Row],[Total Spending After Applying Truncation at the Member Level]]+Age_Sex_PY[[#This Row],[Total Dollars Excluded from Spending After Applying Truncation at the Member Level]]=Age_Sex_PY[[#This Row],[Total Spending before Truncation is Applied]]</f>
        <v>1</v>
      </c>
    </row>
    <row r="383" spans="1:10" x14ac:dyDescent="0.25">
      <c r="A383" s="101"/>
      <c r="B383" s="104"/>
      <c r="C383" s="105"/>
      <c r="D383" s="273"/>
      <c r="E383" s="182"/>
      <c r="F383" s="110"/>
      <c r="G383" s="274"/>
      <c r="H383" s="110"/>
      <c r="I383" s="110"/>
      <c r="J383" s="237" t="b">
        <f>Age_Sex_PY[[#This Row],[Total Spending After Applying Truncation at the Member Level]]+Age_Sex_PY[[#This Row],[Total Dollars Excluded from Spending After Applying Truncation at the Member Level]]=Age_Sex_PY[[#This Row],[Total Spending before Truncation is Applied]]</f>
        <v>1</v>
      </c>
    </row>
    <row r="384" spans="1:10" x14ac:dyDescent="0.25">
      <c r="A384" s="101"/>
      <c r="B384" s="104"/>
      <c r="C384" s="105"/>
      <c r="D384" s="273"/>
      <c r="E384" s="182"/>
      <c r="F384" s="110"/>
      <c r="G384" s="274"/>
      <c r="H384" s="110"/>
      <c r="I384" s="110"/>
      <c r="J384" s="237" t="b">
        <f>Age_Sex_PY[[#This Row],[Total Spending After Applying Truncation at the Member Level]]+Age_Sex_PY[[#This Row],[Total Dollars Excluded from Spending After Applying Truncation at the Member Level]]=Age_Sex_PY[[#This Row],[Total Spending before Truncation is Applied]]</f>
        <v>1</v>
      </c>
    </row>
    <row r="385" spans="1:10" x14ac:dyDescent="0.25">
      <c r="A385" s="101"/>
      <c r="B385" s="104"/>
      <c r="C385" s="105"/>
      <c r="D385" s="273"/>
      <c r="E385" s="182"/>
      <c r="F385" s="110"/>
      <c r="G385" s="274"/>
      <c r="H385" s="110"/>
      <c r="I385" s="110"/>
      <c r="J385" s="237" t="b">
        <f>Age_Sex_PY[[#This Row],[Total Spending After Applying Truncation at the Member Level]]+Age_Sex_PY[[#This Row],[Total Dollars Excluded from Spending After Applying Truncation at the Member Level]]=Age_Sex_PY[[#This Row],[Total Spending before Truncation is Applied]]</f>
        <v>1</v>
      </c>
    </row>
    <row r="386" spans="1:10" x14ac:dyDescent="0.25">
      <c r="A386" s="101"/>
      <c r="B386" s="104"/>
      <c r="C386" s="105"/>
      <c r="D386" s="273"/>
      <c r="E386" s="182"/>
      <c r="F386" s="110"/>
      <c r="G386" s="274"/>
      <c r="H386" s="110"/>
      <c r="I386" s="110"/>
      <c r="J386" s="237" t="b">
        <f>Age_Sex_PY[[#This Row],[Total Spending After Applying Truncation at the Member Level]]+Age_Sex_PY[[#This Row],[Total Dollars Excluded from Spending After Applying Truncation at the Member Level]]=Age_Sex_PY[[#This Row],[Total Spending before Truncation is Applied]]</f>
        <v>1</v>
      </c>
    </row>
    <row r="387" spans="1:10" x14ac:dyDescent="0.25">
      <c r="A387" s="101"/>
      <c r="B387" s="104"/>
      <c r="C387" s="105"/>
      <c r="D387" s="273"/>
      <c r="E387" s="182"/>
      <c r="F387" s="110"/>
      <c r="G387" s="274"/>
      <c r="H387" s="110"/>
      <c r="I387" s="110"/>
      <c r="J387" s="237" t="b">
        <f>Age_Sex_PY[[#This Row],[Total Spending After Applying Truncation at the Member Level]]+Age_Sex_PY[[#This Row],[Total Dollars Excluded from Spending After Applying Truncation at the Member Level]]=Age_Sex_PY[[#This Row],[Total Spending before Truncation is Applied]]</f>
        <v>1</v>
      </c>
    </row>
    <row r="388" spans="1:10" x14ac:dyDescent="0.25">
      <c r="A388" s="101"/>
      <c r="B388" s="104"/>
      <c r="C388" s="105"/>
      <c r="D388" s="273"/>
      <c r="E388" s="182"/>
      <c r="F388" s="110"/>
      <c r="G388" s="274"/>
      <c r="H388" s="110"/>
      <c r="I388" s="110"/>
      <c r="J388" s="237" t="b">
        <f>Age_Sex_PY[[#This Row],[Total Spending After Applying Truncation at the Member Level]]+Age_Sex_PY[[#This Row],[Total Dollars Excluded from Spending After Applying Truncation at the Member Level]]=Age_Sex_PY[[#This Row],[Total Spending before Truncation is Applied]]</f>
        <v>1</v>
      </c>
    </row>
    <row r="389" spans="1:10" x14ac:dyDescent="0.25">
      <c r="A389" s="101"/>
      <c r="B389" s="104"/>
      <c r="C389" s="105"/>
      <c r="D389" s="273"/>
      <c r="E389" s="182"/>
      <c r="F389" s="110"/>
      <c r="G389" s="274"/>
      <c r="H389" s="110"/>
      <c r="I389" s="110"/>
      <c r="J389" s="237" t="b">
        <f>Age_Sex_PY[[#This Row],[Total Spending After Applying Truncation at the Member Level]]+Age_Sex_PY[[#This Row],[Total Dollars Excluded from Spending After Applying Truncation at the Member Level]]=Age_Sex_PY[[#This Row],[Total Spending before Truncation is Applied]]</f>
        <v>1</v>
      </c>
    </row>
    <row r="390" spans="1:10" x14ac:dyDescent="0.25">
      <c r="A390" s="101"/>
      <c r="B390" s="104"/>
      <c r="C390" s="105"/>
      <c r="D390" s="273"/>
      <c r="E390" s="182"/>
      <c r="F390" s="110"/>
      <c r="G390" s="274"/>
      <c r="H390" s="110"/>
      <c r="I390" s="110"/>
      <c r="J390" s="237" t="b">
        <f>Age_Sex_PY[[#This Row],[Total Spending After Applying Truncation at the Member Level]]+Age_Sex_PY[[#This Row],[Total Dollars Excluded from Spending After Applying Truncation at the Member Level]]=Age_Sex_PY[[#This Row],[Total Spending before Truncation is Applied]]</f>
        <v>1</v>
      </c>
    </row>
    <row r="391" spans="1:10" x14ac:dyDescent="0.25">
      <c r="A391" s="101"/>
      <c r="B391" s="104"/>
      <c r="C391" s="105"/>
      <c r="D391" s="273"/>
      <c r="E391" s="182"/>
      <c r="F391" s="110"/>
      <c r="G391" s="274"/>
      <c r="H391" s="110"/>
      <c r="I391" s="110"/>
      <c r="J391" s="237" t="b">
        <f>Age_Sex_PY[[#This Row],[Total Spending After Applying Truncation at the Member Level]]+Age_Sex_PY[[#This Row],[Total Dollars Excluded from Spending After Applying Truncation at the Member Level]]=Age_Sex_PY[[#This Row],[Total Spending before Truncation is Applied]]</f>
        <v>1</v>
      </c>
    </row>
    <row r="392" spans="1:10" x14ac:dyDescent="0.25">
      <c r="A392" s="101"/>
      <c r="B392" s="104"/>
      <c r="C392" s="105"/>
      <c r="D392" s="273"/>
      <c r="E392" s="182"/>
      <c r="F392" s="110"/>
      <c r="G392" s="274"/>
      <c r="H392" s="110"/>
      <c r="I392" s="110"/>
      <c r="J392" s="237" t="b">
        <f>Age_Sex_PY[[#This Row],[Total Spending After Applying Truncation at the Member Level]]+Age_Sex_PY[[#This Row],[Total Dollars Excluded from Spending After Applying Truncation at the Member Level]]=Age_Sex_PY[[#This Row],[Total Spending before Truncation is Applied]]</f>
        <v>1</v>
      </c>
    </row>
    <row r="393" spans="1:10" x14ac:dyDescent="0.25">
      <c r="A393" s="101"/>
      <c r="B393" s="104"/>
      <c r="C393" s="105"/>
      <c r="D393" s="273"/>
      <c r="E393" s="182"/>
      <c r="F393" s="110"/>
      <c r="G393" s="274"/>
      <c r="H393" s="110"/>
      <c r="I393" s="110"/>
      <c r="J393" s="237" t="b">
        <f>Age_Sex_PY[[#This Row],[Total Spending After Applying Truncation at the Member Level]]+Age_Sex_PY[[#This Row],[Total Dollars Excluded from Spending After Applying Truncation at the Member Level]]=Age_Sex_PY[[#This Row],[Total Spending before Truncation is Applied]]</f>
        <v>1</v>
      </c>
    </row>
    <row r="394" spans="1:10" x14ac:dyDescent="0.25">
      <c r="A394" s="101"/>
      <c r="B394" s="104"/>
      <c r="C394" s="105"/>
      <c r="D394" s="273"/>
      <c r="E394" s="182"/>
      <c r="F394" s="110"/>
      <c r="G394" s="274"/>
      <c r="H394" s="110"/>
      <c r="I394" s="110"/>
      <c r="J394" s="237" t="b">
        <f>Age_Sex_PY[[#This Row],[Total Spending After Applying Truncation at the Member Level]]+Age_Sex_PY[[#This Row],[Total Dollars Excluded from Spending After Applying Truncation at the Member Level]]=Age_Sex_PY[[#This Row],[Total Spending before Truncation is Applied]]</f>
        <v>1</v>
      </c>
    </row>
    <row r="395" spans="1:10" x14ac:dyDescent="0.25">
      <c r="A395" s="101"/>
      <c r="B395" s="104"/>
      <c r="C395" s="105"/>
      <c r="D395" s="273"/>
      <c r="E395" s="182"/>
      <c r="F395" s="110"/>
      <c r="G395" s="274"/>
      <c r="H395" s="110"/>
      <c r="I395" s="110"/>
      <c r="J395" s="237" t="b">
        <f>Age_Sex_PY[[#This Row],[Total Spending After Applying Truncation at the Member Level]]+Age_Sex_PY[[#This Row],[Total Dollars Excluded from Spending After Applying Truncation at the Member Level]]=Age_Sex_PY[[#This Row],[Total Spending before Truncation is Applied]]</f>
        <v>1</v>
      </c>
    </row>
    <row r="396" spans="1:10" x14ac:dyDescent="0.25">
      <c r="A396" s="101"/>
      <c r="B396" s="104"/>
      <c r="C396" s="105"/>
      <c r="D396" s="273"/>
      <c r="E396" s="182"/>
      <c r="F396" s="110"/>
      <c r="G396" s="274"/>
      <c r="H396" s="110"/>
      <c r="I396" s="110"/>
      <c r="J396" s="237" t="b">
        <f>Age_Sex_PY[[#This Row],[Total Spending After Applying Truncation at the Member Level]]+Age_Sex_PY[[#This Row],[Total Dollars Excluded from Spending After Applying Truncation at the Member Level]]=Age_Sex_PY[[#This Row],[Total Spending before Truncation is Applied]]</f>
        <v>1</v>
      </c>
    </row>
    <row r="397" spans="1:10" x14ac:dyDescent="0.25">
      <c r="A397" s="101"/>
      <c r="B397" s="104"/>
      <c r="C397" s="105"/>
      <c r="D397" s="273"/>
      <c r="E397" s="182"/>
      <c r="F397" s="110"/>
      <c r="G397" s="274"/>
      <c r="H397" s="110"/>
      <c r="I397" s="110"/>
      <c r="J397" s="237" t="b">
        <f>Age_Sex_PY[[#This Row],[Total Spending After Applying Truncation at the Member Level]]+Age_Sex_PY[[#This Row],[Total Dollars Excluded from Spending After Applying Truncation at the Member Level]]=Age_Sex_PY[[#This Row],[Total Spending before Truncation is Applied]]</f>
        <v>1</v>
      </c>
    </row>
    <row r="398" spans="1:10" x14ac:dyDescent="0.25">
      <c r="A398" s="101"/>
      <c r="B398" s="104"/>
      <c r="C398" s="105"/>
      <c r="D398" s="273"/>
      <c r="E398" s="182"/>
      <c r="F398" s="110"/>
      <c r="G398" s="274"/>
      <c r="H398" s="110"/>
      <c r="I398" s="110"/>
      <c r="J398" s="237" t="b">
        <f>Age_Sex_PY[[#This Row],[Total Spending After Applying Truncation at the Member Level]]+Age_Sex_PY[[#This Row],[Total Dollars Excluded from Spending After Applying Truncation at the Member Level]]=Age_Sex_PY[[#This Row],[Total Spending before Truncation is Applied]]</f>
        <v>1</v>
      </c>
    </row>
    <row r="399" spans="1:10" x14ac:dyDescent="0.25">
      <c r="A399" s="101"/>
      <c r="B399" s="104"/>
      <c r="C399" s="105"/>
      <c r="D399" s="273"/>
      <c r="E399" s="182"/>
      <c r="F399" s="110"/>
      <c r="G399" s="274"/>
      <c r="H399" s="110"/>
      <c r="I399" s="110"/>
      <c r="J399" s="237" t="b">
        <f>Age_Sex_PY[[#This Row],[Total Spending After Applying Truncation at the Member Level]]+Age_Sex_PY[[#This Row],[Total Dollars Excluded from Spending After Applying Truncation at the Member Level]]=Age_Sex_PY[[#This Row],[Total Spending before Truncation is Applied]]</f>
        <v>1</v>
      </c>
    </row>
    <row r="400" spans="1:10" x14ac:dyDescent="0.25">
      <c r="A400" s="101"/>
      <c r="B400" s="104"/>
      <c r="C400" s="105"/>
      <c r="D400" s="273"/>
      <c r="E400" s="182"/>
      <c r="F400" s="110"/>
      <c r="G400" s="274"/>
      <c r="H400" s="110"/>
      <c r="I400" s="110"/>
      <c r="J400" s="237" t="b">
        <f>Age_Sex_PY[[#This Row],[Total Spending After Applying Truncation at the Member Level]]+Age_Sex_PY[[#This Row],[Total Dollars Excluded from Spending After Applying Truncation at the Member Level]]=Age_Sex_PY[[#This Row],[Total Spending before Truncation is Applied]]</f>
        <v>1</v>
      </c>
    </row>
    <row r="401" spans="1:10" x14ac:dyDescent="0.25">
      <c r="A401" s="101"/>
      <c r="B401" s="104"/>
      <c r="C401" s="105"/>
      <c r="D401" s="273"/>
      <c r="E401" s="182"/>
      <c r="F401" s="110"/>
      <c r="G401" s="274"/>
      <c r="H401" s="110"/>
      <c r="I401" s="110"/>
      <c r="J401" s="237" t="b">
        <f>Age_Sex_PY[[#This Row],[Total Spending After Applying Truncation at the Member Level]]+Age_Sex_PY[[#This Row],[Total Dollars Excluded from Spending After Applying Truncation at the Member Level]]=Age_Sex_PY[[#This Row],[Total Spending before Truncation is Applied]]</f>
        <v>1</v>
      </c>
    </row>
    <row r="402" spans="1:10" x14ac:dyDescent="0.25">
      <c r="A402" s="101"/>
      <c r="B402" s="104"/>
      <c r="C402" s="105"/>
      <c r="D402" s="273"/>
      <c r="E402" s="182"/>
      <c r="F402" s="110"/>
      <c r="G402" s="274"/>
      <c r="H402" s="110"/>
      <c r="I402" s="110"/>
      <c r="J402" s="237" t="b">
        <f>Age_Sex_PY[[#This Row],[Total Spending After Applying Truncation at the Member Level]]+Age_Sex_PY[[#This Row],[Total Dollars Excluded from Spending After Applying Truncation at the Member Level]]=Age_Sex_PY[[#This Row],[Total Spending before Truncation is Applied]]</f>
        <v>1</v>
      </c>
    </row>
    <row r="403" spans="1:10" x14ac:dyDescent="0.25">
      <c r="A403" s="101"/>
      <c r="B403" s="104"/>
      <c r="C403" s="105"/>
      <c r="D403" s="273"/>
      <c r="E403" s="182"/>
      <c r="F403" s="110"/>
      <c r="G403" s="274"/>
      <c r="H403" s="110"/>
      <c r="I403" s="110"/>
      <c r="J403" s="237" t="b">
        <f>Age_Sex_PY[[#This Row],[Total Spending After Applying Truncation at the Member Level]]+Age_Sex_PY[[#This Row],[Total Dollars Excluded from Spending After Applying Truncation at the Member Level]]=Age_Sex_PY[[#This Row],[Total Spending before Truncation is Applied]]</f>
        <v>1</v>
      </c>
    </row>
    <row r="404" spans="1:10" x14ac:dyDescent="0.25">
      <c r="A404" s="101"/>
      <c r="B404" s="104"/>
      <c r="C404" s="105"/>
      <c r="D404" s="273"/>
      <c r="E404" s="182"/>
      <c r="F404" s="110"/>
      <c r="G404" s="274"/>
      <c r="H404" s="110"/>
      <c r="I404" s="110"/>
      <c r="J404" s="237" t="b">
        <f>Age_Sex_PY[[#This Row],[Total Spending After Applying Truncation at the Member Level]]+Age_Sex_PY[[#This Row],[Total Dollars Excluded from Spending After Applying Truncation at the Member Level]]=Age_Sex_PY[[#This Row],[Total Spending before Truncation is Applied]]</f>
        <v>1</v>
      </c>
    </row>
    <row r="405" spans="1:10" x14ac:dyDescent="0.25">
      <c r="A405" s="101"/>
      <c r="B405" s="104"/>
      <c r="C405" s="105"/>
      <c r="D405" s="273"/>
      <c r="E405" s="182"/>
      <c r="F405" s="110"/>
      <c r="G405" s="274"/>
      <c r="H405" s="110"/>
      <c r="I405" s="110"/>
      <c r="J405" s="237" t="b">
        <f>Age_Sex_PY[[#This Row],[Total Spending After Applying Truncation at the Member Level]]+Age_Sex_PY[[#This Row],[Total Dollars Excluded from Spending After Applying Truncation at the Member Level]]=Age_Sex_PY[[#This Row],[Total Spending before Truncation is Applied]]</f>
        <v>1</v>
      </c>
    </row>
    <row r="406" spans="1:10" x14ac:dyDescent="0.25">
      <c r="A406" s="101"/>
      <c r="B406" s="104"/>
      <c r="C406" s="105"/>
      <c r="D406" s="273"/>
      <c r="E406" s="182"/>
      <c r="F406" s="110"/>
      <c r="G406" s="274"/>
      <c r="H406" s="110"/>
      <c r="I406" s="110"/>
      <c r="J406" s="237" t="b">
        <f>Age_Sex_PY[[#This Row],[Total Spending After Applying Truncation at the Member Level]]+Age_Sex_PY[[#This Row],[Total Dollars Excluded from Spending After Applying Truncation at the Member Level]]=Age_Sex_PY[[#This Row],[Total Spending before Truncation is Applied]]</f>
        <v>1</v>
      </c>
    </row>
    <row r="407" spans="1:10" x14ac:dyDescent="0.25">
      <c r="A407" s="101"/>
      <c r="B407" s="104"/>
      <c r="C407" s="105"/>
      <c r="D407" s="273"/>
      <c r="E407" s="182"/>
      <c r="F407" s="110"/>
      <c r="G407" s="274"/>
      <c r="H407" s="110"/>
      <c r="I407" s="110"/>
      <c r="J407" s="237" t="b">
        <f>Age_Sex_PY[[#This Row],[Total Spending After Applying Truncation at the Member Level]]+Age_Sex_PY[[#This Row],[Total Dollars Excluded from Spending After Applying Truncation at the Member Level]]=Age_Sex_PY[[#This Row],[Total Spending before Truncation is Applied]]</f>
        <v>1</v>
      </c>
    </row>
    <row r="408" spans="1:10" x14ac:dyDescent="0.25">
      <c r="A408" s="101"/>
      <c r="B408" s="104"/>
      <c r="C408" s="105"/>
      <c r="D408" s="273"/>
      <c r="E408" s="182"/>
      <c r="F408" s="110"/>
      <c r="G408" s="274"/>
      <c r="H408" s="110"/>
      <c r="I408" s="110"/>
      <c r="J408" s="237" t="b">
        <f>Age_Sex_PY[[#This Row],[Total Spending After Applying Truncation at the Member Level]]+Age_Sex_PY[[#This Row],[Total Dollars Excluded from Spending After Applying Truncation at the Member Level]]=Age_Sex_PY[[#This Row],[Total Spending before Truncation is Applied]]</f>
        <v>1</v>
      </c>
    </row>
    <row r="409" spans="1:10" x14ac:dyDescent="0.25">
      <c r="A409" s="101"/>
      <c r="B409" s="104"/>
      <c r="C409" s="105"/>
      <c r="D409" s="273"/>
      <c r="E409" s="182"/>
      <c r="F409" s="110"/>
      <c r="G409" s="274"/>
      <c r="H409" s="110"/>
      <c r="I409" s="110"/>
      <c r="J409" s="237" t="b">
        <f>Age_Sex_PY[[#This Row],[Total Spending After Applying Truncation at the Member Level]]+Age_Sex_PY[[#This Row],[Total Dollars Excluded from Spending After Applying Truncation at the Member Level]]=Age_Sex_PY[[#This Row],[Total Spending before Truncation is Applied]]</f>
        <v>1</v>
      </c>
    </row>
    <row r="410" spans="1:10" x14ac:dyDescent="0.25">
      <c r="A410" s="101"/>
      <c r="B410" s="104"/>
      <c r="C410" s="105"/>
      <c r="D410" s="273"/>
      <c r="E410" s="182"/>
      <c r="F410" s="110"/>
      <c r="G410" s="274"/>
      <c r="H410" s="110"/>
      <c r="I410" s="110"/>
      <c r="J410" s="237" t="b">
        <f>Age_Sex_PY[[#This Row],[Total Spending After Applying Truncation at the Member Level]]+Age_Sex_PY[[#This Row],[Total Dollars Excluded from Spending After Applying Truncation at the Member Level]]=Age_Sex_PY[[#This Row],[Total Spending before Truncation is Applied]]</f>
        <v>1</v>
      </c>
    </row>
    <row r="411" spans="1:10" x14ac:dyDescent="0.25">
      <c r="A411" s="101"/>
      <c r="B411" s="104"/>
      <c r="C411" s="105"/>
      <c r="D411" s="273"/>
      <c r="E411" s="182"/>
      <c r="F411" s="110"/>
      <c r="G411" s="274"/>
      <c r="H411" s="110"/>
      <c r="I411" s="110"/>
      <c r="J411" s="237" t="b">
        <f>Age_Sex_PY[[#This Row],[Total Spending After Applying Truncation at the Member Level]]+Age_Sex_PY[[#This Row],[Total Dollars Excluded from Spending After Applying Truncation at the Member Level]]=Age_Sex_PY[[#This Row],[Total Spending before Truncation is Applied]]</f>
        <v>1</v>
      </c>
    </row>
    <row r="412" spans="1:10" x14ac:dyDescent="0.25">
      <c r="A412" s="101"/>
      <c r="B412" s="104"/>
      <c r="C412" s="105"/>
      <c r="D412" s="273"/>
      <c r="E412" s="182"/>
      <c r="F412" s="110"/>
      <c r="G412" s="274"/>
      <c r="H412" s="110"/>
      <c r="I412" s="110"/>
      <c r="J412" s="237" t="b">
        <f>Age_Sex_PY[[#This Row],[Total Spending After Applying Truncation at the Member Level]]+Age_Sex_PY[[#This Row],[Total Dollars Excluded from Spending After Applying Truncation at the Member Level]]=Age_Sex_PY[[#This Row],[Total Spending before Truncation is Applied]]</f>
        <v>1</v>
      </c>
    </row>
    <row r="413" spans="1:10" x14ac:dyDescent="0.25">
      <c r="A413" s="101"/>
      <c r="B413" s="104"/>
      <c r="C413" s="105"/>
      <c r="D413" s="273"/>
      <c r="E413" s="182"/>
      <c r="F413" s="110"/>
      <c r="G413" s="274"/>
      <c r="H413" s="110"/>
      <c r="I413" s="110"/>
      <c r="J413" s="237" t="b">
        <f>Age_Sex_PY[[#This Row],[Total Spending After Applying Truncation at the Member Level]]+Age_Sex_PY[[#This Row],[Total Dollars Excluded from Spending After Applying Truncation at the Member Level]]=Age_Sex_PY[[#This Row],[Total Spending before Truncation is Applied]]</f>
        <v>1</v>
      </c>
    </row>
    <row r="414" spans="1:10" x14ac:dyDescent="0.25">
      <c r="A414" s="101"/>
      <c r="B414" s="104"/>
      <c r="C414" s="105"/>
      <c r="D414" s="273"/>
      <c r="E414" s="182"/>
      <c r="F414" s="110"/>
      <c r="G414" s="274"/>
      <c r="H414" s="110"/>
      <c r="I414" s="110"/>
      <c r="J414" s="237" t="b">
        <f>Age_Sex_PY[[#This Row],[Total Spending After Applying Truncation at the Member Level]]+Age_Sex_PY[[#This Row],[Total Dollars Excluded from Spending After Applying Truncation at the Member Level]]=Age_Sex_PY[[#This Row],[Total Spending before Truncation is Applied]]</f>
        <v>1</v>
      </c>
    </row>
    <row r="415" spans="1:10" x14ac:dyDescent="0.25">
      <c r="A415" s="101"/>
      <c r="B415" s="104"/>
      <c r="C415" s="105"/>
      <c r="D415" s="273"/>
      <c r="E415" s="182"/>
      <c r="F415" s="110"/>
      <c r="G415" s="274"/>
      <c r="H415" s="110"/>
      <c r="I415" s="110"/>
      <c r="J415" s="237" t="b">
        <f>Age_Sex_PY[[#This Row],[Total Spending After Applying Truncation at the Member Level]]+Age_Sex_PY[[#This Row],[Total Dollars Excluded from Spending After Applying Truncation at the Member Level]]=Age_Sex_PY[[#This Row],[Total Spending before Truncation is Applied]]</f>
        <v>1</v>
      </c>
    </row>
    <row r="416" spans="1:10" x14ac:dyDescent="0.25">
      <c r="A416" s="101"/>
      <c r="B416" s="104"/>
      <c r="C416" s="105"/>
      <c r="D416" s="273"/>
      <c r="E416" s="182"/>
      <c r="F416" s="110"/>
      <c r="G416" s="274"/>
      <c r="H416" s="110"/>
      <c r="I416" s="110"/>
      <c r="J416" s="237" t="b">
        <f>Age_Sex_PY[[#This Row],[Total Spending After Applying Truncation at the Member Level]]+Age_Sex_PY[[#This Row],[Total Dollars Excluded from Spending After Applying Truncation at the Member Level]]=Age_Sex_PY[[#This Row],[Total Spending before Truncation is Applied]]</f>
        <v>1</v>
      </c>
    </row>
    <row r="417" spans="1:10" x14ac:dyDescent="0.25">
      <c r="A417" s="101"/>
      <c r="B417" s="104"/>
      <c r="C417" s="105"/>
      <c r="D417" s="273"/>
      <c r="E417" s="182"/>
      <c r="F417" s="110"/>
      <c r="G417" s="274"/>
      <c r="H417" s="110"/>
      <c r="I417" s="110"/>
      <c r="J417" s="237" t="b">
        <f>Age_Sex_PY[[#This Row],[Total Spending After Applying Truncation at the Member Level]]+Age_Sex_PY[[#This Row],[Total Dollars Excluded from Spending After Applying Truncation at the Member Level]]=Age_Sex_PY[[#This Row],[Total Spending before Truncation is Applied]]</f>
        <v>1</v>
      </c>
    </row>
    <row r="418" spans="1:10" x14ac:dyDescent="0.25">
      <c r="A418" s="101"/>
      <c r="B418" s="104"/>
      <c r="C418" s="105"/>
      <c r="D418" s="273"/>
      <c r="E418" s="182"/>
      <c r="F418" s="110"/>
      <c r="G418" s="274"/>
      <c r="H418" s="110"/>
      <c r="I418" s="110"/>
      <c r="J418" s="237" t="b">
        <f>Age_Sex_PY[[#This Row],[Total Spending After Applying Truncation at the Member Level]]+Age_Sex_PY[[#This Row],[Total Dollars Excluded from Spending After Applying Truncation at the Member Level]]=Age_Sex_PY[[#This Row],[Total Spending before Truncation is Applied]]</f>
        <v>1</v>
      </c>
    </row>
    <row r="419" spans="1:10" x14ac:dyDescent="0.25">
      <c r="A419" s="101"/>
      <c r="B419" s="104"/>
      <c r="C419" s="105"/>
      <c r="D419" s="273"/>
      <c r="E419" s="182"/>
      <c r="F419" s="110"/>
      <c r="G419" s="274"/>
      <c r="H419" s="110"/>
      <c r="I419" s="110"/>
      <c r="J419" s="237" t="b">
        <f>Age_Sex_PY[[#This Row],[Total Spending After Applying Truncation at the Member Level]]+Age_Sex_PY[[#This Row],[Total Dollars Excluded from Spending After Applying Truncation at the Member Level]]=Age_Sex_PY[[#This Row],[Total Spending before Truncation is Applied]]</f>
        <v>1</v>
      </c>
    </row>
    <row r="420" spans="1:10" x14ac:dyDescent="0.25">
      <c r="A420" s="101"/>
      <c r="B420" s="104"/>
      <c r="C420" s="105"/>
      <c r="D420" s="273"/>
      <c r="E420" s="182"/>
      <c r="F420" s="110"/>
      <c r="G420" s="274"/>
      <c r="H420" s="110"/>
      <c r="I420" s="110"/>
      <c r="J420" s="237" t="b">
        <f>Age_Sex_PY[[#This Row],[Total Spending After Applying Truncation at the Member Level]]+Age_Sex_PY[[#This Row],[Total Dollars Excluded from Spending After Applying Truncation at the Member Level]]=Age_Sex_PY[[#This Row],[Total Spending before Truncation is Applied]]</f>
        <v>1</v>
      </c>
    </row>
    <row r="421" spans="1:10" x14ac:dyDescent="0.25">
      <c r="A421" s="101"/>
      <c r="B421" s="104"/>
      <c r="C421" s="105"/>
      <c r="D421" s="273"/>
      <c r="E421" s="182"/>
      <c r="F421" s="110"/>
      <c r="G421" s="274"/>
      <c r="H421" s="110"/>
      <c r="I421" s="110"/>
      <c r="J421" s="237" t="b">
        <f>Age_Sex_PY[[#This Row],[Total Spending After Applying Truncation at the Member Level]]+Age_Sex_PY[[#This Row],[Total Dollars Excluded from Spending After Applying Truncation at the Member Level]]=Age_Sex_PY[[#This Row],[Total Spending before Truncation is Applied]]</f>
        <v>1</v>
      </c>
    </row>
    <row r="422" spans="1:10" x14ac:dyDescent="0.25">
      <c r="A422" s="101"/>
      <c r="B422" s="104"/>
      <c r="C422" s="105"/>
      <c r="D422" s="273"/>
      <c r="E422" s="182"/>
      <c r="F422" s="110"/>
      <c r="G422" s="274"/>
      <c r="H422" s="110"/>
      <c r="I422" s="110"/>
      <c r="J422" s="237" t="b">
        <f>Age_Sex_PY[[#This Row],[Total Spending After Applying Truncation at the Member Level]]+Age_Sex_PY[[#This Row],[Total Dollars Excluded from Spending After Applying Truncation at the Member Level]]=Age_Sex_PY[[#This Row],[Total Spending before Truncation is Applied]]</f>
        <v>1</v>
      </c>
    </row>
    <row r="423" spans="1:10" x14ac:dyDescent="0.25">
      <c r="A423" s="101"/>
      <c r="B423" s="104"/>
      <c r="C423" s="105"/>
      <c r="D423" s="273"/>
      <c r="E423" s="182"/>
      <c r="F423" s="110"/>
      <c r="G423" s="274"/>
      <c r="H423" s="110"/>
      <c r="I423" s="110"/>
      <c r="J423" s="237" t="b">
        <f>Age_Sex_PY[[#This Row],[Total Spending After Applying Truncation at the Member Level]]+Age_Sex_PY[[#This Row],[Total Dollars Excluded from Spending After Applying Truncation at the Member Level]]=Age_Sex_PY[[#This Row],[Total Spending before Truncation is Applied]]</f>
        <v>1</v>
      </c>
    </row>
    <row r="424" spans="1:10" x14ac:dyDescent="0.25">
      <c r="A424" s="101"/>
      <c r="B424" s="104"/>
      <c r="C424" s="105"/>
      <c r="D424" s="273"/>
      <c r="E424" s="182"/>
      <c r="F424" s="110"/>
      <c r="G424" s="274"/>
      <c r="H424" s="110"/>
      <c r="I424" s="110"/>
      <c r="J424" s="237" t="b">
        <f>Age_Sex_PY[[#This Row],[Total Spending After Applying Truncation at the Member Level]]+Age_Sex_PY[[#This Row],[Total Dollars Excluded from Spending After Applying Truncation at the Member Level]]=Age_Sex_PY[[#This Row],[Total Spending before Truncation is Applied]]</f>
        <v>1</v>
      </c>
    </row>
    <row r="425" spans="1:10" x14ac:dyDescent="0.25">
      <c r="A425" s="101"/>
      <c r="B425" s="104"/>
      <c r="C425" s="105"/>
      <c r="D425" s="273"/>
      <c r="E425" s="182"/>
      <c r="F425" s="110"/>
      <c r="G425" s="274"/>
      <c r="H425" s="110"/>
      <c r="I425" s="110"/>
      <c r="J425" s="237" t="b">
        <f>Age_Sex_PY[[#This Row],[Total Spending After Applying Truncation at the Member Level]]+Age_Sex_PY[[#This Row],[Total Dollars Excluded from Spending After Applying Truncation at the Member Level]]=Age_Sex_PY[[#This Row],[Total Spending before Truncation is Applied]]</f>
        <v>1</v>
      </c>
    </row>
    <row r="426" spans="1:10" x14ac:dyDescent="0.25">
      <c r="A426" s="101"/>
      <c r="B426" s="104"/>
      <c r="C426" s="105"/>
      <c r="D426" s="273"/>
      <c r="E426" s="182"/>
      <c r="F426" s="110"/>
      <c r="G426" s="274"/>
      <c r="H426" s="110"/>
      <c r="I426" s="110"/>
      <c r="J426" s="237" t="b">
        <f>Age_Sex_PY[[#This Row],[Total Spending After Applying Truncation at the Member Level]]+Age_Sex_PY[[#This Row],[Total Dollars Excluded from Spending After Applying Truncation at the Member Level]]=Age_Sex_PY[[#This Row],[Total Spending before Truncation is Applied]]</f>
        <v>1</v>
      </c>
    </row>
    <row r="427" spans="1:10" x14ac:dyDescent="0.25">
      <c r="A427" s="101"/>
      <c r="B427" s="104"/>
      <c r="C427" s="105"/>
      <c r="D427" s="273"/>
      <c r="E427" s="182"/>
      <c r="F427" s="110"/>
      <c r="G427" s="274"/>
      <c r="H427" s="110"/>
      <c r="I427" s="110"/>
      <c r="J427" s="237" t="b">
        <f>Age_Sex_PY[[#This Row],[Total Spending After Applying Truncation at the Member Level]]+Age_Sex_PY[[#This Row],[Total Dollars Excluded from Spending After Applying Truncation at the Member Level]]=Age_Sex_PY[[#This Row],[Total Spending before Truncation is Applied]]</f>
        <v>1</v>
      </c>
    </row>
    <row r="428" spans="1:10" x14ac:dyDescent="0.25">
      <c r="A428" s="101"/>
      <c r="B428" s="104"/>
      <c r="C428" s="105"/>
      <c r="D428" s="273"/>
      <c r="E428" s="182"/>
      <c r="F428" s="110"/>
      <c r="G428" s="274"/>
      <c r="H428" s="110"/>
      <c r="I428" s="110"/>
      <c r="J428" s="237" t="b">
        <f>Age_Sex_PY[[#This Row],[Total Spending After Applying Truncation at the Member Level]]+Age_Sex_PY[[#This Row],[Total Dollars Excluded from Spending After Applying Truncation at the Member Level]]=Age_Sex_PY[[#This Row],[Total Spending before Truncation is Applied]]</f>
        <v>1</v>
      </c>
    </row>
    <row r="429" spans="1:10" x14ac:dyDescent="0.25">
      <c r="A429" s="101"/>
      <c r="B429" s="104"/>
      <c r="C429" s="105"/>
      <c r="D429" s="273"/>
      <c r="E429" s="182"/>
      <c r="F429" s="110"/>
      <c r="G429" s="274"/>
      <c r="H429" s="110"/>
      <c r="I429" s="110"/>
      <c r="J429" s="237" t="b">
        <f>Age_Sex_PY[[#This Row],[Total Spending After Applying Truncation at the Member Level]]+Age_Sex_PY[[#This Row],[Total Dollars Excluded from Spending After Applying Truncation at the Member Level]]=Age_Sex_PY[[#This Row],[Total Spending before Truncation is Applied]]</f>
        <v>1</v>
      </c>
    </row>
    <row r="430" spans="1:10" x14ac:dyDescent="0.25">
      <c r="A430" s="101"/>
      <c r="B430" s="104"/>
      <c r="C430" s="105"/>
      <c r="D430" s="273"/>
      <c r="E430" s="182"/>
      <c r="F430" s="110"/>
      <c r="G430" s="274"/>
      <c r="H430" s="110"/>
      <c r="I430" s="110"/>
      <c r="J430" s="237" t="b">
        <f>Age_Sex_PY[[#This Row],[Total Spending After Applying Truncation at the Member Level]]+Age_Sex_PY[[#This Row],[Total Dollars Excluded from Spending After Applying Truncation at the Member Level]]=Age_Sex_PY[[#This Row],[Total Spending before Truncation is Applied]]</f>
        <v>1</v>
      </c>
    </row>
    <row r="431" spans="1:10" x14ac:dyDescent="0.25">
      <c r="A431" s="101"/>
      <c r="B431" s="104"/>
      <c r="C431" s="105"/>
      <c r="D431" s="273"/>
      <c r="E431" s="182"/>
      <c r="F431" s="110"/>
      <c r="G431" s="274"/>
      <c r="H431" s="110"/>
      <c r="I431" s="110"/>
      <c r="J431" s="237" t="b">
        <f>Age_Sex_PY[[#This Row],[Total Spending After Applying Truncation at the Member Level]]+Age_Sex_PY[[#This Row],[Total Dollars Excluded from Spending After Applying Truncation at the Member Level]]=Age_Sex_PY[[#This Row],[Total Spending before Truncation is Applied]]</f>
        <v>1</v>
      </c>
    </row>
    <row r="432" spans="1:10" x14ac:dyDescent="0.25">
      <c r="A432" s="101"/>
      <c r="B432" s="104"/>
      <c r="C432" s="105"/>
      <c r="D432" s="273"/>
      <c r="E432" s="182"/>
      <c r="F432" s="110"/>
      <c r="G432" s="274"/>
      <c r="H432" s="110"/>
      <c r="I432" s="110"/>
      <c r="J432" s="237" t="b">
        <f>Age_Sex_PY[[#This Row],[Total Spending After Applying Truncation at the Member Level]]+Age_Sex_PY[[#This Row],[Total Dollars Excluded from Spending After Applying Truncation at the Member Level]]=Age_Sex_PY[[#This Row],[Total Spending before Truncation is Applied]]</f>
        <v>1</v>
      </c>
    </row>
    <row r="433" spans="1:10" x14ac:dyDescent="0.25">
      <c r="A433" s="101"/>
      <c r="B433" s="104"/>
      <c r="C433" s="105"/>
      <c r="D433" s="273"/>
      <c r="E433" s="182"/>
      <c r="F433" s="110"/>
      <c r="G433" s="274"/>
      <c r="H433" s="110"/>
      <c r="I433" s="110"/>
      <c r="J433" s="237" t="b">
        <f>Age_Sex_PY[[#This Row],[Total Spending After Applying Truncation at the Member Level]]+Age_Sex_PY[[#This Row],[Total Dollars Excluded from Spending After Applying Truncation at the Member Level]]=Age_Sex_PY[[#This Row],[Total Spending before Truncation is Applied]]</f>
        <v>1</v>
      </c>
    </row>
    <row r="434" spans="1:10" x14ac:dyDescent="0.25">
      <c r="A434" s="101"/>
      <c r="B434" s="104"/>
      <c r="C434" s="105"/>
      <c r="D434" s="273"/>
      <c r="E434" s="182"/>
      <c r="F434" s="110"/>
      <c r="G434" s="274"/>
      <c r="H434" s="110"/>
      <c r="I434" s="110"/>
      <c r="J434" s="237" t="b">
        <f>Age_Sex_PY[[#This Row],[Total Spending After Applying Truncation at the Member Level]]+Age_Sex_PY[[#This Row],[Total Dollars Excluded from Spending After Applying Truncation at the Member Level]]=Age_Sex_PY[[#This Row],[Total Spending before Truncation is Applied]]</f>
        <v>1</v>
      </c>
    </row>
    <row r="435" spans="1:10" x14ac:dyDescent="0.25">
      <c r="A435" s="101"/>
      <c r="B435" s="104"/>
      <c r="C435" s="105"/>
      <c r="D435" s="273"/>
      <c r="E435" s="182"/>
      <c r="F435" s="110"/>
      <c r="G435" s="274"/>
      <c r="H435" s="110"/>
      <c r="I435" s="110"/>
      <c r="J435" s="237" t="b">
        <f>Age_Sex_PY[[#This Row],[Total Spending After Applying Truncation at the Member Level]]+Age_Sex_PY[[#This Row],[Total Dollars Excluded from Spending After Applying Truncation at the Member Level]]=Age_Sex_PY[[#This Row],[Total Spending before Truncation is Applied]]</f>
        <v>1</v>
      </c>
    </row>
    <row r="436" spans="1:10" x14ac:dyDescent="0.25">
      <c r="A436" s="101"/>
      <c r="B436" s="104"/>
      <c r="C436" s="105"/>
      <c r="D436" s="273"/>
      <c r="E436" s="182"/>
      <c r="F436" s="110"/>
      <c r="G436" s="274"/>
      <c r="H436" s="110"/>
      <c r="I436" s="110"/>
      <c r="J436" s="237" t="b">
        <f>Age_Sex_PY[[#This Row],[Total Spending After Applying Truncation at the Member Level]]+Age_Sex_PY[[#This Row],[Total Dollars Excluded from Spending After Applying Truncation at the Member Level]]=Age_Sex_PY[[#This Row],[Total Spending before Truncation is Applied]]</f>
        <v>1</v>
      </c>
    </row>
    <row r="437" spans="1:10" x14ac:dyDescent="0.25">
      <c r="A437" s="101"/>
      <c r="B437" s="104"/>
      <c r="C437" s="105"/>
      <c r="D437" s="273"/>
      <c r="E437" s="182"/>
      <c r="F437" s="110"/>
      <c r="G437" s="274"/>
      <c r="H437" s="110"/>
      <c r="I437" s="110"/>
      <c r="J437" s="237" t="b">
        <f>Age_Sex_PY[[#This Row],[Total Spending After Applying Truncation at the Member Level]]+Age_Sex_PY[[#This Row],[Total Dollars Excluded from Spending After Applying Truncation at the Member Level]]=Age_Sex_PY[[#This Row],[Total Spending before Truncation is Applied]]</f>
        <v>1</v>
      </c>
    </row>
    <row r="438" spans="1:10" x14ac:dyDescent="0.25">
      <c r="A438" s="101"/>
      <c r="B438" s="104"/>
      <c r="C438" s="105"/>
      <c r="D438" s="273"/>
      <c r="E438" s="182"/>
      <c r="F438" s="110"/>
      <c r="G438" s="274"/>
      <c r="H438" s="110"/>
      <c r="I438" s="110"/>
      <c r="J438" s="237" t="b">
        <f>Age_Sex_PY[[#This Row],[Total Spending After Applying Truncation at the Member Level]]+Age_Sex_PY[[#This Row],[Total Dollars Excluded from Spending After Applying Truncation at the Member Level]]=Age_Sex_PY[[#This Row],[Total Spending before Truncation is Applied]]</f>
        <v>1</v>
      </c>
    </row>
    <row r="439" spans="1:10" x14ac:dyDescent="0.25">
      <c r="A439" s="101"/>
      <c r="B439" s="104"/>
      <c r="C439" s="105"/>
      <c r="D439" s="273"/>
      <c r="E439" s="182"/>
      <c r="F439" s="110"/>
      <c r="G439" s="274"/>
      <c r="H439" s="110"/>
      <c r="I439" s="110"/>
      <c r="J439" s="237" t="b">
        <f>Age_Sex_PY[[#This Row],[Total Spending After Applying Truncation at the Member Level]]+Age_Sex_PY[[#This Row],[Total Dollars Excluded from Spending After Applying Truncation at the Member Level]]=Age_Sex_PY[[#This Row],[Total Spending before Truncation is Applied]]</f>
        <v>1</v>
      </c>
    </row>
    <row r="440" spans="1:10" x14ac:dyDescent="0.25">
      <c r="A440" s="101"/>
      <c r="B440" s="104"/>
      <c r="C440" s="105"/>
      <c r="D440" s="273"/>
      <c r="E440" s="182"/>
      <c r="F440" s="110"/>
      <c r="G440" s="274"/>
      <c r="H440" s="110"/>
      <c r="I440" s="110"/>
      <c r="J440" s="237" t="b">
        <f>Age_Sex_PY[[#This Row],[Total Spending After Applying Truncation at the Member Level]]+Age_Sex_PY[[#This Row],[Total Dollars Excluded from Spending After Applying Truncation at the Member Level]]=Age_Sex_PY[[#This Row],[Total Spending before Truncation is Applied]]</f>
        <v>1</v>
      </c>
    </row>
    <row r="441" spans="1:10" x14ac:dyDescent="0.25">
      <c r="A441" s="101"/>
      <c r="B441" s="104"/>
      <c r="C441" s="105"/>
      <c r="D441" s="273"/>
      <c r="E441" s="182"/>
      <c r="F441" s="110"/>
      <c r="G441" s="274"/>
      <c r="H441" s="110"/>
      <c r="I441" s="110"/>
      <c r="J441" s="237" t="b">
        <f>Age_Sex_PY[[#This Row],[Total Spending After Applying Truncation at the Member Level]]+Age_Sex_PY[[#This Row],[Total Dollars Excluded from Spending After Applying Truncation at the Member Level]]=Age_Sex_PY[[#This Row],[Total Spending before Truncation is Applied]]</f>
        <v>1</v>
      </c>
    </row>
    <row r="442" spans="1:10" x14ac:dyDescent="0.25">
      <c r="A442" s="101"/>
      <c r="B442" s="104"/>
      <c r="C442" s="105"/>
      <c r="D442" s="273"/>
      <c r="E442" s="182"/>
      <c r="F442" s="110"/>
      <c r="G442" s="274"/>
      <c r="H442" s="110"/>
      <c r="I442" s="110"/>
      <c r="J442" s="237" t="b">
        <f>Age_Sex_PY[[#This Row],[Total Spending After Applying Truncation at the Member Level]]+Age_Sex_PY[[#This Row],[Total Dollars Excluded from Spending After Applying Truncation at the Member Level]]=Age_Sex_PY[[#This Row],[Total Spending before Truncation is Applied]]</f>
        <v>1</v>
      </c>
    </row>
    <row r="443" spans="1:10" x14ac:dyDescent="0.25">
      <c r="A443" s="101"/>
      <c r="B443" s="104"/>
      <c r="C443" s="105"/>
      <c r="D443" s="273"/>
      <c r="E443" s="182"/>
      <c r="F443" s="110"/>
      <c r="G443" s="274"/>
      <c r="H443" s="110"/>
      <c r="I443" s="110"/>
      <c r="J443" s="237" t="b">
        <f>Age_Sex_PY[[#This Row],[Total Spending After Applying Truncation at the Member Level]]+Age_Sex_PY[[#This Row],[Total Dollars Excluded from Spending After Applying Truncation at the Member Level]]=Age_Sex_PY[[#This Row],[Total Spending before Truncation is Applied]]</f>
        <v>1</v>
      </c>
    </row>
    <row r="444" spans="1:10" x14ac:dyDescent="0.25">
      <c r="A444" s="101"/>
      <c r="B444" s="104"/>
      <c r="C444" s="105"/>
      <c r="D444" s="273"/>
      <c r="E444" s="182"/>
      <c r="F444" s="110"/>
      <c r="G444" s="274"/>
      <c r="H444" s="110"/>
      <c r="I444" s="110"/>
      <c r="J444" s="237" t="b">
        <f>Age_Sex_PY[[#This Row],[Total Spending After Applying Truncation at the Member Level]]+Age_Sex_PY[[#This Row],[Total Dollars Excluded from Spending After Applying Truncation at the Member Level]]=Age_Sex_PY[[#This Row],[Total Spending before Truncation is Applied]]</f>
        <v>1</v>
      </c>
    </row>
    <row r="445" spans="1:10" x14ac:dyDescent="0.25">
      <c r="A445" s="101"/>
      <c r="B445" s="104"/>
      <c r="C445" s="105"/>
      <c r="D445" s="273"/>
      <c r="E445" s="182"/>
      <c r="F445" s="110"/>
      <c r="G445" s="274"/>
      <c r="H445" s="110"/>
      <c r="I445" s="110"/>
      <c r="J445" s="237" t="b">
        <f>Age_Sex_PY[[#This Row],[Total Spending After Applying Truncation at the Member Level]]+Age_Sex_PY[[#This Row],[Total Dollars Excluded from Spending After Applying Truncation at the Member Level]]=Age_Sex_PY[[#This Row],[Total Spending before Truncation is Applied]]</f>
        <v>1</v>
      </c>
    </row>
    <row r="446" spans="1:10" x14ac:dyDescent="0.25">
      <c r="A446" s="101"/>
      <c r="B446" s="104"/>
      <c r="C446" s="105"/>
      <c r="D446" s="273"/>
      <c r="E446" s="182"/>
      <c r="F446" s="110"/>
      <c r="G446" s="274"/>
      <c r="H446" s="110"/>
      <c r="I446" s="110"/>
      <c r="J446" s="237" t="b">
        <f>Age_Sex_PY[[#This Row],[Total Spending After Applying Truncation at the Member Level]]+Age_Sex_PY[[#This Row],[Total Dollars Excluded from Spending After Applying Truncation at the Member Level]]=Age_Sex_PY[[#This Row],[Total Spending before Truncation is Applied]]</f>
        <v>1</v>
      </c>
    </row>
    <row r="447" spans="1:10" x14ac:dyDescent="0.25">
      <c r="A447" s="101"/>
      <c r="B447" s="104"/>
      <c r="C447" s="105"/>
      <c r="D447" s="273"/>
      <c r="E447" s="182"/>
      <c r="F447" s="110"/>
      <c r="G447" s="274"/>
      <c r="H447" s="110"/>
      <c r="I447" s="110"/>
      <c r="J447" s="237" t="b">
        <f>Age_Sex_PY[[#This Row],[Total Spending After Applying Truncation at the Member Level]]+Age_Sex_PY[[#This Row],[Total Dollars Excluded from Spending After Applying Truncation at the Member Level]]=Age_Sex_PY[[#This Row],[Total Spending before Truncation is Applied]]</f>
        <v>1</v>
      </c>
    </row>
    <row r="448" spans="1:10" x14ac:dyDescent="0.25">
      <c r="A448" s="101"/>
      <c r="B448" s="104"/>
      <c r="C448" s="105"/>
      <c r="D448" s="273"/>
      <c r="E448" s="182"/>
      <c r="F448" s="110"/>
      <c r="G448" s="274"/>
      <c r="H448" s="110"/>
      <c r="I448" s="110"/>
      <c r="J448" s="237" t="b">
        <f>Age_Sex_PY[[#This Row],[Total Spending After Applying Truncation at the Member Level]]+Age_Sex_PY[[#This Row],[Total Dollars Excluded from Spending After Applying Truncation at the Member Level]]=Age_Sex_PY[[#This Row],[Total Spending before Truncation is Applied]]</f>
        <v>1</v>
      </c>
    </row>
    <row r="449" spans="1:10" x14ac:dyDescent="0.25">
      <c r="A449" s="101"/>
      <c r="B449" s="104"/>
      <c r="C449" s="105"/>
      <c r="D449" s="273"/>
      <c r="E449" s="182"/>
      <c r="F449" s="110"/>
      <c r="G449" s="274"/>
      <c r="H449" s="110"/>
      <c r="I449" s="110"/>
      <c r="J449" s="237" t="b">
        <f>Age_Sex_PY[[#This Row],[Total Spending After Applying Truncation at the Member Level]]+Age_Sex_PY[[#This Row],[Total Dollars Excluded from Spending After Applying Truncation at the Member Level]]=Age_Sex_PY[[#This Row],[Total Spending before Truncation is Applied]]</f>
        <v>1</v>
      </c>
    </row>
    <row r="450" spans="1:10" x14ac:dyDescent="0.25">
      <c r="A450" s="101"/>
      <c r="B450" s="104"/>
      <c r="C450" s="105"/>
      <c r="D450" s="273"/>
      <c r="E450" s="182"/>
      <c r="F450" s="110"/>
      <c r="G450" s="274"/>
      <c r="H450" s="110"/>
      <c r="I450" s="110"/>
      <c r="J450" s="237" t="b">
        <f>Age_Sex_PY[[#This Row],[Total Spending After Applying Truncation at the Member Level]]+Age_Sex_PY[[#This Row],[Total Dollars Excluded from Spending After Applying Truncation at the Member Level]]=Age_Sex_PY[[#This Row],[Total Spending before Truncation is Applied]]</f>
        <v>1</v>
      </c>
    </row>
    <row r="451" spans="1:10" x14ac:dyDescent="0.25">
      <c r="A451" s="101"/>
      <c r="B451" s="104"/>
      <c r="C451" s="105"/>
      <c r="D451" s="273"/>
      <c r="E451" s="182"/>
      <c r="F451" s="110"/>
      <c r="G451" s="274"/>
      <c r="H451" s="110"/>
      <c r="I451" s="110"/>
      <c r="J451" s="237" t="b">
        <f>Age_Sex_PY[[#This Row],[Total Spending After Applying Truncation at the Member Level]]+Age_Sex_PY[[#This Row],[Total Dollars Excluded from Spending After Applying Truncation at the Member Level]]=Age_Sex_PY[[#This Row],[Total Spending before Truncation is Applied]]</f>
        <v>1</v>
      </c>
    </row>
    <row r="452" spans="1:10" x14ac:dyDescent="0.25">
      <c r="A452" s="101"/>
      <c r="B452" s="104"/>
      <c r="C452" s="105"/>
      <c r="D452" s="273"/>
      <c r="E452" s="182"/>
      <c r="F452" s="110"/>
      <c r="G452" s="274"/>
      <c r="H452" s="110"/>
      <c r="I452" s="110"/>
      <c r="J452" s="237" t="b">
        <f>Age_Sex_PY[[#This Row],[Total Spending After Applying Truncation at the Member Level]]+Age_Sex_PY[[#This Row],[Total Dollars Excluded from Spending After Applying Truncation at the Member Level]]=Age_Sex_PY[[#This Row],[Total Spending before Truncation is Applied]]</f>
        <v>1</v>
      </c>
    </row>
    <row r="453" spans="1:10" x14ac:dyDescent="0.25">
      <c r="A453" s="101"/>
      <c r="B453" s="104"/>
      <c r="C453" s="105"/>
      <c r="D453" s="273"/>
      <c r="E453" s="182"/>
      <c r="F453" s="110"/>
      <c r="G453" s="274"/>
      <c r="H453" s="110"/>
      <c r="I453" s="110"/>
      <c r="J453" s="237" t="b">
        <f>Age_Sex_PY[[#This Row],[Total Spending After Applying Truncation at the Member Level]]+Age_Sex_PY[[#This Row],[Total Dollars Excluded from Spending After Applying Truncation at the Member Level]]=Age_Sex_PY[[#This Row],[Total Spending before Truncation is Applied]]</f>
        <v>1</v>
      </c>
    </row>
    <row r="454" spans="1:10" x14ac:dyDescent="0.25">
      <c r="A454" s="101"/>
      <c r="B454" s="104"/>
      <c r="C454" s="105"/>
      <c r="D454" s="273"/>
      <c r="E454" s="182"/>
      <c r="F454" s="110"/>
      <c r="G454" s="274"/>
      <c r="H454" s="110"/>
      <c r="I454" s="110"/>
      <c r="J454" s="237" t="b">
        <f>Age_Sex_PY[[#This Row],[Total Spending After Applying Truncation at the Member Level]]+Age_Sex_PY[[#This Row],[Total Dollars Excluded from Spending After Applying Truncation at the Member Level]]=Age_Sex_PY[[#This Row],[Total Spending before Truncation is Applied]]</f>
        <v>1</v>
      </c>
    </row>
    <row r="455" spans="1:10" x14ac:dyDescent="0.25">
      <c r="A455" s="101"/>
      <c r="B455" s="104"/>
      <c r="C455" s="105"/>
      <c r="D455" s="273"/>
      <c r="E455" s="182"/>
      <c r="F455" s="110"/>
      <c r="G455" s="274"/>
      <c r="H455" s="110"/>
      <c r="I455" s="110"/>
      <c r="J455" s="237" t="b">
        <f>Age_Sex_PY[[#This Row],[Total Spending After Applying Truncation at the Member Level]]+Age_Sex_PY[[#This Row],[Total Dollars Excluded from Spending After Applying Truncation at the Member Level]]=Age_Sex_PY[[#This Row],[Total Spending before Truncation is Applied]]</f>
        <v>1</v>
      </c>
    </row>
    <row r="456" spans="1:10" x14ac:dyDescent="0.25">
      <c r="A456" s="101"/>
      <c r="B456" s="104"/>
      <c r="C456" s="105"/>
      <c r="D456" s="273"/>
      <c r="E456" s="182"/>
      <c r="F456" s="110"/>
      <c r="G456" s="274"/>
      <c r="H456" s="110"/>
      <c r="I456" s="110"/>
      <c r="J456" s="237" t="b">
        <f>Age_Sex_PY[[#This Row],[Total Spending After Applying Truncation at the Member Level]]+Age_Sex_PY[[#This Row],[Total Dollars Excluded from Spending After Applying Truncation at the Member Level]]=Age_Sex_PY[[#This Row],[Total Spending before Truncation is Applied]]</f>
        <v>1</v>
      </c>
    </row>
    <row r="457" spans="1:10" x14ac:dyDescent="0.25">
      <c r="A457" s="101"/>
      <c r="B457" s="104"/>
      <c r="C457" s="105"/>
      <c r="D457" s="273"/>
      <c r="E457" s="182"/>
      <c r="F457" s="110"/>
      <c r="G457" s="274"/>
      <c r="H457" s="110"/>
      <c r="I457" s="110"/>
      <c r="J457" s="237" t="b">
        <f>Age_Sex_PY[[#This Row],[Total Spending After Applying Truncation at the Member Level]]+Age_Sex_PY[[#This Row],[Total Dollars Excluded from Spending After Applying Truncation at the Member Level]]=Age_Sex_PY[[#This Row],[Total Spending before Truncation is Applied]]</f>
        <v>1</v>
      </c>
    </row>
    <row r="458" spans="1:10" x14ac:dyDescent="0.25">
      <c r="A458" s="101"/>
      <c r="B458" s="104"/>
      <c r="C458" s="105"/>
      <c r="D458" s="273"/>
      <c r="E458" s="182"/>
      <c r="F458" s="110"/>
      <c r="G458" s="274"/>
      <c r="H458" s="110"/>
      <c r="I458" s="110"/>
      <c r="J458" s="237" t="b">
        <f>Age_Sex_PY[[#This Row],[Total Spending After Applying Truncation at the Member Level]]+Age_Sex_PY[[#This Row],[Total Dollars Excluded from Spending After Applying Truncation at the Member Level]]=Age_Sex_PY[[#This Row],[Total Spending before Truncation is Applied]]</f>
        <v>1</v>
      </c>
    </row>
    <row r="459" spans="1:10" x14ac:dyDescent="0.25">
      <c r="A459" s="101"/>
      <c r="B459" s="104"/>
      <c r="C459" s="105"/>
      <c r="D459" s="273"/>
      <c r="E459" s="182"/>
      <c r="F459" s="110"/>
      <c r="G459" s="274"/>
      <c r="H459" s="110"/>
      <c r="I459" s="110"/>
      <c r="J459" s="237" t="b">
        <f>Age_Sex_PY[[#This Row],[Total Spending After Applying Truncation at the Member Level]]+Age_Sex_PY[[#This Row],[Total Dollars Excluded from Spending After Applying Truncation at the Member Level]]=Age_Sex_PY[[#This Row],[Total Spending before Truncation is Applied]]</f>
        <v>1</v>
      </c>
    </row>
    <row r="460" spans="1:10" x14ac:dyDescent="0.25">
      <c r="A460" s="101"/>
      <c r="B460" s="104"/>
      <c r="C460" s="105"/>
      <c r="D460" s="273"/>
      <c r="E460" s="182"/>
      <c r="F460" s="110"/>
      <c r="G460" s="274"/>
      <c r="H460" s="110"/>
      <c r="I460" s="110"/>
      <c r="J460" s="237" t="b">
        <f>Age_Sex_PY[[#This Row],[Total Spending After Applying Truncation at the Member Level]]+Age_Sex_PY[[#This Row],[Total Dollars Excluded from Spending After Applying Truncation at the Member Level]]=Age_Sex_PY[[#This Row],[Total Spending before Truncation is Applied]]</f>
        <v>1</v>
      </c>
    </row>
    <row r="461" spans="1:10" x14ac:dyDescent="0.25">
      <c r="A461" s="101"/>
      <c r="B461" s="104"/>
      <c r="C461" s="105"/>
      <c r="D461" s="273"/>
      <c r="E461" s="106"/>
      <c r="F461" s="107"/>
      <c r="G461" s="275"/>
      <c r="H461" s="107"/>
      <c r="I461" s="107"/>
      <c r="J461" s="237" t="b">
        <f>Age_Sex_PY[[#This Row],[Total Spending After Applying Truncation at the Member Level]]+Age_Sex_PY[[#This Row],[Total Dollars Excluded from Spending After Applying Truncation at the Member Level]]=Age_Sex_PY[[#This Row],[Total Spending before Truncation is Applied]]</f>
        <v>1</v>
      </c>
    </row>
    <row r="462" spans="1:10" x14ac:dyDescent="0.25">
      <c r="A462" s="101"/>
      <c r="B462" s="104"/>
      <c r="C462" s="105"/>
      <c r="D462" s="273"/>
      <c r="E462" s="106"/>
      <c r="F462" s="107"/>
      <c r="G462" s="275"/>
      <c r="H462" s="107"/>
      <c r="I462" s="107"/>
      <c r="J462" s="237" t="b">
        <f>Age_Sex_PY[[#This Row],[Total Spending After Applying Truncation at the Member Level]]+Age_Sex_PY[[#This Row],[Total Dollars Excluded from Spending After Applying Truncation at the Member Level]]=Age_Sex_PY[[#This Row],[Total Spending before Truncation is Applied]]</f>
        <v>1</v>
      </c>
    </row>
    <row r="463" spans="1:10" x14ac:dyDescent="0.25">
      <c r="A463" s="101"/>
      <c r="B463" s="104"/>
      <c r="C463" s="105"/>
      <c r="D463" s="273"/>
      <c r="E463" s="106"/>
      <c r="F463" s="110"/>
      <c r="G463" s="274"/>
      <c r="H463" s="110"/>
      <c r="I463" s="110"/>
      <c r="J463" s="237" t="b">
        <f>Age_Sex_PY[[#This Row],[Total Spending After Applying Truncation at the Member Level]]+Age_Sex_PY[[#This Row],[Total Dollars Excluded from Spending After Applying Truncation at the Member Level]]=Age_Sex_PY[[#This Row],[Total Spending before Truncation is Applied]]</f>
        <v>1</v>
      </c>
    </row>
    <row r="464" spans="1:10" x14ac:dyDescent="0.25">
      <c r="A464" s="101"/>
      <c r="B464" s="104"/>
      <c r="C464" s="105"/>
      <c r="D464" s="273"/>
      <c r="E464" s="106"/>
      <c r="F464" s="110"/>
      <c r="G464" s="274"/>
      <c r="H464" s="110"/>
      <c r="I464" s="110"/>
      <c r="J464" s="237" t="b">
        <f>Age_Sex_PY[[#This Row],[Total Spending After Applying Truncation at the Member Level]]+Age_Sex_PY[[#This Row],[Total Dollars Excluded from Spending After Applying Truncation at the Member Level]]=Age_Sex_PY[[#This Row],[Total Spending before Truncation is Applied]]</f>
        <v>1</v>
      </c>
    </row>
    <row r="465" spans="1:10" x14ac:dyDescent="0.25">
      <c r="A465" s="101"/>
      <c r="B465" s="104"/>
      <c r="C465" s="105"/>
      <c r="D465" s="273"/>
      <c r="E465" s="106"/>
      <c r="F465" s="110"/>
      <c r="G465" s="274"/>
      <c r="H465" s="110"/>
      <c r="I465" s="110"/>
      <c r="J465" s="237" t="b">
        <f>Age_Sex_PY[[#This Row],[Total Spending After Applying Truncation at the Member Level]]+Age_Sex_PY[[#This Row],[Total Dollars Excluded from Spending After Applying Truncation at the Member Level]]=Age_Sex_PY[[#This Row],[Total Spending before Truncation is Applied]]</f>
        <v>1</v>
      </c>
    </row>
    <row r="466" spans="1:10" x14ac:dyDescent="0.25">
      <c r="A466" s="101"/>
      <c r="B466" s="104"/>
      <c r="C466" s="105"/>
      <c r="D466" s="273"/>
      <c r="E466" s="106"/>
      <c r="F466" s="110"/>
      <c r="G466" s="274"/>
      <c r="H466" s="110"/>
      <c r="I466" s="110"/>
      <c r="J466" s="237" t="b">
        <f>Age_Sex_PY[[#This Row],[Total Spending After Applying Truncation at the Member Level]]+Age_Sex_PY[[#This Row],[Total Dollars Excluded from Spending After Applying Truncation at the Member Level]]=Age_Sex_PY[[#This Row],[Total Spending before Truncation is Applied]]</f>
        <v>1</v>
      </c>
    </row>
    <row r="467" spans="1:10" x14ac:dyDescent="0.25">
      <c r="A467" s="101"/>
      <c r="B467" s="104"/>
      <c r="C467" s="105"/>
      <c r="D467" s="273"/>
      <c r="E467" s="106"/>
      <c r="F467" s="110"/>
      <c r="G467" s="274"/>
      <c r="H467" s="110"/>
      <c r="I467" s="110"/>
      <c r="J467" s="237" t="b">
        <f>Age_Sex_PY[[#This Row],[Total Spending After Applying Truncation at the Member Level]]+Age_Sex_PY[[#This Row],[Total Dollars Excluded from Spending After Applying Truncation at the Member Level]]=Age_Sex_PY[[#This Row],[Total Spending before Truncation is Applied]]</f>
        <v>1</v>
      </c>
    </row>
    <row r="468" spans="1:10" x14ac:dyDescent="0.25">
      <c r="A468" s="101"/>
      <c r="B468" s="104"/>
      <c r="C468" s="105"/>
      <c r="D468" s="273"/>
      <c r="E468" s="106"/>
      <c r="F468" s="110"/>
      <c r="G468" s="274"/>
      <c r="H468" s="110"/>
      <c r="I468" s="110"/>
      <c r="J468" s="237" t="b">
        <f>Age_Sex_PY[[#This Row],[Total Spending After Applying Truncation at the Member Level]]+Age_Sex_PY[[#This Row],[Total Dollars Excluded from Spending After Applying Truncation at the Member Level]]=Age_Sex_PY[[#This Row],[Total Spending before Truncation is Applied]]</f>
        <v>1</v>
      </c>
    </row>
    <row r="469" spans="1:10" x14ac:dyDescent="0.25">
      <c r="A469" s="101"/>
      <c r="B469" s="104"/>
      <c r="C469" s="105"/>
      <c r="D469" s="273"/>
      <c r="E469" s="106"/>
      <c r="F469" s="110"/>
      <c r="G469" s="274"/>
      <c r="H469" s="110"/>
      <c r="I469" s="110"/>
      <c r="J469" s="237" t="b">
        <f>Age_Sex_PY[[#This Row],[Total Spending After Applying Truncation at the Member Level]]+Age_Sex_PY[[#This Row],[Total Dollars Excluded from Spending After Applying Truncation at the Member Level]]=Age_Sex_PY[[#This Row],[Total Spending before Truncation is Applied]]</f>
        <v>1</v>
      </c>
    </row>
    <row r="470" spans="1:10" x14ac:dyDescent="0.25">
      <c r="A470" s="101"/>
      <c r="B470" s="104"/>
      <c r="C470" s="105"/>
      <c r="D470" s="273"/>
      <c r="E470" s="106"/>
      <c r="F470" s="110"/>
      <c r="G470" s="274"/>
      <c r="H470" s="110"/>
      <c r="I470" s="110"/>
      <c r="J470" s="237" t="b">
        <f>Age_Sex_PY[[#This Row],[Total Spending After Applying Truncation at the Member Level]]+Age_Sex_PY[[#This Row],[Total Dollars Excluded from Spending After Applying Truncation at the Member Level]]=Age_Sex_PY[[#This Row],[Total Spending before Truncation is Applied]]</f>
        <v>1</v>
      </c>
    </row>
    <row r="471" spans="1:10" x14ac:dyDescent="0.25">
      <c r="A471" s="101"/>
      <c r="B471" s="104"/>
      <c r="C471" s="105"/>
      <c r="D471" s="273"/>
      <c r="E471" s="106"/>
      <c r="F471" s="110"/>
      <c r="G471" s="274"/>
      <c r="H471" s="110"/>
      <c r="I471" s="110"/>
      <c r="J471" s="237" t="b">
        <f>Age_Sex_PY[[#This Row],[Total Spending After Applying Truncation at the Member Level]]+Age_Sex_PY[[#This Row],[Total Dollars Excluded from Spending After Applying Truncation at the Member Level]]=Age_Sex_PY[[#This Row],[Total Spending before Truncation is Applied]]</f>
        <v>1</v>
      </c>
    </row>
    <row r="472" spans="1:10" x14ac:dyDescent="0.25">
      <c r="A472" s="101"/>
      <c r="B472" s="104"/>
      <c r="C472" s="105"/>
      <c r="D472" s="273"/>
      <c r="E472" s="106"/>
      <c r="F472" s="110"/>
      <c r="G472" s="274"/>
      <c r="H472" s="110"/>
      <c r="I472" s="110"/>
      <c r="J472" s="237" t="b">
        <f>Age_Sex_PY[[#This Row],[Total Spending After Applying Truncation at the Member Level]]+Age_Sex_PY[[#This Row],[Total Dollars Excluded from Spending After Applying Truncation at the Member Level]]=Age_Sex_PY[[#This Row],[Total Spending before Truncation is Applied]]</f>
        <v>1</v>
      </c>
    </row>
    <row r="473" spans="1:10" x14ac:dyDescent="0.25">
      <c r="A473" s="101"/>
      <c r="B473" s="104"/>
      <c r="C473" s="105"/>
      <c r="D473" s="273"/>
      <c r="E473" s="106"/>
      <c r="F473" s="110"/>
      <c r="G473" s="274"/>
      <c r="H473" s="110"/>
      <c r="I473" s="110"/>
      <c r="J473" s="237" t="b">
        <f>Age_Sex_PY[[#This Row],[Total Spending After Applying Truncation at the Member Level]]+Age_Sex_PY[[#This Row],[Total Dollars Excluded from Spending After Applying Truncation at the Member Level]]=Age_Sex_PY[[#This Row],[Total Spending before Truncation is Applied]]</f>
        <v>1</v>
      </c>
    </row>
    <row r="474" spans="1:10" x14ac:dyDescent="0.25">
      <c r="A474" s="101"/>
      <c r="B474" s="104"/>
      <c r="C474" s="105"/>
      <c r="D474" s="273"/>
      <c r="E474" s="106"/>
      <c r="F474" s="110"/>
      <c r="G474" s="274"/>
      <c r="H474" s="110"/>
      <c r="I474" s="110"/>
      <c r="J474" s="237" t="b">
        <f>Age_Sex_PY[[#This Row],[Total Spending After Applying Truncation at the Member Level]]+Age_Sex_PY[[#This Row],[Total Dollars Excluded from Spending After Applying Truncation at the Member Level]]=Age_Sex_PY[[#This Row],[Total Spending before Truncation is Applied]]</f>
        <v>1</v>
      </c>
    </row>
    <row r="475" spans="1:10" x14ac:dyDescent="0.25">
      <c r="A475" s="101"/>
      <c r="B475" s="104"/>
      <c r="C475" s="105"/>
      <c r="D475" s="273"/>
      <c r="E475" s="106"/>
      <c r="F475" s="110"/>
      <c r="G475" s="274"/>
      <c r="H475" s="110"/>
      <c r="I475" s="110"/>
      <c r="J475" s="237" t="b">
        <f>Age_Sex_PY[[#This Row],[Total Spending After Applying Truncation at the Member Level]]+Age_Sex_PY[[#This Row],[Total Dollars Excluded from Spending After Applying Truncation at the Member Level]]=Age_Sex_PY[[#This Row],[Total Spending before Truncation is Applied]]</f>
        <v>1</v>
      </c>
    </row>
    <row r="476" spans="1:10" x14ac:dyDescent="0.25">
      <c r="A476" s="101"/>
      <c r="B476" s="104"/>
      <c r="C476" s="105"/>
      <c r="D476" s="273"/>
      <c r="E476" s="106"/>
      <c r="F476" s="110"/>
      <c r="G476" s="274"/>
      <c r="H476" s="110"/>
      <c r="I476" s="110"/>
      <c r="J476" s="237" t="b">
        <f>Age_Sex_PY[[#This Row],[Total Spending After Applying Truncation at the Member Level]]+Age_Sex_PY[[#This Row],[Total Dollars Excluded from Spending After Applying Truncation at the Member Level]]=Age_Sex_PY[[#This Row],[Total Spending before Truncation is Applied]]</f>
        <v>1</v>
      </c>
    </row>
    <row r="477" spans="1:10" x14ac:dyDescent="0.25">
      <c r="A477" s="101"/>
      <c r="B477" s="104"/>
      <c r="C477" s="105"/>
      <c r="D477" s="273"/>
      <c r="E477" s="106"/>
      <c r="F477" s="110"/>
      <c r="G477" s="274"/>
      <c r="H477" s="110"/>
      <c r="I477" s="110"/>
      <c r="J477" s="237" t="b">
        <f>Age_Sex_PY[[#This Row],[Total Spending After Applying Truncation at the Member Level]]+Age_Sex_PY[[#This Row],[Total Dollars Excluded from Spending After Applying Truncation at the Member Level]]=Age_Sex_PY[[#This Row],[Total Spending before Truncation is Applied]]</f>
        <v>1</v>
      </c>
    </row>
    <row r="478" spans="1:10" x14ac:dyDescent="0.25">
      <c r="A478" s="101"/>
      <c r="B478" s="104"/>
      <c r="C478" s="105"/>
      <c r="D478" s="273"/>
      <c r="E478" s="106"/>
      <c r="F478" s="110"/>
      <c r="G478" s="274"/>
      <c r="H478" s="110"/>
      <c r="I478" s="110"/>
      <c r="J478" s="237" t="b">
        <f>Age_Sex_PY[[#This Row],[Total Spending After Applying Truncation at the Member Level]]+Age_Sex_PY[[#This Row],[Total Dollars Excluded from Spending After Applying Truncation at the Member Level]]=Age_Sex_PY[[#This Row],[Total Spending before Truncation is Applied]]</f>
        <v>1</v>
      </c>
    </row>
    <row r="479" spans="1:10" x14ac:dyDescent="0.25">
      <c r="A479" s="101"/>
      <c r="B479" s="104"/>
      <c r="C479" s="105"/>
      <c r="D479" s="273"/>
      <c r="E479" s="106"/>
      <c r="F479" s="110"/>
      <c r="G479" s="274"/>
      <c r="H479" s="110"/>
      <c r="I479" s="110"/>
      <c r="J479" s="237" t="b">
        <f>Age_Sex_PY[[#This Row],[Total Spending After Applying Truncation at the Member Level]]+Age_Sex_PY[[#This Row],[Total Dollars Excluded from Spending After Applying Truncation at the Member Level]]=Age_Sex_PY[[#This Row],[Total Spending before Truncation is Applied]]</f>
        <v>1</v>
      </c>
    </row>
    <row r="480" spans="1:10" x14ac:dyDescent="0.25">
      <c r="A480" s="101"/>
      <c r="B480" s="104"/>
      <c r="C480" s="105"/>
      <c r="D480" s="273"/>
      <c r="E480" s="182"/>
      <c r="F480" s="110"/>
      <c r="G480" s="274"/>
      <c r="H480" s="110"/>
      <c r="I480" s="110"/>
      <c r="J480" s="237" t="b">
        <f>Age_Sex_PY[[#This Row],[Total Spending After Applying Truncation at the Member Level]]+Age_Sex_PY[[#This Row],[Total Dollars Excluded from Spending After Applying Truncation at the Member Level]]=Age_Sex_PY[[#This Row],[Total Spending before Truncation is Applied]]</f>
        <v>1</v>
      </c>
    </row>
    <row r="481" spans="1:10" x14ac:dyDescent="0.25">
      <c r="A481" s="101"/>
      <c r="B481" s="104"/>
      <c r="C481" s="105"/>
      <c r="D481" s="273"/>
      <c r="E481" s="182"/>
      <c r="F481" s="110"/>
      <c r="G481" s="274"/>
      <c r="H481" s="110"/>
      <c r="I481" s="110"/>
      <c r="J481" s="237" t="b">
        <f>Age_Sex_PY[[#This Row],[Total Spending After Applying Truncation at the Member Level]]+Age_Sex_PY[[#This Row],[Total Dollars Excluded from Spending After Applying Truncation at the Member Level]]=Age_Sex_PY[[#This Row],[Total Spending before Truncation is Applied]]</f>
        <v>1</v>
      </c>
    </row>
    <row r="482" spans="1:10" x14ac:dyDescent="0.25">
      <c r="A482" s="101"/>
      <c r="B482" s="104"/>
      <c r="C482" s="105"/>
      <c r="D482" s="273"/>
      <c r="E482" s="182"/>
      <c r="F482" s="110"/>
      <c r="G482" s="274"/>
      <c r="H482" s="110"/>
      <c r="I482" s="110"/>
      <c r="J482" s="237" t="b">
        <f>Age_Sex_PY[[#This Row],[Total Spending After Applying Truncation at the Member Level]]+Age_Sex_PY[[#This Row],[Total Dollars Excluded from Spending After Applying Truncation at the Member Level]]=Age_Sex_PY[[#This Row],[Total Spending before Truncation is Applied]]</f>
        <v>1</v>
      </c>
    </row>
    <row r="483" spans="1:10" x14ac:dyDescent="0.25">
      <c r="A483" s="101"/>
      <c r="B483" s="104"/>
      <c r="C483" s="105"/>
      <c r="D483" s="273"/>
      <c r="E483" s="182"/>
      <c r="F483" s="110"/>
      <c r="G483" s="274"/>
      <c r="H483" s="110"/>
      <c r="I483" s="110"/>
      <c r="J483" s="237" t="b">
        <f>Age_Sex_PY[[#This Row],[Total Spending After Applying Truncation at the Member Level]]+Age_Sex_PY[[#This Row],[Total Dollars Excluded from Spending After Applying Truncation at the Member Level]]=Age_Sex_PY[[#This Row],[Total Spending before Truncation is Applied]]</f>
        <v>1</v>
      </c>
    </row>
    <row r="484" spans="1:10" x14ac:dyDescent="0.25">
      <c r="A484" s="101"/>
      <c r="B484" s="104"/>
      <c r="C484" s="105"/>
      <c r="D484" s="273"/>
      <c r="E484" s="182"/>
      <c r="F484" s="110"/>
      <c r="G484" s="274"/>
      <c r="H484" s="110"/>
      <c r="I484" s="110"/>
      <c r="J484" s="237" t="b">
        <f>Age_Sex_PY[[#This Row],[Total Spending After Applying Truncation at the Member Level]]+Age_Sex_PY[[#This Row],[Total Dollars Excluded from Spending After Applying Truncation at the Member Level]]=Age_Sex_PY[[#This Row],[Total Spending before Truncation is Applied]]</f>
        <v>1</v>
      </c>
    </row>
    <row r="485" spans="1:10" x14ac:dyDescent="0.25">
      <c r="A485" s="101"/>
      <c r="B485" s="104"/>
      <c r="C485" s="105"/>
      <c r="D485" s="273"/>
      <c r="E485" s="182"/>
      <c r="F485" s="110"/>
      <c r="G485" s="274"/>
      <c r="H485" s="110"/>
      <c r="I485" s="110"/>
      <c r="J485" s="237" t="b">
        <f>Age_Sex_PY[[#This Row],[Total Spending After Applying Truncation at the Member Level]]+Age_Sex_PY[[#This Row],[Total Dollars Excluded from Spending After Applying Truncation at the Member Level]]=Age_Sex_PY[[#This Row],[Total Spending before Truncation is Applied]]</f>
        <v>1</v>
      </c>
    </row>
    <row r="486" spans="1:10" x14ac:dyDescent="0.25">
      <c r="A486" s="101"/>
      <c r="B486" s="104"/>
      <c r="C486" s="105"/>
      <c r="D486" s="273"/>
      <c r="E486" s="182"/>
      <c r="F486" s="110"/>
      <c r="G486" s="274"/>
      <c r="H486" s="110"/>
      <c r="I486" s="110"/>
      <c r="J486" s="237" t="b">
        <f>Age_Sex_PY[[#This Row],[Total Spending After Applying Truncation at the Member Level]]+Age_Sex_PY[[#This Row],[Total Dollars Excluded from Spending After Applying Truncation at the Member Level]]=Age_Sex_PY[[#This Row],[Total Spending before Truncation is Applied]]</f>
        <v>1</v>
      </c>
    </row>
    <row r="487" spans="1:10" x14ac:dyDescent="0.25">
      <c r="A487" s="101"/>
      <c r="B487" s="104"/>
      <c r="C487" s="105"/>
      <c r="D487" s="273"/>
      <c r="E487" s="182"/>
      <c r="F487" s="110"/>
      <c r="G487" s="274"/>
      <c r="H487" s="110"/>
      <c r="I487" s="110"/>
      <c r="J487" s="237" t="b">
        <f>Age_Sex_PY[[#This Row],[Total Spending After Applying Truncation at the Member Level]]+Age_Sex_PY[[#This Row],[Total Dollars Excluded from Spending After Applying Truncation at the Member Level]]=Age_Sex_PY[[#This Row],[Total Spending before Truncation is Applied]]</f>
        <v>1</v>
      </c>
    </row>
    <row r="488" spans="1:10" x14ac:dyDescent="0.25">
      <c r="A488" s="101"/>
      <c r="B488" s="104"/>
      <c r="C488" s="105"/>
      <c r="D488" s="273"/>
      <c r="E488" s="182"/>
      <c r="F488" s="110"/>
      <c r="G488" s="274"/>
      <c r="H488" s="110"/>
      <c r="I488" s="110"/>
      <c r="J488" s="237" t="b">
        <f>Age_Sex_PY[[#This Row],[Total Spending After Applying Truncation at the Member Level]]+Age_Sex_PY[[#This Row],[Total Dollars Excluded from Spending After Applying Truncation at the Member Level]]=Age_Sex_PY[[#This Row],[Total Spending before Truncation is Applied]]</f>
        <v>1</v>
      </c>
    </row>
    <row r="489" spans="1:10" x14ac:dyDescent="0.25">
      <c r="A489" s="101"/>
      <c r="B489" s="104"/>
      <c r="C489" s="105"/>
      <c r="D489" s="273"/>
      <c r="E489" s="182"/>
      <c r="F489" s="110"/>
      <c r="G489" s="274"/>
      <c r="H489" s="110"/>
      <c r="I489" s="110"/>
      <c r="J489" s="237" t="b">
        <f>Age_Sex_PY[[#This Row],[Total Spending After Applying Truncation at the Member Level]]+Age_Sex_PY[[#This Row],[Total Dollars Excluded from Spending After Applying Truncation at the Member Level]]=Age_Sex_PY[[#This Row],[Total Spending before Truncation is Applied]]</f>
        <v>1</v>
      </c>
    </row>
    <row r="490" spans="1:10" x14ac:dyDescent="0.25">
      <c r="A490" s="101"/>
      <c r="B490" s="104"/>
      <c r="C490" s="105"/>
      <c r="D490" s="273"/>
      <c r="E490" s="106"/>
      <c r="F490" s="110"/>
      <c r="G490" s="274"/>
      <c r="H490" s="110"/>
      <c r="I490" s="110"/>
      <c r="J490" s="237" t="b">
        <f>Age_Sex_PY[[#This Row],[Total Spending After Applying Truncation at the Member Level]]+Age_Sex_PY[[#This Row],[Total Dollars Excluded from Spending After Applying Truncation at the Member Level]]=Age_Sex_PY[[#This Row],[Total Spending before Truncation is Applied]]</f>
        <v>1</v>
      </c>
    </row>
    <row r="491" spans="1:10" x14ac:dyDescent="0.25">
      <c r="A491" s="101"/>
      <c r="B491" s="104"/>
      <c r="C491" s="105"/>
      <c r="D491" s="273"/>
      <c r="E491" s="106"/>
      <c r="F491" s="110"/>
      <c r="G491" s="274"/>
      <c r="H491" s="110"/>
      <c r="I491" s="110"/>
      <c r="J491" s="237" t="b">
        <f>Age_Sex_PY[[#This Row],[Total Spending After Applying Truncation at the Member Level]]+Age_Sex_PY[[#This Row],[Total Dollars Excluded from Spending After Applying Truncation at the Member Level]]=Age_Sex_PY[[#This Row],[Total Spending before Truncation is Applied]]</f>
        <v>1</v>
      </c>
    </row>
    <row r="492" spans="1:10" x14ac:dyDescent="0.25">
      <c r="A492" s="101"/>
      <c r="B492" s="104"/>
      <c r="C492" s="105"/>
      <c r="D492" s="273"/>
      <c r="E492" s="106"/>
      <c r="F492" s="110"/>
      <c r="G492" s="274"/>
      <c r="H492" s="110"/>
      <c r="I492" s="110"/>
      <c r="J492" s="237" t="b">
        <f>Age_Sex_PY[[#This Row],[Total Spending After Applying Truncation at the Member Level]]+Age_Sex_PY[[#This Row],[Total Dollars Excluded from Spending After Applying Truncation at the Member Level]]=Age_Sex_PY[[#This Row],[Total Spending before Truncation is Applied]]</f>
        <v>1</v>
      </c>
    </row>
    <row r="493" spans="1:10" x14ac:dyDescent="0.25">
      <c r="A493" s="101"/>
      <c r="B493" s="104"/>
      <c r="C493" s="105"/>
      <c r="D493" s="273"/>
      <c r="E493" s="106"/>
      <c r="F493" s="110"/>
      <c r="G493" s="274"/>
      <c r="H493" s="110"/>
      <c r="I493" s="110"/>
      <c r="J493" s="237" t="b">
        <f>Age_Sex_PY[[#This Row],[Total Spending After Applying Truncation at the Member Level]]+Age_Sex_PY[[#This Row],[Total Dollars Excluded from Spending After Applying Truncation at the Member Level]]=Age_Sex_PY[[#This Row],[Total Spending before Truncation is Applied]]</f>
        <v>1</v>
      </c>
    </row>
    <row r="494" spans="1:10" x14ac:dyDescent="0.25">
      <c r="A494" s="101"/>
      <c r="B494" s="104"/>
      <c r="C494" s="105"/>
      <c r="D494" s="273"/>
      <c r="E494" s="106"/>
      <c r="F494" s="110"/>
      <c r="G494" s="274"/>
      <c r="H494" s="110"/>
      <c r="I494" s="110"/>
      <c r="J494" s="237" t="b">
        <f>Age_Sex_PY[[#This Row],[Total Spending After Applying Truncation at the Member Level]]+Age_Sex_PY[[#This Row],[Total Dollars Excluded from Spending After Applying Truncation at the Member Level]]=Age_Sex_PY[[#This Row],[Total Spending before Truncation is Applied]]</f>
        <v>1</v>
      </c>
    </row>
    <row r="495" spans="1:10" x14ac:dyDescent="0.25">
      <c r="A495" s="101"/>
      <c r="B495" s="104"/>
      <c r="C495" s="105"/>
      <c r="D495" s="273"/>
      <c r="E495" s="106"/>
      <c r="F495" s="110"/>
      <c r="G495" s="274"/>
      <c r="H495" s="110"/>
      <c r="I495" s="110"/>
      <c r="J495" s="237" t="b">
        <f>Age_Sex_PY[[#This Row],[Total Spending After Applying Truncation at the Member Level]]+Age_Sex_PY[[#This Row],[Total Dollars Excluded from Spending After Applying Truncation at the Member Level]]=Age_Sex_PY[[#This Row],[Total Spending before Truncation is Applied]]</f>
        <v>1</v>
      </c>
    </row>
    <row r="496" spans="1:10" x14ac:dyDescent="0.25">
      <c r="A496" s="101"/>
      <c r="B496" s="104"/>
      <c r="C496" s="105"/>
      <c r="D496" s="273"/>
      <c r="E496" s="106"/>
      <c r="F496" s="110"/>
      <c r="G496" s="274"/>
      <c r="H496" s="110"/>
      <c r="I496" s="110"/>
      <c r="J496" s="237" t="b">
        <f>Age_Sex_PY[[#This Row],[Total Spending After Applying Truncation at the Member Level]]+Age_Sex_PY[[#This Row],[Total Dollars Excluded from Spending After Applying Truncation at the Member Level]]=Age_Sex_PY[[#This Row],[Total Spending before Truncation is Applied]]</f>
        <v>1</v>
      </c>
    </row>
    <row r="497" spans="1:10" x14ac:dyDescent="0.25">
      <c r="A497" s="101"/>
      <c r="B497" s="104"/>
      <c r="C497" s="105"/>
      <c r="D497" s="273"/>
      <c r="E497" s="106"/>
      <c r="F497" s="110"/>
      <c r="G497" s="274"/>
      <c r="H497" s="110"/>
      <c r="I497" s="110"/>
      <c r="J497" s="237" t="b">
        <f>Age_Sex_PY[[#This Row],[Total Spending After Applying Truncation at the Member Level]]+Age_Sex_PY[[#This Row],[Total Dollars Excluded from Spending After Applying Truncation at the Member Level]]=Age_Sex_PY[[#This Row],[Total Spending before Truncation is Applied]]</f>
        <v>1</v>
      </c>
    </row>
    <row r="498" spans="1:10" x14ac:dyDescent="0.25">
      <c r="A498" s="101"/>
      <c r="B498" s="104"/>
      <c r="C498" s="105"/>
      <c r="D498" s="273"/>
      <c r="E498" s="106"/>
      <c r="F498" s="110"/>
      <c r="G498" s="274"/>
      <c r="H498" s="110"/>
      <c r="I498" s="110"/>
      <c r="J498" s="237" t="b">
        <f>Age_Sex_PY[[#This Row],[Total Spending After Applying Truncation at the Member Level]]+Age_Sex_PY[[#This Row],[Total Dollars Excluded from Spending After Applying Truncation at the Member Level]]=Age_Sex_PY[[#This Row],[Total Spending before Truncation is Applied]]</f>
        <v>1</v>
      </c>
    </row>
    <row r="499" spans="1:10" x14ac:dyDescent="0.25">
      <c r="A499" s="101"/>
      <c r="B499" s="104"/>
      <c r="C499" s="105"/>
      <c r="D499" s="273"/>
      <c r="E499" s="106"/>
      <c r="F499" s="110"/>
      <c r="G499" s="274"/>
      <c r="H499" s="110"/>
      <c r="I499" s="110"/>
      <c r="J499" s="237" t="b">
        <f>Age_Sex_PY[[#This Row],[Total Spending After Applying Truncation at the Member Level]]+Age_Sex_PY[[#This Row],[Total Dollars Excluded from Spending After Applying Truncation at the Member Level]]=Age_Sex_PY[[#This Row],[Total Spending before Truncation is Applied]]</f>
        <v>1</v>
      </c>
    </row>
    <row r="500" spans="1:10" x14ac:dyDescent="0.25">
      <c r="A500" s="101"/>
      <c r="B500" s="104"/>
      <c r="C500" s="105"/>
      <c r="D500" s="273"/>
      <c r="E500" s="106"/>
      <c r="F500" s="110"/>
      <c r="G500" s="274"/>
      <c r="H500" s="110"/>
      <c r="I500" s="110"/>
      <c r="J500" s="266" t="b">
        <f>Age_Sex_PY[[#This Row],[Total Spending After Applying Truncation at the Member Level]]+Age_Sex_PY[[#This Row],[Total Dollars Excluded from Spending After Applying Truncation at the Member Level]]=Age_Sex_PY[[#This Row],[Total Spending before Truncation is Applied]]</f>
        <v>1</v>
      </c>
    </row>
  </sheetData>
  <sheetProtection algorithmName="SHA-512" hashValue="+gRdo0ViZziZ/tlalA1uyvt3sH0oV1/LHjp4J13L4M/SLZzuP9jUF5pOmSEOJgIkapZA3j+LuobvwOYb2SUMHQ==" saltValue="lRq813uKfEhzhttkY5ZgOg==" spinCount="100000" sheet="1" insertRows="0" sort="0" autoFilter="0"/>
  <protectedRanges>
    <protectedRange sqref="A11:J500" name="Range1"/>
  </protectedRanges>
  <mergeCells count="1">
    <mergeCell ref="C4:D5"/>
  </mergeCells>
  <dataValidations count="6">
    <dataValidation allowBlank="1" showInputMessage="1" showErrorMessage="1" error="Please input the OHS-assigned organizational ID of the large provider entity." prompt="Please input the OHS-assigned organizational ID of the Advanced Network." sqref="A11:A500" xr:uid="{F9DC6BEA-83B3-41EF-82AC-DC67A22A27B4}"/>
    <dataValidation type="textLength" operator="equal" allowBlank="1" showInputMessage="1" showErrorMessage="1" error="2 = Medicaid and Medicaid MCOs_x000a_6= Medicaid Expenditures for Duals" prompt="2 = Medicaid and Medicaid MCOs_x000a_6= Medicaid Expenditures for Duals" sqref="B11:B500" xr:uid="{23585BAD-6AF8-47F1-9B56-0A19DD9C6CB5}">
      <formula1>1</formula1>
    </dataValidation>
    <dataValidation allowBlank="1" showInputMessage="1" showErrorMessage="1" error="The number of unique members participating in a plan each month with a medical benefit, regardless of whether the member has any paid claims." prompt="The number of unique members participating in a plan each month with a medical benefit, regardless of whether the member has any paid claims." sqref="E11:E500" xr:uid="{DF0E2F2B-284C-4005-AC8A-6D7117728DFB}"/>
    <dataValidation type="decimal" operator="greaterThanOrEqual" allowBlank="1" showInputMessage="1" showErrorMessage="1" error="See Definitions tab._x000a_No negative values." prompt="See Definitions tab._x000a_No negative values._x000a_" sqref="F11:I500" xr:uid="{8326E22D-9BBD-4DB7-AB81-56B58EB2F7A5}">
      <formula1>0</formula1>
    </dataValidation>
    <dataValidation allowBlank="1" showInputMessage="1" showErrorMessage="1" error="The number of unique members participating in a plan each month with a medical benefit, regardless of whether the member has any paid claims." prompt="1 = 0 to 1 year old_x000a_2 = 2 to 18 years old_x000a_3 = 19 to 39 years old_x000a_4 = 40 to 54 yeras old_x000a_5 = 55 to 64 years old_x000a_6 = 65 to 74 years old_x000a_7 = 75 to 84 years old_x000a_8 = 85+ years old" sqref="C11:C500" xr:uid="{4E3980A3-FF42-4AEB-8567-87D82410083F}"/>
    <dataValidation type="decimal" allowBlank="1" showInputMessage="1" showErrorMessage="1" error="See Definitions tab._x000a_No negative values. Number must be between ‘0.2’ and ‘10’." prompt="1 = Female_x000a_2 = Male" sqref="D11:D500" xr:uid="{DCF7194B-0C44-42E8-AE69-F45FC2434D52}">
      <formula1>0</formula1>
      <formula2>10</formula2>
    </dataValidation>
  </dataValidations>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EBADF-DBFC-45E9-B2A5-1852BF621259}">
  <sheetPr>
    <tabColor theme="6"/>
  </sheetPr>
  <dimension ref="A1:G38"/>
  <sheetViews>
    <sheetView zoomScaleNormal="100" workbookViewId="0">
      <selection activeCell="B37" sqref="B37"/>
    </sheetView>
  </sheetViews>
  <sheetFormatPr defaultColWidth="9.140625" defaultRowHeight="15" x14ac:dyDescent="0.25"/>
  <cols>
    <col min="1" max="1" width="15.42578125" customWidth="1"/>
    <col min="2" max="2" width="97.5703125" customWidth="1"/>
    <col min="3" max="3" width="35" customWidth="1"/>
    <col min="4" max="4" width="35.28515625" customWidth="1"/>
    <col min="5" max="5" width="24.7109375" customWidth="1"/>
    <col min="6" max="6" width="19.140625" customWidth="1"/>
  </cols>
  <sheetData>
    <row r="1" spans="1:7" x14ac:dyDescent="0.25">
      <c r="A1" s="330" t="s">
        <v>271</v>
      </c>
      <c r="B1" s="331"/>
      <c r="C1" s="331"/>
      <c r="D1" s="331"/>
      <c r="E1" s="331"/>
      <c r="F1" s="331"/>
      <c r="G1" s="332"/>
    </row>
    <row r="2" spans="1:7" x14ac:dyDescent="0.25">
      <c r="A2" s="333"/>
      <c r="B2" s="334"/>
      <c r="C2" s="334"/>
      <c r="D2" s="334"/>
      <c r="E2" s="334"/>
      <c r="F2" s="334"/>
      <c r="G2" s="335"/>
    </row>
    <row r="5" spans="1:7" x14ac:dyDescent="0.25">
      <c r="A5" s="1"/>
      <c r="B5" s="63" t="s">
        <v>272</v>
      </c>
      <c r="C5" s="62"/>
    </row>
    <row r="6" spans="1:7" x14ac:dyDescent="0.25">
      <c r="A6" s="27" t="s">
        <v>273</v>
      </c>
      <c r="B6" s="6"/>
      <c r="C6" s="7" t="s">
        <v>274</v>
      </c>
    </row>
    <row r="7" spans="1:7" x14ac:dyDescent="0.25">
      <c r="A7" s="27" t="s">
        <v>275</v>
      </c>
      <c r="B7" s="6"/>
      <c r="C7" s="7" t="s">
        <v>274</v>
      </c>
    </row>
    <row r="9" spans="1:7" x14ac:dyDescent="0.25">
      <c r="A9" s="7"/>
      <c r="B9" s="7" t="s">
        <v>276</v>
      </c>
    </row>
    <row r="10" spans="1:7" x14ac:dyDescent="0.25">
      <c r="B10" s="336" t="s">
        <v>22</v>
      </c>
      <c r="C10" s="337"/>
      <c r="D10" s="337"/>
      <c r="E10" s="338"/>
    </row>
    <row r="11" spans="1:7" x14ac:dyDescent="0.25">
      <c r="B11" s="130" t="s">
        <v>277</v>
      </c>
      <c r="C11" s="130" t="s">
        <v>278</v>
      </c>
      <c r="D11" s="130" t="s">
        <v>279</v>
      </c>
      <c r="E11" s="130" t="s">
        <v>280</v>
      </c>
    </row>
    <row r="12" spans="1:7" ht="30" x14ac:dyDescent="0.25">
      <c r="B12" s="131" t="s">
        <v>281</v>
      </c>
      <c r="C12" s="11"/>
      <c r="D12" s="11"/>
      <c r="E12" s="11"/>
    </row>
    <row r="13" spans="1:7" x14ac:dyDescent="0.25">
      <c r="B13" s="131" t="s">
        <v>282</v>
      </c>
      <c r="C13" s="11"/>
      <c r="D13" s="11"/>
      <c r="E13" s="11"/>
    </row>
    <row r="14" spans="1:7" x14ac:dyDescent="0.25">
      <c r="B14" s="131" t="s">
        <v>283</v>
      </c>
      <c r="C14" s="11"/>
      <c r="D14" s="11"/>
      <c r="E14" s="11"/>
    </row>
    <row r="15" spans="1:7" x14ac:dyDescent="0.25">
      <c r="B15" s="131" t="s">
        <v>284</v>
      </c>
      <c r="C15" s="11"/>
      <c r="D15" s="11"/>
      <c r="E15" s="11"/>
    </row>
    <row r="16" spans="1:7" x14ac:dyDescent="0.25">
      <c r="B16" s="131" t="s">
        <v>285</v>
      </c>
      <c r="C16" s="11"/>
      <c r="D16" s="11"/>
      <c r="E16" s="11"/>
    </row>
    <row r="17" spans="2:5" x14ac:dyDescent="0.25">
      <c r="B17" s="131" t="s">
        <v>286</v>
      </c>
      <c r="C17" s="11"/>
      <c r="D17" s="11"/>
      <c r="E17" s="11"/>
    </row>
    <row r="18" spans="2:5" x14ac:dyDescent="0.25">
      <c r="B18" s="131" t="s">
        <v>287</v>
      </c>
      <c r="C18" s="11"/>
      <c r="D18" s="11"/>
      <c r="E18" s="11"/>
    </row>
    <row r="19" spans="2:5" x14ac:dyDescent="0.25">
      <c r="B19" s="131" t="s">
        <v>288</v>
      </c>
      <c r="C19" s="11"/>
      <c r="D19" s="11"/>
      <c r="E19" s="11"/>
    </row>
    <row r="20" spans="2:5" x14ac:dyDescent="0.25">
      <c r="B20" s="131" t="s">
        <v>289</v>
      </c>
      <c r="C20" s="11"/>
      <c r="D20" s="11"/>
      <c r="E20" s="11"/>
    </row>
    <row r="21" spans="2:5" x14ac:dyDescent="0.25">
      <c r="B21" s="131" t="s">
        <v>290</v>
      </c>
      <c r="C21" s="11"/>
      <c r="D21" s="11"/>
      <c r="E21" s="11"/>
    </row>
    <row r="22" spans="2:5" x14ac:dyDescent="0.25">
      <c r="B22" s="131" t="s">
        <v>291</v>
      </c>
      <c r="C22" s="11"/>
      <c r="D22" s="11"/>
      <c r="E22" s="11"/>
    </row>
    <row r="23" spans="2:5" x14ac:dyDescent="0.25">
      <c r="B23" s="131" t="s">
        <v>292</v>
      </c>
      <c r="C23" s="11"/>
      <c r="D23" s="11"/>
      <c r="E23" s="11"/>
    </row>
    <row r="24" spans="2:5" x14ac:dyDescent="0.25">
      <c r="B24" s="132" t="s">
        <v>293</v>
      </c>
      <c r="C24" s="11"/>
      <c r="D24" s="11"/>
      <c r="E24" s="11"/>
    </row>
    <row r="25" spans="2:5" x14ac:dyDescent="0.25">
      <c r="B25" s="131" t="s">
        <v>294</v>
      </c>
      <c r="C25" s="11"/>
      <c r="D25" s="11"/>
      <c r="E25" s="11"/>
    </row>
    <row r="26" spans="2:5" ht="34.5" customHeight="1" x14ac:dyDescent="0.25">
      <c r="B26" s="131" t="s">
        <v>295</v>
      </c>
      <c r="C26" s="11"/>
      <c r="D26" s="11"/>
      <c r="E26" s="11"/>
    </row>
    <row r="27" spans="2:5" ht="34.5" customHeight="1" x14ac:dyDescent="0.25">
      <c r="B27" s="131" t="s">
        <v>296</v>
      </c>
      <c r="C27" s="11"/>
      <c r="D27" s="11"/>
      <c r="E27" s="11"/>
    </row>
    <row r="28" spans="2:5" ht="30" x14ac:dyDescent="0.25">
      <c r="B28" s="132" t="s">
        <v>297</v>
      </c>
      <c r="C28" s="11"/>
      <c r="D28" s="11"/>
      <c r="E28" s="11"/>
    </row>
    <row r="29" spans="2:5" x14ac:dyDescent="0.25">
      <c r="B29" s="131" t="s">
        <v>298</v>
      </c>
      <c r="C29" s="11"/>
      <c r="D29" s="11"/>
      <c r="E29" s="11"/>
    </row>
    <row r="30" spans="2:5" x14ac:dyDescent="0.25">
      <c r="B30" s="131" t="s">
        <v>299</v>
      </c>
      <c r="C30" s="11"/>
      <c r="D30" s="11"/>
      <c r="E30" s="11"/>
    </row>
    <row r="31" spans="2:5" ht="30" x14ac:dyDescent="0.25">
      <c r="B31" s="131" t="s">
        <v>300</v>
      </c>
      <c r="C31" s="11"/>
      <c r="D31" s="11"/>
      <c r="E31" s="11"/>
    </row>
    <row r="32" spans="2:5" x14ac:dyDescent="0.25">
      <c r="B32" s="133" t="s">
        <v>301</v>
      </c>
      <c r="C32" s="11"/>
      <c r="D32" s="11"/>
      <c r="E32" s="11"/>
    </row>
    <row r="33" spans="2:5" ht="30" x14ac:dyDescent="0.25">
      <c r="B33" s="133" t="s">
        <v>302</v>
      </c>
      <c r="C33" s="11"/>
      <c r="D33" s="11"/>
      <c r="E33" s="11"/>
    </row>
    <row r="34" spans="2:5" x14ac:dyDescent="0.25">
      <c r="B34" s="133" t="s">
        <v>303</v>
      </c>
      <c r="C34" s="11"/>
      <c r="D34" s="11"/>
      <c r="E34" s="11"/>
    </row>
    <row r="35" spans="2:5" x14ac:dyDescent="0.25">
      <c r="B35" s="133" t="s">
        <v>304</v>
      </c>
      <c r="C35" s="11"/>
      <c r="D35" s="11"/>
      <c r="E35" s="11"/>
    </row>
    <row r="36" spans="2:5" ht="30" x14ac:dyDescent="0.25">
      <c r="B36" s="133" t="s">
        <v>305</v>
      </c>
      <c r="C36" s="11"/>
      <c r="D36" s="11"/>
      <c r="E36" s="11"/>
    </row>
    <row r="37" spans="2:5" ht="45" x14ac:dyDescent="0.25">
      <c r="B37" s="133" t="s">
        <v>306</v>
      </c>
      <c r="C37" s="11"/>
      <c r="D37" s="11"/>
      <c r="E37" s="11"/>
    </row>
    <row r="38" spans="2:5" x14ac:dyDescent="0.25">
      <c r="B38" s="131" t="s">
        <v>307</v>
      </c>
      <c r="C38" s="11"/>
      <c r="D38" s="11"/>
      <c r="E38" s="11"/>
    </row>
  </sheetData>
  <sheetProtection algorithmName="SHA-512" hashValue="OTO4Ep8rVVhu6OWbCgR5J8Zo809q9osOmnt2lFvyU48apb1YF8q4xh8JWxQxyDOEDHV9gy+Qis086Eh54zIPMQ==" saltValue="u0PDv+hJzoOvKc6V5UCakw==" spinCount="100000" sheet="1" objects="1" scenarios="1"/>
  <protectedRanges>
    <protectedRange sqref="C38:E38 E37 C12:E36" name="Range1"/>
    <protectedRange sqref="B6:B7" name="Range2"/>
    <protectedRange sqref="C37:D37" name="Range2_1"/>
  </protectedRanges>
  <mergeCells count="2">
    <mergeCell ref="A1:G2"/>
    <mergeCell ref="B10:E10"/>
  </mergeCells>
  <dataValidations count="2">
    <dataValidation type="list" allowBlank="1" showInputMessage="1" showErrorMessage="1" error="Please select an option from the drop down list." prompt="Please select an option from the drop down list." sqref="C38:D38 C25:D36 C12:D22" xr:uid="{37D42D56-232B-47D0-ABFE-56989D08FFC7}">
      <formula1>"Yes, No"</formula1>
    </dataValidation>
    <dataValidation type="list" allowBlank="1" showInputMessage="1" showErrorMessage="1" error="Please select an option from the drop down list." prompt="Please select an option from the drop down list." sqref="C37:D37" xr:uid="{05FE9888-4A2C-4FBB-BE28-8EB1AEC2D5D7}">
      <formula1>"Yes, No, Not Applicable"</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stopIfTrue="1" id="{940B5EC9-27D1-4F7D-A52B-2D280C1DD791}">
            <xm:f>'https://bailit.sharepoint.com/Megan/RI Governor/[MA TME APM 2019 Template with calculations.xlsm]System Data'!#REF!</xm:f>
            <x14:dxf>
              <font>
                <b val="0"/>
                <i val="0"/>
                <color theme="0"/>
              </font>
            </x14:dxf>
          </x14:cfRule>
          <xm:sqref>C6</xm:sqref>
        </x14:conditionalFormatting>
        <x14:conditionalFormatting xmlns:xm="http://schemas.microsoft.com/office/excel/2006/main">
          <x14:cfRule type="expression" priority="1" stopIfTrue="1" id="{D159B1BD-A166-42CC-A0B3-B83A52533FFB}">
            <xm:f>'https://bailit.sharepoint.com/Megan/RI Governor/[MA TME APM 2019 Template with calculations.xlsm]System Data'!#REF!</xm:f>
            <x14:dxf>
              <font>
                <color theme="0"/>
              </font>
            </x14:dxf>
          </x14:cfRule>
          <xm:sqref>C7</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DBDB-19CE-40E3-A354-1700A62F6300}">
  <sheetPr>
    <tabColor theme="9"/>
  </sheetPr>
  <dimension ref="B2:O57"/>
  <sheetViews>
    <sheetView zoomScale="69" zoomScaleNormal="69" workbookViewId="0"/>
  </sheetViews>
  <sheetFormatPr defaultRowHeight="15" x14ac:dyDescent="0.25"/>
  <cols>
    <col min="1" max="1" width="3.85546875" customWidth="1"/>
    <col min="2" max="5" width="36.85546875" customWidth="1"/>
    <col min="6" max="6" width="15.140625" customWidth="1"/>
    <col min="7" max="10" width="36.85546875" customWidth="1"/>
    <col min="11" max="11" width="15" customWidth="1"/>
    <col min="12" max="15" width="36.85546875" customWidth="1"/>
    <col min="16" max="16" width="63.140625" bestFit="1" customWidth="1"/>
    <col min="17" max="21" width="23.28515625" customWidth="1"/>
  </cols>
  <sheetData>
    <row r="2" spans="2:10" ht="18.75" x14ac:dyDescent="0.3">
      <c r="B2" s="81" t="s">
        <v>24</v>
      </c>
    </row>
    <row r="3" spans="2:10" ht="44.25" customHeight="1" x14ac:dyDescent="0.25">
      <c r="B3" s="339" t="s">
        <v>308</v>
      </c>
      <c r="C3" s="339"/>
      <c r="D3" s="339"/>
      <c r="E3" s="339"/>
      <c r="F3" s="339"/>
      <c r="G3" s="339"/>
      <c r="H3" s="339"/>
      <c r="I3" s="339"/>
      <c r="J3" s="339"/>
    </row>
    <row r="5" spans="2:10" ht="15.75" x14ac:dyDescent="0.25">
      <c r="B5" s="47" t="s">
        <v>309</v>
      </c>
    </row>
    <row r="6" spans="2:10" x14ac:dyDescent="0.25">
      <c r="B6" s="55" t="s">
        <v>310</v>
      </c>
      <c r="C6" s="56" t="s">
        <v>311</v>
      </c>
      <c r="D6" s="57" t="s">
        <v>312</v>
      </c>
      <c r="E6" s="57" t="s">
        <v>313</v>
      </c>
      <c r="G6" s="64"/>
    </row>
    <row r="7" spans="2:10" x14ac:dyDescent="0.25">
      <c r="B7" s="52" t="s">
        <v>314</v>
      </c>
      <c r="C7" s="138">
        <f>SUM(C8:C9)</f>
        <v>0</v>
      </c>
      <c r="D7" s="138">
        <f>SUM(D8:D9)</f>
        <v>0</v>
      </c>
      <c r="E7" s="278" t="str">
        <f>IFERROR(MMbyMkt16[[#This Row],[2024]]/MMbyMkt16[[#This Row],[2023]]-1,"NA")</f>
        <v>NA</v>
      </c>
    </row>
    <row r="8" spans="2:10" ht="45" x14ac:dyDescent="0.25">
      <c r="B8" s="53" t="s">
        <v>315</v>
      </c>
      <c r="C8" s="138">
        <f>SUMIF(AN_TME_BY[[#All],[Insurance Category Code]],2,AN_TME_BY[[#All],[Member Months]])-SUMIFS(AN_TME_BY[[#All],[Member Months]],AN_TME_BY[[#All],[Insurance Category Code]],2,AN_TME_BY[[#All],[Advanced Network/Insurance Carrier Org ID]],100)</f>
        <v>0</v>
      </c>
      <c r="D8" s="138">
        <f>SUMIF(AN_TME_PY[[#All],[Insurance Category Code]],2,AN_TME_PY[[#All],[Member Months]])-SUMIFS(AN_TME_PY[[#All],[Member Months]],AN_TME_PY[[#All],[Insurance Category Code]],2,AN_TME_PY[[#All],[Advanced Network/Insurance Carrier Org ID]],100)</f>
        <v>0</v>
      </c>
      <c r="E8" s="278" t="str">
        <f>IFERROR(MMbyMkt16[[#This Row],[2024]]/MMbyMkt16[[#This Row],[2023]]-1,"NA")</f>
        <v>NA</v>
      </c>
    </row>
    <row r="9" spans="2:10" ht="30" x14ac:dyDescent="0.25">
      <c r="B9" s="53" t="s">
        <v>316</v>
      </c>
      <c r="C9" s="138">
        <f>SUMIF(AN_TME_BY[[#All],[Insurance Category Code]],6,AN_TME_BY[[#All],[Member Months]])-SUMIFS(AN_TME_BY[[#All],[Member Months]],AN_TME_BY[[#All],[Insurance Category Code]],6,AN_TME_BY[[#All],[Advanced Network/Insurance Carrier Org ID]],100)</f>
        <v>0</v>
      </c>
      <c r="D9" s="138">
        <f>SUMIF(AN_TME_PY[[#All],[Insurance Category Code]],6,AN_TME_PY[[#All],[Member Months]])-SUMIFS(AN_TME_PY[[#All],[Member Months]],AN_TME_PY[[#All],[Insurance Category Code]],6,AN_TME_PY[[#All],[Advanced Network/Insurance Carrier Org ID]],100)</f>
        <v>0</v>
      </c>
      <c r="E9" s="278" t="str">
        <f>IFERROR(MMbyMkt16[[#This Row],[2024]]/MMbyMkt16[[#This Row],[2023]]-1,"NA")</f>
        <v>NA</v>
      </c>
      <c r="F9" s="64"/>
    </row>
    <row r="10" spans="2:10" x14ac:dyDescent="0.25">
      <c r="B10" s="58" t="s">
        <v>317</v>
      </c>
      <c r="C10" s="139">
        <f>SUM(C8:C9)</f>
        <v>0</v>
      </c>
      <c r="D10" s="139">
        <f>SUM(D8:D9)</f>
        <v>0</v>
      </c>
      <c r="E10" s="279" t="str">
        <f>IFERROR(MMbyMkt16[[#This Row],[2024]]/MMbyMkt16[[#This Row],[2023]]-1,"NA")</f>
        <v>NA</v>
      </c>
    </row>
    <row r="12" spans="2:10" ht="15.75" x14ac:dyDescent="0.25">
      <c r="B12" s="47" t="s">
        <v>318</v>
      </c>
      <c r="G12" s="47" t="s">
        <v>319</v>
      </c>
    </row>
    <row r="13" spans="2:10" x14ac:dyDescent="0.25">
      <c r="B13" s="55" t="s">
        <v>310</v>
      </c>
      <c r="C13" s="56" t="s">
        <v>311</v>
      </c>
      <c r="D13" s="57" t="s">
        <v>312</v>
      </c>
      <c r="E13" s="57" t="s">
        <v>313</v>
      </c>
      <c r="G13" s="55" t="s">
        <v>310</v>
      </c>
      <c r="H13" s="56" t="s">
        <v>311</v>
      </c>
      <c r="I13" s="57" t="s">
        <v>312</v>
      </c>
      <c r="J13" s="57" t="s">
        <v>313</v>
      </c>
    </row>
    <row r="14" spans="2:10" x14ac:dyDescent="0.25">
      <c r="B14" s="52" t="s">
        <v>314</v>
      </c>
      <c r="C14" s="59">
        <f>SUM(C15:C16)</f>
        <v>0</v>
      </c>
      <c r="D14" s="59">
        <f>SUM(D15:D16)</f>
        <v>0</v>
      </c>
      <c r="E14" s="278" t="str">
        <f>IFERROR(TMEbyMkt17[[#This Row],[2024]]/TMEbyMkt17[[#This Row],[2023]]-1,"NA")</f>
        <v>NA</v>
      </c>
      <c r="G14" s="52" t="s">
        <v>314</v>
      </c>
      <c r="H14" s="281" t="str">
        <f>IFERROR(TMEbyMkt17[[#This Row],[2023]]/C7,"NA")</f>
        <v>NA</v>
      </c>
      <c r="I14" s="281" t="str">
        <f>IFERROR(TMEbyMkt17[[#This Row],[2024]]/D7,"NA")</f>
        <v>NA</v>
      </c>
      <c r="J14" s="278" t="str">
        <f>IFERROR(TMEPMPMbyMkt41[[#This Row],[2024]]/TMEPMPMbyMkt41[[#This Row],[2023]]-1,"NA")</f>
        <v>NA</v>
      </c>
    </row>
    <row r="15" spans="2:10" ht="45" x14ac:dyDescent="0.25">
      <c r="B15" s="53" t="s">
        <v>315</v>
      </c>
      <c r="C15" s="59">
        <f>SUMIFS(AN_TME_BY[[#All],[TOTAL Non-Truncated Unadjusted Expenses (A21 + A23)]],AN_TME_BY[[#All],[Insurance Category Code]],2,AN_TME_BY[[#All],[Advanced Network/Insurance Carrier Org ID]],100)-ABS(SUMIF(RX_REBATES_BY[[#All],[Insurance Category Code]],2,RX_REBATES_BY[[#All],[Total Pharmacy Rebates]]))</f>
        <v>0</v>
      </c>
      <c r="D15" s="59">
        <f>SUMIFS(AN_TME_PY[[#All],[TOTAL Non-Truncated Unadjusted Expenses (A21 + A23)]],AN_TME_PY[[#All],[Insurance Category Code]],2,AN_TME_PY[[#All],[Advanced Network/Insurance Carrier Org ID]],100)-ABS(SUMIF(RX_REBATES_PY[[#All],[Insurance Category Code]],2,RX_REBATES_PY[[#All],[Total Pharmacy Rebates]]))</f>
        <v>0</v>
      </c>
      <c r="E15" s="278" t="str">
        <f>IFERROR(TMEbyMkt17[[#This Row],[2024]]/TMEbyMkt17[[#This Row],[2023]]-1,"NA")</f>
        <v>NA</v>
      </c>
      <c r="G15" s="53" t="s">
        <v>315</v>
      </c>
      <c r="H15" s="281" t="str">
        <f>IFERROR(TMEbyMkt17[[#This Row],[2023]]/C8,"NA")</f>
        <v>NA</v>
      </c>
      <c r="I15" s="281" t="str">
        <f>IFERROR(TMEbyMkt17[[#This Row],[2024]]/D8,"NA")</f>
        <v>NA</v>
      </c>
      <c r="J15" s="278" t="str">
        <f>IFERROR(TMEPMPMbyMkt41[[#This Row],[2024]]/TMEPMPMbyMkt41[[#This Row],[2023]]-1,"NA")</f>
        <v>NA</v>
      </c>
    </row>
    <row r="16" spans="2:10" ht="30" x14ac:dyDescent="0.25">
      <c r="B16" s="53" t="s">
        <v>316</v>
      </c>
      <c r="C16" s="59">
        <f>SUMIFS(AN_TME_BY[[#All],[TOTAL Non-Truncated Unadjusted Expenses (A21 + A23)]],AN_TME_BY[[#All],[Insurance Category Code]],6,AN_TME_BY[[#All],[Advanced Network/Insurance Carrier Org ID]],100)-ABS(SUMIF(RX_REBATES_BY[[#All],[Insurance Category Code]],6,RX_REBATES_BY[[#All],[Total Pharmacy Rebates]]))</f>
        <v>0</v>
      </c>
      <c r="D16" s="59">
        <f>SUMIFS(AN_TME_PY[[#All],[TOTAL Non-Truncated Unadjusted Expenses (A21 + A23)]],AN_TME_PY[[#All],[Insurance Category Code]],6,AN_TME_PY[[#All],[Advanced Network/Insurance Carrier Org ID]],100)-ABS(SUMIF(RX_REBATES_PY[[#All],[Insurance Category Code]],6,RX_REBATES_PY[[#All],[Total Pharmacy Rebates]]))</f>
        <v>0</v>
      </c>
      <c r="E16" s="278" t="str">
        <f>IFERROR(TMEbyMkt17[[#This Row],[2024]]/TMEbyMkt17[[#This Row],[2023]]-1,"NA")</f>
        <v>NA</v>
      </c>
      <c r="G16" s="53" t="s">
        <v>316</v>
      </c>
      <c r="H16" s="281" t="str">
        <f>IFERROR(TMEbyMkt17[[#This Row],[2023]]/C9,"NA")</f>
        <v>NA</v>
      </c>
      <c r="I16" s="281" t="str">
        <f>IFERROR(TMEbyMkt17[[#This Row],[2024]]/D9,"NA")</f>
        <v>NA</v>
      </c>
      <c r="J16" s="278" t="str">
        <f>IFERROR(TMEPMPMbyMkt41[[#This Row],[2024]]/TMEPMPMbyMkt41[[#This Row],[2023]]-1,"NA")</f>
        <v>NA</v>
      </c>
    </row>
    <row r="17" spans="2:15" ht="30" x14ac:dyDescent="0.25">
      <c r="B17" s="54" t="s">
        <v>320</v>
      </c>
      <c r="C17" s="139">
        <f>SUM(C15:C16)</f>
        <v>0</v>
      </c>
      <c r="D17" s="139">
        <f>SUM(D15:D16)</f>
        <v>0</v>
      </c>
      <c r="E17" s="279" t="str">
        <f>IFERROR(TMEbyMkt17[[#This Row],[2024]]/TMEbyMkt17[[#This Row],[2023]]-1,"NA")</f>
        <v>NA</v>
      </c>
      <c r="G17" s="54" t="s">
        <v>320</v>
      </c>
      <c r="H17" s="282" t="str">
        <f>IFERROR(TMEbyMkt17[[#This Row],[2023]]/C10,"NA")</f>
        <v>NA</v>
      </c>
      <c r="I17" s="282" t="str">
        <f>IFERROR(TMEbyMkt17[[#This Row],[2024]]/D10,"NA")</f>
        <v>NA</v>
      </c>
      <c r="J17" s="279" t="str">
        <f>IFERROR(TMEPMPMbyMkt41[[#This Row],[2024]]/TMEPMPMbyMkt41[[#This Row],[2023]]-1,"NA")</f>
        <v>NA</v>
      </c>
    </row>
    <row r="19" spans="2:15" ht="15.75" x14ac:dyDescent="0.25">
      <c r="B19" s="47" t="s">
        <v>321</v>
      </c>
      <c r="G19" s="47" t="s">
        <v>322</v>
      </c>
    </row>
    <row r="20" spans="2:15" x14ac:dyDescent="0.25">
      <c r="B20" s="55" t="s">
        <v>310</v>
      </c>
      <c r="C20" s="56" t="s">
        <v>311</v>
      </c>
      <c r="D20" s="57" t="s">
        <v>312</v>
      </c>
      <c r="E20" s="57" t="s">
        <v>313</v>
      </c>
      <c r="G20" s="55" t="s">
        <v>310</v>
      </c>
      <c r="H20" s="56" t="s">
        <v>311</v>
      </c>
      <c r="I20" s="57" t="s">
        <v>312</v>
      </c>
      <c r="J20" s="57" t="s">
        <v>313</v>
      </c>
    </row>
    <row r="21" spans="2:15" x14ac:dyDescent="0.25">
      <c r="B21" s="52" t="s">
        <v>314</v>
      </c>
      <c r="C21" s="59">
        <f>SUM(C22:C23)</f>
        <v>0</v>
      </c>
      <c r="D21" s="59">
        <f>SUM(D22:D23)</f>
        <v>0</v>
      </c>
      <c r="E21" s="278" t="str">
        <f>IFERROR(RATMEbyMkt[[#This Row],[2024]]/RATMEbyMkt[[#This Row],[2023]]-1,"NA")</f>
        <v>NA</v>
      </c>
      <c r="G21" s="52" t="s">
        <v>314</v>
      </c>
      <c r="H21" s="281" t="str">
        <f>IFERROR(RATMEbyMkt[[#This Row],[2023]]/C7,"NA")</f>
        <v>NA</v>
      </c>
      <c r="I21" s="281" t="str">
        <f>IFERROR(RATMEbyMkt[[#This Row],[2024]]/D7,"NA")</f>
        <v>NA</v>
      </c>
      <c r="J21" s="278" t="str">
        <f>IFERROR(RATMEPMPMbyMkt[[#This Row],[2024]]/RATMEPMPMbyMkt[[#This Row],[2023]]-1,"NA")</f>
        <v>NA</v>
      </c>
    </row>
    <row r="22" spans="2:15" ht="45" x14ac:dyDescent="0.25">
      <c r="B22" s="53" t="s">
        <v>315</v>
      </c>
      <c r="C22" s="59">
        <f>SUMIFS(AN_TME_BY[[#All],[TOTAL Truncated Unadjusted Expenses (A22 + A23)]],AN_TME_BY[[#All],[Insurance Category Code]],2,AN_TME_BY[[#All],[Advanced Network/Insurance Carrier Org ID]],100)-ABS(SUMIF(RX_REBATES_BY[[#All],[Insurance Category Code]],2,RX_REBATES_BY[[#All],[Total Pharmacy Rebates]]))</f>
        <v>0</v>
      </c>
      <c r="D22" s="59">
        <f>SUMIFS(AN_TME_PY[[#All],[TOTAL Truncated Unadjusted Expenses (A22 + A23)]],AN_TME_PY[[#All],[Insurance Category Code]],2,AN_TME_PY[[#All],[Advanced Network/Insurance Carrier Org ID]],100)-ABS(SUMIF(RX_REBATES_PY[[#All],[Insurance Category Code]],2,RX_REBATES_PY[[#All],[Total Pharmacy Rebates]]))</f>
        <v>0</v>
      </c>
      <c r="E22" s="278" t="str">
        <f>IFERROR(RATMEbyMkt[[#This Row],[2024]]/RATMEbyMkt[[#This Row],[2023]]-1,"NA")</f>
        <v>NA</v>
      </c>
      <c r="G22" s="53" t="s">
        <v>315</v>
      </c>
      <c r="H22" s="281" t="str">
        <f>IFERROR(RATMEbyMkt[[#This Row],[2023]]/C8,"NA")</f>
        <v>NA</v>
      </c>
      <c r="I22" s="281" t="str">
        <f>IFERROR(RATMEbyMkt[[#This Row],[2024]]/D8,"NA")</f>
        <v>NA</v>
      </c>
      <c r="J22" s="278" t="str">
        <f>IFERROR(RATMEPMPMbyMkt[[#This Row],[2024]]/RATMEPMPMbyMkt[[#This Row],[2023]]-1,"NA")</f>
        <v>NA</v>
      </c>
    </row>
    <row r="23" spans="2:15" ht="30" x14ac:dyDescent="0.25">
      <c r="B23" s="53" t="s">
        <v>316</v>
      </c>
      <c r="C23" s="59">
        <f>SUMIFS(AN_TME_BY[[#All],[TOTAL Truncated Unadjusted Expenses (A22 + A23)]],AN_TME_BY[[#All],[Insurance Category Code]],6,AN_TME_BY[[#All],[Advanced Network/Insurance Carrier Org ID]],100)-ABS(SUMIF(RX_REBATES_BY[[#All],[Insurance Category Code]],6,RX_REBATES_BY[[#All],[Total Pharmacy Rebates]]))</f>
        <v>0</v>
      </c>
      <c r="D23" s="59">
        <f>SUMIFS(AN_TME_PY[[#All],[TOTAL Truncated Unadjusted Expenses (A22 + A23)]],AN_TME_PY[[#All],[Insurance Category Code]],6,AN_TME_PY[[#All],[Advanced Network/Insurance Carrier Org ID]],100)-ABS(SUMIF(RX_REBATES_PY[[#All],[Insurance Category Code]],6,RX_REBATES_PY[[#All],[Total Pharmacy Rebates]]))</f>
        <v>0</v>
      </c>
      <c r="E23" s="278" t="str">
        <f>IFERROR(RATMEbyMkt[[#This Row],[2024]]/RATMEbyMkt[[#This Row],[2023]]-1,"NA")</f>
        <v>NA</v>
      </c>
      <c r="G23" s="53" t="s">
        <v>316</v>
      </c>
      <c r="H23" s="281" t="str">
        <f>IFERROR(RATMEbyMkt[[#This Row],[2023]]/C9,"NA")</f>
        <v>NA</v>
      </c>
      <c r="I23" s="281" t="str">
        <f>IFERROR(RATMEbyMkt[[#This Row],[2024]]/D9,"NA")</f>
        <v>NA</v>
      </c>
      <c r="J23" s="278" t="str">
        <f>IFERROR(RATMEPMPMbyMkt[[#This Row],[2024]]/RATMEPMPMbyMkt[[#This Row],[2023]]-1,"NA")</f>
        <v>NA</v>
      </c>
    </row>
    <row r="24" spans="2:15" ht="30" x14ac:dyDescent="0.25">
      <c r="B24" s="54" t="s">
        <v>320</v>
      </c>
      <c r="C24" s="139">
        <f>SUM(C22:C23)</f>
        <v>0</v>
      </c>
      <c r="D24" s="139">
        <f>SUM(D22:D23)</f>
        <v>0</v>
      </c>
      <c r="E24" s="280" t="str">
        <f>IFERROR(RATMEbyMkt[[#This Row],[2024]]/RATMEbyMkt[[#This Row],[2023]]-1,"NA")</f>
        <v>NA</v>
      </c>
      <c r="G24" s="54" t="s">
        <v>320</v>
      </c>
      <c r="H24" s="282" t="str">
        <f>IFERROR(RATMEbyMkt[[#This Row],[2023]]/C10,"NA")</f>
        <v>NA</v>
      </c>
      <c r="I24" s="282" t="str">
        <f>IFERROR(RATMEbyMkt[[#This Row],[2024]]/D10,"NA")</f>
        <v>NA</v>
      </c>
      <c r="J24" s="279" t="str">
        <f>IFERROR(RATMEPMPMbyMkt[[#This Row],[2024]]/RATMEPMPMbyMkt[[#This Row],[2023]]-1,"NA")</f>
        <v>NA</v>
      </c>
    </row>
    <row r="26" spans="2:15" ht="15.75" x14ac:dyDescent="0.25">
      <c r="B26" s="47" t="s">
        <v>323</v>
      </c>
      <c r="G26" s="47" t="s">
        <v>324</v>
      </c>
      <c r="L26" s="47" t="s">
        <v>325</v>
      </c>
    </row>
    <row r="27" spans="2:15" x14ac:dyDescent="0.25">
      <c r="B27" s="51" t="s">
        <v>326</v>
      </c>
      <c r="G27" s="51" t="s">
        <v>326</v>
      </c>
      <c r="L27" s="51" t="s">
        <v>326</v>
      </c>
    </row>
    <row r="28" spans="2:15" x14ac:dyDescent="0.25">
      <c r="B28" s="140" t="s">
        <v>327</v>
      </c>
      <c r="C28" s="141" t="s">
        <v>311</v>
      </c>
      <c r="D28" s="142" t="s">
        <v>312</v>
      </c>
      <c r="E28" s="142" t="s">
        <v>313</v>
      </c>
      <c r="G28" s="143" t="s">
        <v>327</v>
      </c>
      <c r="H28" s="144" t="s">
        <v>311</v>
      </c>
      <c r="I28" s="145" t="s">
        <v>312</v>
      </c>
      <c r="J28" s="145" t="s">
        <v>313</v>
      </c>
      <c r="L28" s="146" t="s">
        <v>327</v>
      </c>
      <c r="M28" s="147" t="s">
        <v>311</v>
      </c>
      <c r="N28" s="148" t="s">
        <v>312</v>
      </c>
      <c r="O28" s="148" t="s">
        <v>313</v>
      </c>
    </row>
    <row r="29" spans="2:15" x14ac:dyDescent="0.25">
      <c r="B29" s="52" t="s">
        <v>242</v>
      </c>
      <c r="C29" s="149">
        <f>SUM(H29,M29)</f>
        <v>0</v>
      </c>
      <c r="D29" s="149">
        <f>SUM(I29,N29)</f>
        <v>0</v>
      </c>
      <c r="E29" s="68" t="str">
        <f>IFERROR(ComTotTME24[[#This Row],[2024]]/ComTotTME24[[#This Row],[2023]]-1,"NA")</f>
        <v>NA</v>
      </c>
      <c r="G29" s="52" t="s">
        <v>242</v>
      </c>
      <c r="H29" s="138">
        <f>IFERROR(SUMIFS(AN_TME_BY[[#All],[Member Months]],AN_TME_BY[[#All],[Insurance Category Code]],2,AN_TME_BY[[#All],[Advanced Network/Insurance Carrier Org ID]],100),"NA")</f>
        <v>0</v>
      </c>
      <c r="I29" s="138">
        <f>IFERROR(SUMIFS(AN_TME_PY[[#All],[Member Months]],AN_TME_PY[[#All],[Insurance Category Code]],2,AN_TME_PY[[#All],[Advanced Network/Insurance Carrier Org ID]],100),"NA")</f>
        <v>0</v>
      </c>
      <c r="J29" s="61" t="str">
        <f>IFERROR(ICC3TME39[[#This Row],[2024]]/ICC3TME39[[#This Row],[2023]]-1,"NA")</f>
        <v>NA</v>
      </c>
      <c r="L29" s="52" t="s">
        <v>242</v>
      </c>
      <c r="M29" s="241">
        <f>IFERROR(SUMIFS(AN_TME_BY[[#All],[Member Months]],AN_TME_BY[[#All],[Insurance Category Code]],6,AN_TME_BY[[#All],[Advanced Network/Insurance Carrier Org ID]],100),"NA")</f>
        <v>0</v>
      </c>
      <c r="N29" s="241">
        <f>IFERROR(SUMIFS(AN_TME_PY[[#All],[Member Months]],AN_TME_PY[[#All],[Insurance Category Code]],6,AN_TME_PY[[#All],[Advanced Network/Insurance Carrier Org ID]],100),"NA")</f>
        <v>0</v>
      </c>
      <c r="O29" s="68" t="str">
        <f>IFERROR(ICC4TME40[[#This Row],[2024]]/ICC4TME40[[#This Row],[2023]]-1,"NA")</f>
        <v>NA</v>
      </c>
    </row>
    <row r="30" spans="2:15" x14ac:dyDescent="0.25">
      <c r="B30" s="52" t="s">
        <v>132</v>
      </c>
      <c r="C30" s="67" t="str">
        <f t="shared" ref="C30:C53" si="0">IFERROR((SUMPRODUCT(H30,H$29)+SUMPRODUCT(M30,M$29))/C$29,"NA")</f>
        <v>NA</v>
      </c>
      <c r="D30" s="67" t="str">
        <f t="shared" ref="D30:D53" si="1">IFERROR((SUMPRODUCT(I30,I$29)+SUMPRODUCT(N30,N$29))/D$29,"NA")</f>
        <v>NA</v>
      </c>
      <c r="E30" s="68" t="str">
        <f>IFERROR(ComTotTME24[[#This Row],[2024]]/ComTotTME24[[#This Row],[2023]]-1,"NA")</f>
        <v>NA</v>
      </c>
      <c r="G30" s="52" t="s">
        <v>132</v>
      </c>
      <c r="H30" s="67" t="str">
        <f>IFERROR((SUMIFS(AN_TME_BY[[#All],[Claims: Hospital Inpatient]],AN_TME_BY[[#All],[Insurance Category Code]],2,AN_TME_BY[[#All],[Advanced Network/Insurance Carrier Org ID]],100))/H29,"NA")</f>
        <v>NA</v>
      </c>
      <c r="I30" s="67" t="str">
        <f>IFERROR((SUMIFS(AN_TME_PY[[#All],[Claims: Hospital Inpatient]],AN_TME_PY[[#All],[Insurance Category Code]],2,AN_TME_PY[[#All],[Advanced Network/Insurance Carrier Org ID]],100))/I29,"NA")</f>
        <v>NA</v>
      </c>
      <c r="J30" s="61" t="str">
        <f>IFERROR(ICC3TME39[[#This Row],[2024]]/ICC3TME39[[#This Row],[2023]]-1,"NA")</f>
        <v>NA</v>
      </c>
      <c r="L30" s="52" t="s">
        <v>132</v>
      </c>
      <c r="M30" s="67" t="str">
        <f>IFERROR((SUMIFS(AN_TME_BY[[#All],[Claims: Hospital Inpatient]],AN_TME_BY[[#All],[Insurance Category Code]],6,AN_TME_BY[[#All],[Advanced Network/Insurance Carrier Org ID]],100))/M29,"NA")</f>
        <v>NA</v>
      </c>
      <c r="N30" s="67" t="str">
        <f>IFERROR((SUMIFS(AN_TME_PY[[#All],[Claims: Hospital Inpatient]],AN_TME_PY[[#All],[Insurance Category Code]],6,AN_TME_PY[[#All],[Advanced Network/Insurance Carrier Org ID]],100))/N29,"NA")</f>
        <v>NA</v>
      </c>
      <c r="O30" s="68" t="str">
        <f>IFERROR(ICC4TME40[[#This Row],[2024]]/ICC4TME40[[#This Row],[2023]]-1,"NA")</f>
        <v>NA</v>
      </c>
    </row>
    <row r="31" spans="2:15" x14ac:dyDescent="0.25">
      <c r="B31" s="52" t="s">
        <v>134</v>
      </c>
      <c r="C31" s="67" t="str">
        <f t="shared" si="0"/>
        <v>NA</v>
      </c>
      <c r="D31" s="67" t="str">
        <f t="shared" si="1"/>
        <v>NA</v>
      </c>
      <c r="E31" s="68" t="str">
        <f>IFERROR(ComTotTME24[[#This Row],[2024]]/ComTotTME24[[#This Row],[2023]]-1,"NA")</f>
        <v>NA</v>
      </c>
      <c r="G31" s="52" t="s">
        <v>134</v>
      </c>
      <c r="H31" s="67" t="str">
        <f>IFERROR((SUMIFS(AN_TME_BY[[#All],[Claims: Hospital Outpatient]],AN_TME_BY[[#All],[Insurance Category Code]],2,AN_TME_BY[[#All],[Advanced Network/Insurance Carrier Org ID]],100))/H29,"NA")</f>
        <v>NA</v>
      </c>
      <c r="I31" s="67" t="str">
        <f>IFERROR((SUMIFS(AN_TME_PY[[#All],[Claims: Hospital Outpatient]],AN_TME_PY[[#All],[Insurance Category Code]],2,AN_TME_PY[[#All],[Advanced Network/Insurance Carrier Org ID]],100))/I29,"NA")</f>
        <v>NA</v>
      </c>
      <c r="J31" s="61" t="str">
        <f>IFERROR(ICC3TME39[[#This Row],[2024]]/ICC3TME39[[#This Row],[2023]]-1,"NA")</f>
        <v>NA</v>
      </c>
      <c r="L31" s="52" t="s">
        <v>134</v>
      </c>
      <c r="M31" s="67" t="str">
        <f>IFERROR((SUMIFS(AN_TME_BY[[#All],[Claims: Hospital Outpatient]],AN_TME_BY[[#All],[Insurance Category Code]],6,AN_TME_BY[[#All],[Advanced Network/Insurance Carrier Org ID]],100))/M29,"NA")</f>
        <v>NA</v>
      </c>
      <c r="N31" s="67" t="str">
        <f>IFERROR((SUMIFS(AN_TME_PY[[#All],[Claims: Hospital Outpatient]],AN_TME_PY[[#All],[Insurance Category Code]],6,AN_TME_PY[[#All],[Advanced Network/Insurance Carrier Org ID]],100))/N29,"NA")</f>
        <v>NA</v>
      </c>
      <c r="O31" s="68" t="str">
        <f>IFERROR(ICC4TME40[[#This Row],[2024]]/ICC4TME40[[#This Row],[2023]]-1,"NA")</f>
        <v>NA</v>
      </c>
    </row>
    <row r="32" spans="2:15" x14ac:dyDescent="0.25">
      <c r="B32" s="52" t="s">
        <v>136</v>
      </c>
      <c r="C32" s="67" t="str">
        <f t="shared" si="0"/>
        <v>NA</v>
      </c>
      <c r="D32" s="67" t="str">
        <f t="shared" si="1"/>
        <v>NA</v>
      </c>
      <c r="E32" s="68" t="str">
        <f>IFERROR(ComTotTME24[[#This Row],[2024]]/ComTotTME24[[#This Row],[2023]]-1,"NA")</f>
        <v>NA</v>
      </c>
      <c r="G32" s="52" t="s">
        <v>136</v>
      </c>
      <c r="H32" s="67" t="str">
        <f>IFERROR((SUMIFS(AN_TME_BY[[#All],[Claims: Professional, Primary Care]],AN_TME_BY[[#All],[Insurance Category Code]],2,AN_TME_BY[[#All],[Advanced Network/Insurance Carrier Org ID]],100))/H29,"NA")</f>
        <v>NA</v>
      </c>
      <c r="I32" s="67" t="str">
        <f>IFERROR((SUMIFS(AN_TME_PY[[#All],[Claims: Professional, Primary Care]],AN_TME_PY[[#All],[Insurance Category Code]],2,AN_TME_PY[[#All],[Advanced Network/Insurance Carrier Org ID]],100))/I29,"NA")</f>
        <v>NA</v>
      </c>
      <c r="J32" s="61" t="str">
        <f>IFERROR(ICC3TME39[[#This Row],[2024]]/ICC3TME39[[#This Row],[2023]]-1,"NA")</f>
        <v>NA</v>
      </c>
      <c r="L32" s="52" t="s">
        <v>136</v>
      </c>
      <c r="M32" s="67" t="str">
        <f>IFERROR((SUMIFS(AN_TME_BY[[#All],[Claims: Professional, Primary Care]],AN_TME_BY[[#All],[Insurance Category Code]],6,AN_TME_BY[[#All],[Advanced Network/Insurance Carrier Org ID]],100))/M29,"NA")</f>
        <v>NA</v>
      </c>
      <c r="N32" s="67" t="str">
        <f>IFERROR((SUMIFS(AN_TME_PY[[#All],[Claims: Professional, Primary Care]],AN_TME_PY[[#All],[Insurance Category Code]],6,AN_TME_PY[[#All],[Advanced Network/Insurance Carrier Org ID]],100))/N29,"NA")</f>
        <v>NA</v>
      </c>
      <c r="O32" s="68" t="str">
        <f>IFERROR(ICC4TME40[[#This Row],[2024]]/ICC4TME40[[#This Row],[2023]]-1,"NA")</f>
        <v>NA</v>
      </c>
    </row>
    <row r="33" spans="2:15" ht="30" x14ac:dyDescent="0.25">
      <c r="B33" s="52" t="s">
        <v>138</v>
      </c>
      <c r="C33" s="67" t="str">
        <f t="shared" si="0"/>
        <v>NA</v>
      </c>
      <c r="D33" s="67" t="str">
        <f t="shared" si="1"/>
        <v>NA</v>
      </c>
      <c r="E33" s="68" t="str">
        <f>IFERROR(ComTotTME24[[#This Row],[2024]]/ComTotTME24[[#This Row],[2023]]-1,"NA")</f>
        <v>NA</v>
      </c>
      <c r="G33" s="52" t="s">
        <v>138</v>
      </c>
      <c r="H33" s="67" t="str">
        <f>IFERROR((SUMIFS(AN_TME_BY[[#All],[Claims: Professional, Primary Care (for Monitoring Purposes)]],AN_TME_BY[[#All],[Insurance Category Code]],2,AN_TME_BY[[#All],[Advanced Network/Insurance Carrier Org ID]],100))/H29,"NA")</f>
        <v>NA</v>
      </c>
      <c r="I33" s="67" t="str">
        <f>IFERROR((SUMIFS(AN_TME_PY[[#All],[Claims: Professional, Primary Care (for Monitoring Purposes)]],AN_TME_PY[[#All],[Insurance Category Code]],2,AN_TME_PY[[#All],[Advanced Network/Insurance Carrier Org ID]],100))/I29,"NA")</f>
        <v>NA</v>
      </c>
      <c r="J33" s="61" t="str">
        <f>IFERROR(ICC3TME39[[#This Row],[2024]]/ICC3TME39[[#This Row],[2023]]-1,"NA")</f>
        <v>NA</v>
      </c>
      <c r="L33" s="52" t="s">
        <v>138</v>
      </c>
      <c r="M33" s="67" t="str">
        <f>IFERROR((SUMIFS(AN_TME_BY[[#All],[Claims: Professional, Primary Care (for Monitoring Purposes)]],AN_TME_BY[[#All],[Insurance Category Code]],6,AN_TME_BY[[#All],[Advanced Network/Insurance Carrier Org ID]],100))/M29,"NA")</f>
        <v>NA</v>
      </c>
      <c r="N33" s="67" t="str">
        <f>IFERROR((SUMIFS(AN_TME_PY[[#All],[Claims: Professional, Primary Care (for Monitoring Purposes)]],AN_TME_PY[[#All],[Insurance Category Code]],6,AN_TME_PY[[#All],[Advanced Network/Insurance Carrier Org ID]],100))/N29,"NA")</f>
        <v>NA</v>
      </c>
      <c r="O33" s="68" t="str">
        <f>IFERROR(ICC4TME40[[#This Row],[2024]]/ICC4TME40[[#This Row],[2023]]-1,"NA")</f>
        <v>NA</v>
      </c>
    </row>
    <row r="34" spans="2:15" x14ac:dyDescent="0.25">
      <c r="B34" s="52" t="s">
        <v>140</v>
      </c>
      <c r="C34" s="67" t="str">
        <f t="shared" si="0"/>
        <v>NA</v>
      </c>
      <c r="D34" s="67" t="str">
        <f t="shared" si="1"/>
        <v>NA</v>
      </c>
      <c r="E34" s="68" t="str">
        <f>IFERROR(ComTotTME24[[#This Row],[2024]]/ComTotTME24[[#This Row],[2023]]-1,"NA")</f>
        <v>NA</v>
      </c>
      <c r="G34" s="52" t="s">
        <v>140</v>
      </c>
      <c r="H34" s="67" t="str">
        <f>IFERROR((SUMIFS(AN_TME_BY[[#All],[Claims: Professional, Specialty]],AN_TME_BY[[#All],[Insurance Category Code]],2,AN_TME_BY[[#All],[Advanced Network/Insurance Carrier Org ID]],100))/H29,"NA")</f>
        <v>NA</v>
      </c>
      <c r="I34" s="67" t="str">
        <f>IFERROR((SUMIFS(AN_TME_PY[[#All],[Claims: Professional, Specialty]],AN_TME_PY[[#All],[Insurance Category Code]],2,AN_TME_PY[[#All],[Advanced Network/Insurance Carrier Org ID]],100))/I29,"NA")</f>
        <v>NA</v>
      </c>
      <c r="J34" s="61" t="str">
        <f>IFERROR(ICC3TME39[[#This Row],[2024]]/ICC3TME39[[#This Row],[2023]]-1,"NA")</f>
        <v>NA</v>
      </c>
      <c r="L34" s="52" t="s">
        <v>140</v>
      </c>
      <c r="M34" s="67" t="str">
        <f>IFERROR((SUMIFS(AN_TME_BY[[#All],[Claims: Professional, Specialty]],AN_TME_BY[[#All],[Insurance Category Code]],6,AN_TME_BY[[#All],[Advanced Network/Insurance Carrier Org ID]],100))/M29,"NA")</f>
        <v>NA</v>
      </c>
      <c r="N34" s="67" t="str">
        <f>IFERROR((SUMIFS(AN_TME_PY[[#All],[Claims: Professional, Specialty]],AN_TME_PY[[#All],[Insurance Category Code]],6,AN_TME_PY[[#All],[Advanced Network/Insurance Carrier Org ID]],100))/N29,"NA")</f>
        <v>NA</v>
      </c>
      <c r="O34" s="68" t="str">
        <f>IFERROR(ICC4TME40[[#This Row],[2024]]/ICC4TME40[[#This Row],[2023]]-1,"NA")</f>
        <v>NA</v>
      </c>
    </row>
    <row r="35" spans="2:15" x14ac:dyDescent="0.25">
      <c r="B35" s="52" t="s">
        <v>142</v>
      </c>
      <c r="C35" s="67" t="str">
        <f t="shared" si="0"/>
        <v>NA</v>
      </c>
      <c r="D35" s="67" t="str">
        <f t="shared" si="1"/>
        <v>NA</v>
      </c>
      <c r="E35" s="68" t="str">
        <f>IFERROR(ComTotTME24[[#This Row],[2024]]/ComTotTME24[[#This Row],[2023]]-1,"NA")</f>
        <v>NA</v>
      </c>
      <c r="G35" s="52" t="s">
        <v>142</v>
      </c>
      <c r="H35" s="67" t="str">
        <f>IFERROR((SUMIFS(AN_TME_BY[[#All],[Claims: Professional Other]],AN_TME_BY[[#All],[Insurance Category Code]],2,AN_TME_BY[[#All],[Advanced Network/Insurance Carrier Org ID]],100))/H29,"NA")</f>
        <v>NA</v>
      </c>
      <c r="I35" s="67" t="str">
        <f>IFERROR((SUMIFS(AN_TME_PY[[#All],[Claims: Professional Other]],AN_TME_PY[[#All],[Insurance Category Code]],2,AN_TME_PY[[#All],[Advanced Network/Insurance Carrier Org ID]],100))/I29,"NA")</f>
        <v>NA</v>
      </c>
      <c r="J35" s="61" t="str">
        <f>IFERROR(ICC3TME39[[#This Row],[2024]]/ICC3TME39[[#This Row],[2023]]-1,"NA")</f>
        <v>NA</v>
      </c>
      <c r="L35" s="52" t="s">
        <v>142</v>
      </c>
      <c r="M35" s="67" t="str">
        <f>IFERROR((SUMIFS(AN_TME_BY[[#All],[Claims: Professional Other]],AN_TME_BY[[#All],[Insurance Category Code]],6,AN_TME_BY[[#All],[Advanced Network/Insurance Carrier Org ID]],100))/M29,"NA")</f>
        <v>NA</v>
      </c>
      <c r="N35" s="67" t="str">
        <f>IFERROR((SUMIFS(AN_TME_PY[[#All],[Claims: Professional Other]],AN_TME_PY[[#All],[Insurance Category Code]],6,AN_TME_PY[[#All],[Advanced Network/Insurance Carrier Org ID]],100))/N29,"NA")</f>
        <v>NA</v>
      </c>
      <c r="O35" s="68" t="str">
        <f>IFERROR(ICC4TME40[[#This Row],[2024]]/ICC4TME40[[#This Row],[2023]]-1,"NA")</f>
        <v>NA</v>
      </c>
    </row>
    <row r="36" spans="2:15" ht="30" x14ac:dyDescent="0.25">
      <c r="B36" s="52" t="s">
        <v>328</v>
      </c>
      <c r="C36" s="67" t="str">
        <f t="shared" si="0"/>
        <v>NA</v>
      </c>
      <c r="D36" s="67" t="str">
        <f t="shared" si="1"/>
        <v>NA</v>
      </c>
      <c r="E36" s="68" t="str">
        <f>IFERROR(ComTotTME24[[#This Row],[2024]]/ComTotTME24[[#This Row],[2023]]-1,"NA")</f>
        <v>NA</v>
      </c>
      <c r="G36" s="52" t="s">
        <v>328</v>
      </c>
      <c r="H36" s="67" t="str">
        <f>IFERROR((SUMIFS(AN_TME_BY[[#All],[Claims: Pharmacy]],AN_TME_BY[[#All],[Insurance Category Code]],2,AN_TME_BY[[#All],[Advanced Network/Insurance Carrier Org ID]],100))/H29,"NA")</f>
        <v>NA</v>
      </c>
      <c r="I36" s="67" t="str">
        <f>IFERROR((SUMIFS(AN_TME_PY[[#All],[Claims: Pharmacy]],AN_TME_PY[[#All],[Insurance Category Code]],2,AN_TME_PY[[#All],[Advanced Network/Insurance Carrier Org ID]],100))/I29,"NA")</f>
        <v>NA</v>
      </c>
      <c r="J36" s="61" t="str">
        <f>IFERROR(ICC3TME39[[#This Row],[2024]]/ICC3TME39[[#This Row],[2023]]-1,"NA")</f>
        <v>NA</v>
      </c>
      <c r="L36" s="52" t="s">
        <v>328</v>
      </c>
      <c r="M36" s="67" t="str">
        <f>IFERROR((SUMIFS(AN_TME_BY[[#All],[Claims: Pharmacy]],AN_TME_BY[[#All],[Insurance Category Code]],6,AN_TME_BY[[#All],[Advanced Network/Insurance Carrier Org ID]],100))/M29,"NA")</f>
        <v>NA</v>
      </c>
      <c r="N36" s="67" t="str">
        <f>IFERROR((SUMIFS(AN_TME_PY[[#All],[Claims: Pharmacy]],AN_TME_PY[[#All],[Insurance Category Code]],6,AN_TME_PY[[#All],[Advanced Network/Insurance Carrier Org ID]],100))/N29,"NA")</f>
        <v>NA</v>
      </c>
      <c r="O36" s="68" t="str">
        <f>IFERROR(ICC4TME40[[#This Row],[2024]]/ICC4TME40[[#This Row],[2023]]-1,"NA")</f>
        <v>NA</v>
      </c>
    </row>
    <row r="37" spans="2:15" ht="30" x14ac:dyDescent="0.25">
      <c r="B37" s="150" t="s">
        <v>329</v>
      </c>
      <c r="C37" s="67" t="str">
        <f t="shared" si="0"/>
        <v>NA</v>
      </c>
      <c r="D37" s="67" t="str">
        <f t="shared" si="1"/>
        <v>NA</v>
      </c>
      <c r="E37" s="68" t="str">
        <f>IFERROR(ComTotTME24[[#This Row],[2024]]/ComTotTME24[[#This Row],[2023]]-1,"NA")</f>
        <v>NA</v>
      </c>
      <c r="G37" s="150" t="s">
        <v>329</v>
      </c>
      <c r="H37" s="67" t="str">
        <f>IFERROR(((SUMIFS(AN_TME_BY[[#All],[Claims: Pharmacy]],AN_TME_BY[[#All],[Insurance Category Code]],2,AN_TME_BY[[#All],[Advanced Network/Insurance Carrier Org ID]],100))-ABS(SUMIF(RX_REBATES_BY[[#All],[Insurance Category Code]],2,RX_REBATES_BY[[#All],[Total Pharmacy Rebates]])))/H29,"NA")</f>
        <v>NA</v>
      </c>
      <c r="I37" s="67" t="str">
        <f>IFERROR(((SUMIFS(AN_TME_PY[[#All],[Claims: Pharmacy]],AN_TME_PY[[#All],[Insurance Category Code]],2,AN_TME_PY[[#All],[Advanced Network/Insurance Carrier Org ID]],100))-ABS(SUMIF(RX_REBATES_PY[[#All],[Insurance Category Code]],2,RX_REBATES_PY[[#All],[Total Pharmacy Rebates]])))/I29,"NA")</f>
        <v>NA</v>
      </c>
      <c r="J37" s="61" t="str">
        <f>IFERROR(ICC3TME39[[#This Row],[2024]]/ICC3TME39[[#This Row],[2023]]-1,"NA")</f>
        <v>NA</v>
      </c>
      <c r="L37" s="150" t="s">
        <v>329</v>
      </c>
      <c r="M37" s="67" t="str">
        <f>IFERROR(((SUMIFS(AN_TME_BY[[#All],[Claims: Pharmacy]],AN_TME_BY[[#All],[Insurance Category Code]],6,AN_TME_BY[[#All],[Advanced Network/Insurance Carrier Org ID]],100))-ABS(SUMIF(RX_REBATES_BY[[#All],[Insurance Category Code]],6,RX_REBATES_BY[[#All],[Total Pharmacy Rebates]])))/M29,"NA")</f>
        <v>NA</v>
      </c>
      <c r="N37" s="67" t="str">
        <f>IFERROR(((SUMIFS(AN_TME_PY[[#All],[Claims: Pharmacy]],AN_TME_PY[[#All],[Insurance Category Code]],6,AN_TME_PY[[#All],[Advanced Network/Insurance Carrier Org ID]],100))-ABS(SUMIF(RX_REBATES_PY[[#All],[Insurance Category Code]],6,RX_REBATES_PY[[#All],[Total Pharmacy Rebates]])))/N29,"NA")</f>
        <v>NA</v>
      </c>
      <c r="O37" s="68" t="str">
        <f>IFERROR(ICC4TME40[[#This Row],[2024]]/ICC4TME40[[#This Row],[2023]]-1,"NA")</f>
        <v>NA</v>
      </c>
    </row>
    <row r="38" spans="2:15" x14ac:dyDescent="0.25">
      <c r="B38" s="150" t="s">
        <v>256</v>
      </c>
      <c r="C38" s="67" t="str">
        <f t="shared" si="0"/>
        <v>NA</v>
      </c>
      <c r="D38" s="67" t="str">
        <f t="shared" si="1"/>
        <v>NA</v>
      </c>
      <c r="E38" s="68" t="str">
        <f>IFERROR(ComTotTME24[[#This Row],[2024]]/ComTotTME24[[#This Row],[2023]]-1,"NA")</f>
        <v>NA</v>
      </c>
      <c r="G38" s="150" t="s">
        <v>256</v>
      </c>
      <c r="H38" s="67" t="str">
        <f>IFERROR((-ABS(SUMIF(RX_REBATES_BY[[#All],[Insurance Category Code]],2,RX_REBATES_BY[[#All],[Total Pharmacy Rebates]])))/H29,"NA")</f>
        <v>NA</v>
      </c>
      <c r="I38" s="67" t="str">
        <f>IFERROR((-ABS(SUMIF(RX_REBATES_PY[[#All],[Insurance Category Code]],2,RX_REBATES_PY[[#All],[Total Pharmacy Rebates]])))/I29,"NA")</f>
        <v>NA</v>
      </c>
      <c r="J38" s="61" t="str">
        <f>IFERROR(ICC3TME39[[#This Row],[2024]]/ICC3TME39[[#This Row],[2023]]-1,"NA")</f>
        <v>NA</v>
      </c>
      <c r="L38" s="150" t="s">
        <v>256</v>
      </c>
      <c r="M38" s="67" t="str">
        <f>IFERROR((-ABS(SUMIF(RX_REBATES_BY[[#All],[Insurance Category Code]],6,RX_REBATES_BY[[#All],[Total Pharmacy Rebates]])))/M29,"NA")</f>
        <v>NA</v>
      </c>
      <c r="N38" s="67" t="str">
        <f>IFERROR((-ABS(SUMIF(RX_REBATES_PY[[#All],[Insurance Category Code]],6,RX_REBATES_PY[[#All],[Total Pharmacy Rebates]])))/N29,"NA")</f>
        <v>NA</v>
      </c>
      <c r="O38" s="68" t="str">
        <f>IFERROR(ICC4TME40[[#This Row],[2024]]/ICC4TME40[[#This Row],[2023]]-1,"NA")</f>
        <v>NA</v>
      </c>
    </row>
    <row r="39" spans="2:15" x14ac:dyDescent="0.25">
      <c r="B39" s="52" t="s">
        <v>146</v>
      </c>
      <c r="C39" s="67" t="str">
        <f t="shared" si="0"/>
        <v>NA</v>
      </c>
      <c r="D39" s="67" t="str">
        <f t="shared" si="1"/>
        <v>NA</v>
      </c>
      <c r="E39" s="68" t="str">
        <f>IFERROR(ComTotTME24[[#This Row],[2024]]/ComTotTME24[[#This Row],[2023]]-1,"NA")</f>
        <v>NA</v>
      </c>
      <c r="G39" s="52" t="s">
        <v>146</v>
      </c>
      <c r="H39" s="67" t="str">
        <f>IFERROR((SUMIFS(AN_TME_BY[[#All],[Claims: Long-Term Care]],AN_TME_BY[[#All],[Insurance Category Code]],2,AN_TME_BY[[#All],[Advanced Network/Insurance Carrier Org ID]],100))/H29,"NA")</f>
        <v>NA</v>
      </c>
      <c r="I39" s="67" t="str">
        <f>IFERROR((SUMIFS(AN_TME_PY[[#All],[Claims: Long-Term Care]],AN_TME_PY[[#All],[Insurance Category Code]],2,AN_TME_PY[[#All],[Advanced Network/Insurance Carrier Org ID]],100))/I29,"NA")</f>
        <v>NA</v>
      </c>
      <c r="J39" s="61" t="str">
        <f>IFERROR(ICC3TME39[[#This Row],[2024]]/ICC3TME39[[#This Row],[2023]]-1,"NA")</f>
        <v>NA</v>
      </c>
      <c r="L39" s="52" t="s">
        <v>146</v>
      </c>
      <c r="M39" s="67" t="str">
        <f>IFERROR((SUMIFS(AN_TME_BY[[#All],[Claims: Long-Term Care]],AN_TME_BY[[#All],[Insurance Category Code]],6,AN_TME_BY[[#All],[Advanced Network/Insurance Carrier Org ID]],100))/M29,"NA")</f>
        <v>NA</v>
      </c>
      <c r="N39" s="67" t="str">
        <f>IFERROR((SUMIFS(AN_TME_PY[[#All],[Claims: Long-Term Care]],AN_TME_PY[[#All],[Insurance Category Code]],6,AN_TME_PY[[#All],[Advanced Network/Insurance Carrier Org ID]],100))/N29,"NA")</f>
        <v>NA</v>
      </c>
      <c r="O39" s="68" t="str">
        <f>IFERROR(ICC4TME40[[#This Row],[2024]]/ICC4TME40[[#This Row],[2023]]-1,"NA")</f>
        <v>NA</v>
      </c>
    </row>
    <row r="40" spans="2:15" x14ac:dyDescent="0.25">
      <c r="B40" s="52" t="s">
        <v>148</v>
      </c>
      <c r="C40" s="67" t="str">
        <f t="shared" si="0"/>
        <v>NA</v>
      </c>
      <c r="D40" s="67" t="str">
        <f t="shared" si="1"/>
        <v>NA</v>
      </c>
      <c r="E40" s="68" t="str">
        <f>IFERROR(ComTotTME24[[#This Row],[2024]]/ComTotTME24[[#This Row],[2023]]-1,"NA")</f>
        <v>NA</v>
      </c>
      <c r="G40" s="52" t="s">
        <v>148</v>
      </c>
      <c r="H40" s="67" t="str">
        <f>IFERROR((SUMIFS(AN_TME_BY[[#All],[Claims: Other]],AN_TME_BY[[#All],[Insurance Category Code]],2,AN_TME_BY[[#All],[Advanced Network/Insurance Carrier Org ID]],100))/H29,"NA")</f>
        <v>NA</v>
      </c>
      <c r="I40" s="67" t="str">
        <f>IFERROR((SUMIFS(AN_TME_PY[[#All],[Claims: Other]],AN_TME_PY[[#All],[Insurance Category Code]],2,AN_TME_PY[[#All],[Advanced Network/Insurance Carrier Org ID]],100))/I29,"NA")</f>
        <v>NA</v>
      </c>
      <c r="J40" s="61" t="str">
        <f>IFERROR(ICC3TME39[[#This Row],[2024]]/ICC3TME39[[#This Row],[2023]]-1,"NA")</f>
        <v>NA</v>
      </c>
      <c r="L40" s="52" t="s">
        <v>148</v>
      </c>
      <c r="M40" s="67" t="str">
        <f>IFERROR((SUMIFS(AN_TME_BY[[#All],[Claims: Other]],AN_TME_BY[[#All],[Insurance Category Code]],6,AN_TME_BY[[#All],[Advanced Network/Insurance Carrier Org ID]],100))/M29,"NA")</f>
        <v>NA</v>
      </c>
      <c r="N40" s="67" t="str">
        <f>IFERROR((SUMIFS(AN_TME_PY[[#All],[Claims: Other]],AN_TME_PY[[#All],[Insurance Category Code]],6,AN_TME_PY[[#All],[Advanced Network/Insurance Carrier Org ID]],100))/N29,"NA")</f>
        <v>NA</v>
      </c>
      <c r="O40" s="68" t="str">
        <f>IFERROR(ICC4TME40[[#This Row],[2024]]/ICC4TME40[[#This Row],[2023]]-1,"NA")</f>
        <v>NA</v>
      </c>
    </row>
    <row r="41" spans="2:15" x14ac:dyDescent="0.25">
      <c r="B41" s="69" t="s">
        <v>330</v>
      </c>
      <c r="C41" s="70" t="str">
        <f t="shared" si="0"/>
        <v>NA</v>
      </c>
      <c r="D41" s="70" t="str">
        <f t="shared" si="1"/>
        <v>NA</v>
      </c>
      <c r="E41" s="71" t="str">
        <f>IFERROR(ComTotTME24[[#This Row],[2024]]/ComTotTME24[[#This Row],[2023]]-1,"NA")</f>
        <v>NA</v>
      </c>
      <c r="G41" s="69" t="s">
        <v>330</v>
      </c>
      <c r="H41" s="70" t="str">
        <f>IFERROR((SUMIFS(AN_TME_BY[[#All],[TOTAL Non-Truncated Unadjusted Claims Expenses]],AN_TME_BY[[#All],[Insurance Category Code]],2,AN_TME_BY[[#All],[Advanced Network/Insurance Carrier Org ID]],100))/H29,"NA")</f>
        <v>NA</v>
      </c>
      <c r="I41" s="70" t="str">
        <f>IFERROR((SUMIFS(AN_TME_PY[[#All],[TOTAL Non-Truncated Unadjusted Claims Expenses]],AN_TME_PY[[#All],[Insurance Category Code]],2,AN_TME_PY[[#All],[Advanced Network/Insurance Carrier Org ID]],100))/I29,"NA")</f>
        <v>NA</v>
      </c>
      <c r="J41" s="71" t="str">
        <f>IFERROR(ICC3TME39[[#This Row],[2024]]/ICC3TME39[[#This Row],[2023]]-1,"NA")</f>
        <v>NA</v>
      </c>
      <c r="L41" s="69" t="s">
        <v>330</v>
      </c>
      <c r="M41" s="70" t="str">
        <f>IFERROR((SUMIFS(AN_TME_BY[[#All],[TOTAL Non-Truncated Unadjusted Claims Expenses]],AN_TME_BY[[#All],[Insurance Category Code]],6,AN_TME_BY[[#All],[Advanced Network/Insurance Carrier Org ID]],100))/M29,"NA")</f>
        <v>NA</v>
      </c>
      <c r="N41" s="70" t="str">
        <f>IFERROR((SUMIFS(AN_TME_PY[[#All],[TOTAL Non-Truncated Unadjusted Claims Expenses]],AN_TME_PY[[#All],[Insurance Category Code]],6,AN_TME_PY[[#All],[Advanced Network/Insurance Carrier Org ID]],100))/N29,"NA")</f>
        <v>NA</v>
      </c>
      <c r="O41" s="71" t="str">
        <f>IFERROR(ICC4TME40[[#This Row],[2024]]/ICC4TME40[[#This Row],[2023]]-1,"NA")</f>
        <v>NA</v>
      </c>
    </row>
    <row r="42" spans="2:15" x14ac:dyDescent="0.25">
      <c r="B42" s="69" t="s">
        <v>331</v>
      </c>
      <c r="C42" s="70" t="str">
        <f t="shared" si="0"/>
        <v>NA</v>
      </c>
      <c r="D42" s="70" t="str">
        <f t="shared" si="1"/>
        <v>NA</v>
      </c>
      <c r="E42" s="71" t="str">
        <f>IFERROR(ComTotTME24[[#This Row],[2024]]/ComTotTME24[[#This Row],[2023]]-1,"NA")</f>
        <v>NA</v>
      </c>
      <c r="G42" s="69" t="s">
        <v>331</v>
      </c>
      <c r="H42" s="70" t="str">
        <f>IFERROR((SUMIFS(AN_TME_BY[[#All],[TOTAL Truncated Unadjusted Claims Expenses (A21 -A19)]],AN_TME_BY[[#All],[Insurance Category Code]],2,AN_TME_BY[[#All],[Advanced Network/Insurance Carrier Org ID]],100))/H29,"NA")</f>
        <v>NA</v>
      </c>
      <c r="I42" s="70" t="str">
        <f>IFERROR((SUMIFS(AN_TME_PY[[#All],[TOTAL Truncated Unadjusted Claims Expenses (A21 -A19)]],AN_TME_PY[[#All],[Insurance Category Code]],2,AN_TME_PY[[#All],[Advanced Network/Insurance Carrier Org ID]],100))/I29,"NA")</f>
        <v>NA</v>
      </c>
      <c r="J42" s="71" t="str">
        <f>IFERROR(ICC3TME39[[#This Row],[2024]]/ICC3TME39[[#This Row],[2023]]-1,"NA")</f>
        <v>NA</v>
      </c>
      <c r="L42" s="69" t="s">
        <v>331</v>
      </c>
      <c r="M42" s="70" t="str">
        <f>IFERROR((SUMIFS(AN_TME_BY[[#All],[TOTAL Truncated Unadjusted Claims Expenses (A21 -A19)]],AN_TME_BY[[#All],[Insurance Category Code]],6,AN_TME_BY[[#All],[Advanced Network/Insurance Carrier Org ID]],100))/M29,"NA")</f>
        <v>NA</v>
      </c>
      <c r="N42" s="70" t="str">
        <f>IFERROR((SUMIFS(AN_TME_PY[[#All],[TOTAL Truncated Unadjusted Claims Expenses (A21 -A19)]],AN_TME_PY[[#All],[Insurance Category Code]],6,AN_TME_PY[[#All],[Advanced Network/Insurance Carrier Org ID]],100))/N29,"NA")</f>
        <v>NA</v>
      </c>
      <c r="O42" s="71" t="str">
        <f>IFERROR(ICC4TME40[[#This Row],[2024]]/ICC4TME40[[#This Row],[2023]]-1,"NA")</f>
        <v>NA</v>
      </c>
    </row>
    <row r="43" spans="2:15" ht="45" x14ac:dyDescent="0.25">
      <c r="B43" s="52" t="s">
        <v>150</v>
      </c>
      <c r="C43" s="67" t="str">
        <f t="shared" si="0"/>
        <v>NA</v>
      </c>
      <c r="D43" s="67" t="str">
        <f t="shared" si="1"/>
        <v>NA</v>
      </c>
      <c r="E43" s="68" t="str">
        <f>IFERROR(ComTotTME24[[#This Row],[2024]]/ComTotTME24[[#This Row],[2023]]-1,"NA")</f>
        <v>NA</v>
      </c>
      <c r="G43" s="52" t="s">
        <v>150</v>
      </c>
      <c r="H43" s="67" t="str">
        <f>IFERROR((SUMIFS(AN_TME_BY[[#All],[Non-Claims: Payments to Support Population Health and Practice Infrastructure]],AN_TME_BY[[#All],[Insurance Category Code]],2,AN_TME_BY[[#All],[Advanced Network/Insurance Carrier Org ID]],100))/H29,"NA")</f>
        <v>NA</v>
      </c>
      <c r="I43" s="67" t="str">
        <f>IFERROR((SUMIFS(AN_TME_PY[[#All],[Non-Claims: Payments to Support Population Health and Practice Infrastructure]],AN_TME_PY[[#All],[Insurance Category Code]],2,AN_TME_PY[[#All],[Advanced Network/Insurance Carrier Org ID]],100))/I29,"NA")</f>
        <v>NA</v>
      </c>
      <c r="J43" s="61" t="str">
        <f>IFERROR(ICC3TME39[[#This Row],[2024]]/ICC3TME39[[#This Row],[2023]]-1,"NA")</f>
        <v>NA</v>
      </c>
      <c r="L43" s="52" t="s">
        <v>150</v>
      </c>
      <c r="M43" s="67" t="str">
        <f>IFERROR((SUMIFS(AN_TME_BY[[#All],[Non-Claims: Payments to Support Population Health and Practice Infrastructure]],AN_TME_BY[[#All],[Insurance Category Code]],6,AN_TME_BY[[#All],[Advanced Network/Insurance Carrier Org ID]],100))/M29,"NA")</f>
        <v>NA</v>
      </c>
      <c r="N43" s="67" t="str">
        <f>IFERROR((SUMIFS(AN_TME_PY[[#All],[Non-Claims: Payments to Support Population Health and Practice Infrastructure]],AN_TME_PY[[#All],[Insurance Category Code]],6,AN_TME_PY[[#All],[Advanced Network/Insurance Carrier Org ID]],100))/N29,"NA")</f>
        <v>NA</v>
      </c>
      <c r="O43" s="68" t="str">
        <f>IFERROR(ICC4TME40[[#This Row],[2024]]/ICC4TME40[[#This Row],[2023]]-1,"NA")</f>
        <v>NA</v>
      </c>
    </row>
    <row r="44" spans="2:15" x14ac:dyDescent="0.25">
      <c r="B44" s="52" t="s">
        <v>152</v>
      </c>
      <c r="C44" s="67" t="str">
        <f t="shared" si="0"/>
        <v>NA</v>
      </c>
      <c r="D44" s="67" t="str">
        <f t="shared" si="1"/>
        <v>NA</v>
      </c>
      <c r="E44" s="68" t="str">
        <f>IFERROR(ComTotTME24[[#This Row],[2024]]/ComTotTME24[[#This Row],[2023]]-1,"NA")</f>
        <v>NA</v>
      </c>
      <c r="G44" s="52" t="s">
        <v>152</v>
      </c>
      <c r="H44" s="67" t="str">
        <f>IFERROR((SUMIFS(AN_TME_BY[[#All],[Non-Claims: Performance Payments]],AN_TME_BY[[#All],[Insurance Category Code]],2,AN_TME_BY[[#All],[Advanced Network/Insurance Carrier Org ID]],100))/H29,"NA")</f>
        <v>NA</v>
      </c>
      <c r="I44" s="67" t="str">
        <f>IFERROR((SUMIFS(AN_TME_PY[[#All],[Non-Claims: Performance Payments]],AN_TME_PY[[#All],[Insurance Category Code]],2,AN_TME_PY[[#All],[Advanced Network/Insurance Carrier Org ID]],100))/I29,"NA")</f>
        <v>NA</v>
      </c>
      <c r="J44" s="61" t="str">
        <f>IFERROR(ICC3TME39[[#This Row],[2024]]/ICC3TME39[[#This Row],[2023]]-1,"NA")</f>
        <v>NA</v>
      </c>
      <c r="L44" s="52" t="s">
        <v>152</v>
      </c>
      <c r="M44" s="67" t="str">
        <f>IFERROR((SUMIFS(AN_TME_BY[[#All],[Non-Claims: Performance Payments]],AN_TME_BY[[#All],[Insurance Category Code]],6,AN_TME_BY[[#All],[Advanced Network/Insurance Carrier Org ID]],100))/M29,"NA")</f>
        <v>NA</v>
      </c>
      <c r="N44" s="67" t="str">
        <f>IFERROR((SUMIFS(AN_TME_PY[[#All],[Non-Claims: Performance Payments]],AN_TME_PY[[#All],[Insurance Category Code]],6,AN_TME_PY[[#All],[Advanced Network/Insurance Carrier Org ID]],100))/N29,"NA")</f>
        <v>NA</v>
      </c>
      <c r="O44" s="68" t="str">
        <f>IFERROR(ICC4TME40[[#This Row],[2024]]/ICC4TME40[[#This Row],[2023]]-1,"NA")</f>
        <v>NA</v>
      </c>
    </row>
    <row r="45" spans="2:15" ht="30" x14ac:dyDescent="0.25">
      <c r="B45" s="52" t="s">
        <v>154</v>
      </c>
      <c r="C45" s="67" t="str">
        <f t="shared" si="0"/>
        <v>NA</v>
      </c>
      <c r="D45" s="67" t="str">
        <f t="shared" si="1"/>
        <v>NA</v>
      </c>
      <c r="E45" s="68" t="str">
        <f>IFERROR(ComTotTME24[[#This Row],[2024]]/ComTotTME24[[#This Row],[2023]]-1,"NA")</f>
        <v>NA</v>
      </c>
      <c r="G45" s="52" t="s">
        <v>154</v>
      </c>
      <c r="H45" s="67" t="str">
        <f>IFERROR((SUMIFS(AN_TME_BY[[#All],[Non-Claims: Shared Savings and Shared Risk Settlements]],AN_TME_BY[[#All],[Insurance Category Code]],2,AN_TME_BY[[#All],[Advanced Network/Insurance Carrier Org ID]],100))/H29,"NA")</f>
        <v>NA</v>
      </c>
      <c r="I45" s="67" t="str">
        <f>IFERROR((SUMIFS(AN_TME_PY[[#All],[Non-Claims: Shared Savings and Shared Risk Settlements]],AN_TME_PY[[#All],[Insurance Category Code]],2,AN_TME_PY[[#All],[Advanced Network/Insurance Carrier Org ID]],100))/I29,"NA")</f>
        <v>NA</v>
      </c>
      <c r="J45" s="61" t="str">
        <f>IFERROR(ICC3TME39[[#This Row],[2024]]/ICC3TME39[[#This Row],[2023]]-1,"NA")</f>
        <v>NA</v>
      </c>
      <c r="L45" s="52" t="s">
        <v>154</v>
      </c>
      <c r="M45" s="67" t="str">
        <f>IFERROR((SUMIFS(AN_TME_BY[[#All],[Non-Claims: Shared Savings and Shared Risk Settlements]],AN_TME_BY[[#All],[Insurance Category Code]],6,AN_TME_BY[[#All],[Advanced Network/Insurance Carrier Org ID]],100))/M29,"NA")</f>
        <v>NA</v>
      </c>
      <c r="N45" s="67" t="str">
        <f>IFERROR((SUMIFS(AN_TME_PY[[#All],[Non-Claims: Shared Savings and Shared Risk Settlements]],AN_TME_PY[[#All],[Insurance Category Code]],6,AN_TME_PY[[#All],[Advanced Network/Insurance Carrier Org ID]],100))/N29,"NA")</f>
        <v>NA</v>
      </c>
      <c r="O45" s="68" t="str">
        <f>IFERROR(ICC4TME40[[#This Row],[2024]]/ICC4TME40[[#This Row],[2023]]-1,"NA")</f>
        <v>NA</v>
      </c>
    </row>
    <row r="46" spans="2:15" ht="30" x14ac:dyDescent="0.25">
      <c r="B46" s="52" t="s">
        <v>156</v>
      </c>
      <c r="C46" s="67" t="str">
        <f t="shared" si="0"/>
        <v>NA</v>
      </c>
      <c r="D46" s="67" t="str">
        <f t="shared" si="1"/>
        <v>NA</v>
      </c>
      <c r="E46" s="68" t="str">
        <f>IFERROR(ComTotTME24[[#This Row],[2024]]/ComTotTME24[[#This Row],[2023]]-1,"NA")</f>
        <v>NA</v>
      </c>
      <c r="G46" s="52" t="s">
        <v>156</v>
      </c>
      <c r="H46" s="67" t="str">
        <f>IFERROR((SUMIFS(AN_TME_BY[[#All],[Non-Claims: Capitation and Full Risk Payments]],AN_TME_BY[[#All],[Insurance Category Code]],2,AN_TME_BY[[#All],[Advanced Network/Insurance Carrier Org ID]],100))/H29,"NA")</f>
        <v>NA</v>
      </c>
      <c r="I46" s="67" t="str">
        <f>IFERROR((SUMIFS(AN_TME_PY[[#All],[Non-Claims: Capitation and Full Risk Payments]],AN_TME_PY[[#All],[Insurance Category Code]],2,AN_TME_PY[[#All],[Advanced Network/Insurance Carrier Org ID]],100))/I29,"NA")</f>
        <v>NA</v>
      </c>
      <c r="J46" s="61" t="str">
        <f>IFERROR(ICC3TME39[[#This Row],[2024]]/ICC3TME39[[#This Row],[2023]]-1,"NA")</f>
        <v>NA</v>
      </c>
      <c r="L46" s="52" t="s">
        <v>156</v>
      </c>
      <c r="M46" s="67" t="str">
        <f>IFERROR((SUMIFS(AN_TME_BY[[#All],[Non-Claims: Capitation and Full Risk Payments]],AN_TME_BY[[#All],[Insurance Category Code]],6,AN_TME_BY[[#All],[Advanced Network/Insurance Carrier Org ID]],100))/M29,"NA")</f>
        <v>NA</v>
      </c>
      <c r="N46" s="67" t="str">
        <f>IFERROR((SUMIFS(AN_TME_PY[[#All],[Non-Claims: Capitation and Full Risk Payments]],AN_TME_PY[[#All],[Insurance Category Code]],6,AN_TME_PY[[#All],[Advanced Network/Insurance Carrier Org ID]],100))/N29,"NA")</f>
        <v>NA</v>
      </c>
      <c r="O46" s="68" t="str">
        <f>IFERROR(ICC4TME40[[#This Row],[2024]]/ICC4TME40[[#This Row],[2023]]-1,"NA")</f>
        <v>NA</v>
      </c>
    </row>
    <row r="47" spans="2:15" x14ac:dyDescent="0.25">
      <c r="B47" s="52" t="s">
        <v>158</v>
      </c>
      <c r="C47" s="67" t="str">
        <f t="shared" si="0"/>
        <v>NA</v>
      </c>
      <c r="D47" s="67" t="str">
        <f t="shared" si="1"/>
        <v>NA</v>
      </c>
      <c r="E47" s="68" t="str">
        <f>IFERROR(ComTotTME24[[#This Row],[2024]]/ComTotTME24[[#This Row],[2023]]-1,"NA")</f>
        <v>NA</v>
      </c>
      <c r="G47" s="52" t="s">
        <v>158</v>
      </c>
      <c r="H47" s="67" t="str">
        <f>IFERROR((SUMIFS(AN_TME_BY[[#All],[Non-Claims: Other]],AN_TME_BY[[#All],[Insurance Category Code]],2,AN_TME_BY[[#All],[Advanced Network/Insurance Carrier Org ID]],100))/H29,"NA")</f>
        <v>NA</v>
      </c>
      <c r="I47" s="67" t="str">
        <f>IFERROR((SUMIFS(AN_TME_PY[[#All],[Non-Claims: Other]],AN_TME_PY[[#All],[Insurance Category Code]],2,AN_TME_PY[[#All],[Advanced Network/Insurance Carrier Org ID]],100))/I29,"NA")</f>
        <v>NA</v>
      </c>
      <c r="J47" s="68" t="str">
        <f>IFERROR(ICC3TME39[[#This Row],[2024]]/ICC3TME39[[#This Row],[2023]]-1,"NA")</f>
        <v>NA</v>
      </c>
      <c r="L47" s="52" t="s">
        <v>158</v>
      </c>
      <c r="M47" s="67" t="str">
        <f>IFERROR((SUMIFS(AN_TME_BY[[#All],[Non-Claims: Other]],AN_TME_BY[[#All],[Insurance Category Code]],6,AN_TME_BY[[#All],[Advanced Network/Insurance Carrier Org ID]],100))/M29,"NA")</f>
        <v>NA</v>
      </c>
      <c r="N47" s="67" t="str">
        <f>IFERROR((SUMIFS(AN_TME_PY[[#All],[Non-Claims: Other]],AN_TME_PY[[#All],[Insurance Category Code]],6,AN_TME_PY[[#All],[Advanced Network/Insurance Carrier Org ID]],100))/N29,"NA")</f>
        <v>NA</v>
      </c>
      <c r="O47" s="68" t="str">
        <f>IFERROR(ICC4TME40[[#This Row],[2024]]/ICC4TME40[[#This Row],[2023]]-1,"NA")</f>
        <v>NA</v>
      </c>
    </row>
    <row r="48" spans="2:15" ht="30" x14ac:dyDescent="0.25">
      <c r="B48" s="52" t="s">
        <v>160</v>
      </c>
      <c r="C48" s="67" t="str">
        <f t="shared" si="0"/>
        <v>NA</v>
      </c>
      <c r="D48" s="67" t="str">
        <f t="shared" si="1"/>
        <v>NA</v>
      </c>
      <c r="E48" s="68" t="str">
        <f>IFERROR(ComTotTME24[[#This Row],[2024]]/ComTotTME24[[#This Row],[2023]]-1,"NA")</f>
        <v>NA</v>
      </c>
      <c r="G48" s="52" t="s">
        <v>160</v>
      </c>
      <c r="H48" s="67" t="str">
        <f>IFERROR((SUMIFS(AN_TME_BY[[#All],[Non-Claims: Total Primary Care Non-Claims-Based Payments]],AN_TME_BY[[#All],[Insurance Category Code]],2,AN_TME_BY[[#All],[Advanced Network/Insurance Carrier Org ID]],100))/H29,"NA")</f>
        <v>NA</v>
      </c>
      <c r="I48" s="67" t="str">
        <f>IFERROR((SUMIFS(AN_TME_PY[[#All],[Non-Claims: Total Primary Care Non-Claims-Based Payments]],AN_TME_PY[[#All],[Insurance Category Code]],2,AN_TME_PY[[#All],[Advanced Network/Insurance Carrier Org ID]],100))/I29,"NA")</f>
        <v>NA</v>
      </c>
      <c r="J48" s="61" t="str">
        <f>IFERROR(ICC3TME39[[#This Row],[2024]]/ICC3TME39[[#This Row],[2023]]-1,"NA")</f>
        <v>NA</v>
      </c>
      <c r="L48" s="52" t="s">
        <v>160</v>
      </c>
      <c r="M48" s="67" t="str">
        <f>IFERROR((SUMIFS(AN_TME_BY[[#All],[Non-Claims: Total Primary Care Non-Claims-Based Payments]],AN_TME_BY[[#All],[Insurance Category Code]],6,AN_TME_BY[[#All],[Advanced Network/Insurance Carrier Org ID]],100))/M29,"NA")</f>
        <v>NA</v>
      </c>
      <c r="N48" s="67" t="str">
        <f>IFERROR((SUMIFS(AN_TME_PY[[#All],[Non-Claims: Total Primary Care Non-Claims-Based Payments]],AN_TME_PY[[#All],[Insurance Category Code]],6,AN_TME_PY[[#All],[Advanced Network/Insurance Carrier Org ID]],100))/N29,"NA")</f>
        <v>NA</v>
      </c>
      <c r="O48" s="68" t="str">
        <f>IFERROR(ICC4TME40[[#This Row],[2024]]/ICC4TME40[[#This Row],[2023]]-1,"NA")</f>
        <v>NA</v>
      </c>
    </row>
    <row r="49" spans="2:15" x14ac:dyDescent="0.25">
      <c r="B49" s="69" t="s">
        <v>332</v>
      </c>
      <c r="C49" s="70" t="str">
        <f t="shared" si="0"/>
        <v>NA</v>
      </c>
      <c r="D49" s="70" t="str">
        <f t="shared" si="1"/>
        <v>NA</v>
      </c>
      <c r="E49" s="71" t="str">
        <f>IFERROR(ComTotTME24[[#This Row],[2024]]/ComTotTME24[[#This Row],[2023]]-1,"NA")</f>
        <v>NA</v>
      </c>
      <c r="G49" s="69" t="s">
        <v>332</v>
      </c>
      <c r="H49" s="70" t="str">
        <f>IFERROR((SUMIFS(AN_TME_BY[[#All],[TOTAL Non-Claims Expenses]],AN_TME_BY[[#All],[Insurance Category Code]],2,AN_TME_BY[[#All],[Advanced Network/Insurance Carrier Org ID]],100))/H29,"NA")</f>
        <v>NA</v>
      </c>
      <c r="I49" s="70" t="str">
        <f>IFERROR((SUMIFS(AN_TME_PY[[#All],[TOTAL Non-Claims Expenses]],AN_TME_PY[[#All],[Insurance Category Code]],2,AN_TME_PY[[#All],[Advanced Network/Insurance Carrier Org ID]],100))/I29,"NA")</f>
        <v>NA</v>
      </c>
      <c r="J49" s="71" t="str">
        <f>IFERROR(ICC3TME39[[#This Row],[2024]]/ICC3TME39[[#This Row],[2023]]-1,"NA")</f>
        <v>NA</v>
      </c>
      <c r="L49" s="69" t="s">
        <v>332</v>
      </c>
      <c r="M49" s="70" t="str">
        <f>IFERROR((SUMIFS(AN_TME_BY[[#All],[TOTAL Non-Claims Expenses]],AN_TME_BY[[#All],[Insurance Category Code]],6,AN_TME_BY[[#All],[Advanced Network/Insurance Carrier Org ID]],100))/M29,"NA")</f>
        <v>NA</v>
      </c>
      <c r="N49" s="70" t="str">
        <f>IFERROR((SUMIFS(AN_TME_PY[[#All],[TOTAL Non-Claims Expenses]],AN_TME_PY[[#All],[Insurance Category Code]],6,AN_TME_PY[[#All],[Advanced Network/Insurance Carrier Org ID]],100))/N29,"NA")</f>
        <v>NA</v>
      </c>
      <c r="O49" s="71" t="str">
        <f>IFERROR(ICC4TME40[[#This Row],[2024]]/ICC4TME40[[#This Row],[2023]]-1,"NA")</f>
        <v>NA</v>
      </c>
    </row>
    <row r="50" spans="2:15" ht="30" x14ac:dyDescent="0.25">
      <c r="B50" s="73" t="s">
        <v>333</v>
      </c>
      <c r="C50" s="74" t="str">
        <f t="shared" si="0"/>
        <v>NA</v>
      </c>
      <c r="D50" s="74" t="str">
        <f t="shared" si="1"/>
        <v>NA</v>
      </c>
      <c r="E50" s="75" t="str">
        <f>IFERROR(ComTotTME24[[#This Row],[2024]]/ComTotTME24[[#This Row],[2023]]-1,"NA")</f>
        <v>NA</v>
      </c>
      <c r="G50" s="73" t="s">
        <v>333</v>
      </c>
      <c r="H50" s="239" t="str">
        <f>IFERROR((SUMIFS(AN_TME_BY[[#All],[TOTAL Non-Truncated Unadjusted Expenses (A21 + A23)]],AN_TME_BY[[#All],[Insurance Category Code]],2,AN_TME_BY[[#All],[Advanced Network/Insurance Carrier Org ID]],100))/H29,"NA")</f>
        <v>NA</v>
      </c>
      <c r="I50" s="239" t="str">
        <f>IFERROR((SUMIFS(AN_TME_PY[[#All],[TOTAL Non-Truncated Unadjusted Expenses (A21 + A23)]],AN_TME_PY[[#All],[Insurance Category Code]],2,AN_TME_PY[[#All],[Advanced Network/Insurance Carrier Org ID]],100))/I29,"NA")</f>
        <v>NA</v>
      </c>
      <c r="J50" s="72" t="str">
        <f>IFERROR(ICC3TME39[[#This Row],[2024]]/ICC3TME39[[#This Row],[2023]]-1,"NA")</f>
        <v>NA</v>
      </c>
      <c r="L50" s="73" t="s">
        <v>333</v>
      </c>
      <c r="M50" s="239" t="str">
        <f>IFERROR((SUMIFS(AN_TME_BY[[#All],[TOTAL Non-Truncated Unadjusted Expenses (A21 + A23)]],AN_TME_BY[[#All],[Insurance Category Code]],6,AN_TME_BY[[#All],[Advanced Network/Insurance Carrier Org ID]],100))/M29,"NA")</f>
        <v>NA</v>
      </c>
      <c r="N50" s="239" t="str">
        <f>IFERROR((SUMIFS(AN_TME_PY[[#All],[TOTAL Non-Truncated Unadjusted Expenses (A21 + A23)]],AN_TME_PY[[#All],[Insurance Category Code]],6,AN_TME_PY[[#All],[Advanced Network/Insurance Carrier Org ID]],100))/N29,"NA")</f>
        <v>NA</v>
      </c>
      <c r="O50" s="75" t="str">
        <f>IFERROR(ICC4TME40[[#This Row],[2024]]/ICC4TME40[[#This Row],[2023]]-1,"NA")</f>
        <v>NA</v>
      </c>
    </row>
    <row r="51" spans="2:15" ht="30" x14ac:dyDescent="0.25">
      <c r="B51" s="73" t="s">
        <v>334</v>
      </c>
      <c r="C51" s="74" t="str">
        <f t="shared" si="0"/>
        <v>NA</v>
      </c>
      <c r="D51" s="74" t="str">
        <f t="shared" si="1"/>
        <v>NA</v>
      </c>
      <c r="E51" s="75" t="str">
        <f>IFERROR(ComTotTME24[[#This Row],[2024]]/ComTotTME24[[#This Row],[2023]]-1,"NA")</f>
        <v>NA</v>
      </c>
      <c r="G51" s="73" t="s">
        <v>334</v>
      </c>
      <c r="H51" s="239" t="str">
        <f>IFERROR(((SUMIFS(AN_TME_BY[[#All],[TOTAL Non-Truncated Unadjusted Expenses (A21 + A23)]],AN_TME_BY[[#All],[Insurance Category Code]],2,AN_TME_BY[[#All],[Advanced Network/Insurance Carrier Org ID]],100))-ABS(SUMIF(RX_REBATES_BY[[#All],[Insurance Category Code]],2,RX_REBATES_BY[[#All],[Total Pharmacy Rebates]])))/H29,"NA")</f>
        <v>NA</v>
      </c>
      <c r="I51" s="239" t="str">
        <f>IFERROR(((SUMIFS(AN_TME_PY[[#All],[TOTAL Non-Truncated Unadjusted Expenses (A21 + A23)]],AN_TME_PY[[#All],[Insurance Category Code]],2,AN_TME_PY[[#All],[Advanced Network/Insurance Carrier Org ID]],100))-ABS(SUMIF(RX_REBATES_PY[[#All],[Insurance Category Code]],2,RX_REBATES_PY[[#All],[Total Pharmacy Rebates]])))/I29,"NA")</f>
        <v>NA</v>
      </c>
      <c r="J51" s="72" t="str">
        <f>IFERROR(ICC3TME39[[#This Row],[2024]]/ICC3TME39[[#This Row],[2023]]-1,"NA")</f>
        <v>NA</v>
      </c>
      <c r="L51" s="73" t="s">
        <v>334</v>
      </c>
      <c r="M51" s="239" t="str">
        <f>IFERROR(((SUMIFS(AN_TME_BY[[#All],[TOTAL Non-Truncated Unadjusted Expenses (A21 + A23)]],AN_TME_BY[[#All],[Insurance Category Code]],6,AN_TME_BY[[#All],[Advanced Network/Insurance Carrier Org ID]],100))-ABS(SUMIF(RX_REBATES_BY[[#All],[Insurance Category Code]],6,RX_REBATES_BY[[#All],[Total Pharmacy Rebates]])))/M29,"NA")</f>
        <v>NA</v>
      </c>
      <c r="N51" s="239" t="str">
        <f>IFERROR(((SUMIFS(AN_TME_PY[[#All],[TOTAL Non-Truncated Unadjusted Expenses (A21 + A23)]],AN_TME_PY[[#All],[Insurance Category Code]],6,AN_TME_PY[[#All],[Advanced Network/Insurance Carrier Org ID]],100))-ABS(SUMIF(RX_REBATES_PY[[#All],[Insurance Category Code]],6,RX_REBATES_PY[[#All],[Total Pharmacy Rebates]])))/N29,"NA")</f>
        <v>NA</v>
      </c>
      <c r="O51" s="75" t="str">
        <f>IFERROR(ICC4TME40[[#This Row],[2024]]/ICC4TME40[[#This Row],[2023]]-1,"NA")</f>
        <v>NA</v>
      </c>
    </row>
    <row r="52" spans="2:15" ht="30" x14ac:dyDescent="0.25">
      <c r="B52" s="73" t="s">
        <v>335</v>
      </c>
      <c r="C52" s="74" t="str">
        <f t="shared" si="0"/>
        <v>NA</v>
      </c>
      <c r="D52" s="74" t="str">
        <f t="shared" si="1"/>
        <v>NA</v>
      </c>
      <c r="E52" s="75" t="str">
        <f>IFERROR(ComTotTME24[[#This Row],[2024]]/ComTotTME24[[#This Row],[2023]]-1,"NA")</f>
        <v>NA</v>
      </c>
      <c r="G52" s="73" t="s">
        <v>335</v>
      </c>
      <c r="H52" s="239" t="str">
        <f>IFERROR((SUMIFS(AN_TME_BY[[#All],[TOTAL Truncated Unadjusted Expenses (A22 + A23)]],AN_TME_BY[[#All],[Insurance Category Code]],2,AN_TME_BY[[#All],[Advanced Network/Insurance Carrier Org ID]],100))/H29,"NA")</f>
        <v>NA</v>
      </c>
      <c r="I52" s="239" t="str">
        <f>IFERROR((SUMIFS(AN_TME_PY[[#All],[TOTAL Truncated Unadjusted Expenses (A22 + A23)]],AN_TME_PY[[#All],[Insurance Category Code]],2,AN_TME_PY[[#All],[Advanced Network/Insurance Carrier Org ID]],100))/I29,"NA")</f>
        <v>NA</v>
      </c>
      <c r="J52" s="72" t="str">
        <f>IFERROR(ICC3TME39[[#This Row],[2024]]/ICC3TME39[[#This Row],[2023]]-1,"NA")</f>
        <v>NA</v>
      </c>
      <c r="L52" s="73" t="s">
        <v>335</v>
      </c>
      <c r="M52" s="239" t="str">
        <f>IFERROR((SUMIFS(AN_TME_BY[[#All],[TOTAL Truncated Unadjusted Expenses (A22 + A23)]],AN_TME_BY[[#All],[Insurance Category Code]],6,AN_TME_BY[[#All],[Advanced Network/Insurance Carrier Org ID]],100))/M29,"NA")</f>
        <v>NA</v>
      </c>
      <c r="N52" s="239" t="str">
        <f>IFERROR((SUMIFS(AN_TME_PY[[#All],[TOTAL Truncated Unadjusted Expenses (A22 + A23)]],AN_TME_PY[[#All],[Insurance Category Code]],6,AN_TME_PY[[#All],[Advanced Network/Insurance Carrier Org ID]],100))/N29,"NA")</f>
        <v>NA</v>
      </c>
      <c r="O52" s="75" t="str">
        <f>IFERROR(ICC4TME40[[#This Row],[2024]]/ICC4TME40[[#This Row],[2023]]-1,"NA")</f>
        <v>NA</v>
      </c>
    </row>
    <row r="53" spans="2:15" ht="30" x14ac:dyDescent="0.25">
      <c r="B53" s="152" t="s">
        <v>336</v>
      </c>
      <c r="C53" s="153" t="str">
        <f t="shared" si="0"/>
        <v>NA</v>
      </c>
      <c r="D53" s="153" t="str">
        <f t="shared" si="1"/>
        <v>NA</v>
      </c>
      <c r="E53" s="154" t="str">
        <f>IFERROR(ComTotTME24[[#This Row],[2024]]/ComTotTME24[[#This Row],[2023]]-1,"NA")</f>
        <v>NA</v>
      </c>
      <c r="G53" s="152" t="s">
        <v>336</v>
      </c>
      <c r="H53" s="240" t="str">
        <f>IFERROR(((SUMIFS(AN_TME_BY[[#All],[TOTAL Truncated Unadjusted Expenses (A22 + A23)]],AN_TME_BY[[#All],[Insurance Category Code]],2,AN_TME_BY[[#All],[Advanced Network/Insurance Carrier Org ID]],100)-ABS(SUMIF(RX_REBATES_BY[[#All],[Insurance Category Code]],2,RX_REBATES_BY[[#All],[Total Pharmacy Rebates]]))))/H29,"NA")</f>
        <v>NA</v>
      </c>
      <c r="I53" s="240" t="str">
        <f>IFERROR(((SUMIFS(AN_TME_PY[[#All],[TOTAL Truncated Unadjusted Expenses (A22 + A23)]],AN_TME_PY[[#All],[Insurance Category Code]],2,AN_TME_PY[[#All],[Advanced Network/Insurance Carrier Org ID]],100)-ABS(SUMIF(RX_REBATES_PY[[#All],[Insurance Category Code]],2,RX_REBATES_PY[[#All],[Total Pharmacy Rebates]]))))/I29,"NA")</f>
        <v>NA</v>
      </c>
      <c r="J53" s="72" t="str">
        <f>IFERROR(ICC3TME39[[#This Row],[2024]]/ICC3TME39[[#This Row],[2023]]-1,"NA")</f>
        <v>NA</v>
      </c>
      <c r="L53" s="152" t="s">
        <v>336</v>
      </c>
      <c r="M53" s="240" t="str">
        <f>IFERROR(((SUMIFS(AN_TME_BY[[#All],[TOTAL Truncated Unadjusted Expenses (A22 + A23)]],AN_TME_BY[[#All],[Insurance Category Code]],6,AN_TME_BY[[#All],[Advanced Network/Insurance Carrier Org ID]],100)-ABS(SUMIF(RX_REBATES_BY[[#All],[Insurance Category Code]],6,RX_REBATES_BY[[#All],[Total Pharmacy Rebates]]))))/M29,"NA")</f>
        <v>NA</v>
      </c>
      <c r="N53" s="240" t="str">
        <f>IFERROR(((SUMIFS(AN_TME_PY[[#All],[TOTAL Truncated Unadjusted Expenses (A22 + A23)]],AN_TME_PY[[#All],[Insurance Category Code]],6,AN_TME_PY[[#All],[Advanced Network/Insurance Carrier Org ID]],100)-ABS(SUMIF(RX_REBATES_PY[[#All],[Insurance Category Code]],6,RX_REBATES_PY[[#All],[Total Pharmacy Rebates]]))))/N29,"NA")</f>
        <v>NA</v>
      </c>
      <c r="O53" s="154" t="str">
        <f>IFERROR(ICC4TME40[[#This Row],[2024]]/ICC4TME40[[#This Row],[2023]]-1,"NA")</f>
        <v>NA</v>
      </c>
    </row>
    <row r="57" spans="2:15" x14ac:dyDescent="0.25">
      <c r="H57" s="151"/>
    </row>
  </sheetData>
  <sheetProtection algorithmName="SHA-512" hashValue="mrpt5deH3KsFbEewuKoFqOqjPSNGa4XM7mJaz8nNzgeZGUDxH+zD/zvySeUso6zN7XvQqBZQ98ZXNrEPvQDuSw==" saltValue="kee4dEs1BEj8kEWT3rbtBg==" spinCount="100000" sheet="1" objects="1" scenarios="1"/>
  <mergeCells count="1">
    <mergeCell ref="B3:J3"/>
  </mergeCells>
  <pageMargins left="0.7" right="0.7" top="0.75" bottom="0.75" header="0.3" footer="0.3"/>
  <pageSetup orientation="portrait" horizontalDpi="1200" verticalDpi="1200" r:id="rId1"/>
  <tableParts count="8">
    <tablePart r:id="rId2"/>
    <tablePart r:id="rId3"/>
    <tablePart r:id="rId4"/>
    <tablePart r:id="rId5"/>
    <tablePart r:id="rId6"/>
    <tablePart r:id="rId7"/>
    <tablePart r:id="rId8"/>
    <tablePart r:id="rId9"/>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69059-69FF-4EAB-9784-DF35FCE9CE69}">
  <sheetPr>
    <tabColor rgb="FFF79646"/>
  </sheetPr>
  <dimension ref="A2:AV45"/>
  <sheetViews>
    <sheetView zoomScale="85" zoomScaleNormal="85" workbookViewId="0"/>
  </sheetViews>
  <sheetFormatPr defaultRowHeight="15" x14ac:dyDescent="0.25"/>
  <cols>
    <col min="1" max="1" width="3.85546875" customWidth="1"/>
    <col min="2" max="2" width="17.85546875" customWidth="1"/>
    <col min="3" max="3" width="65" style="30" customWidth="1"/>
    <col min="4" max="4" width="26.7109375" customWidth="1"/>
    <col min="5" max="78" width="24.28515625" customWidth="1"/>
  </cols>
  <sheetData>
    <row r="2" spans="1:48" ht="18.75" x14ac:dyDescent="0.3">
      <c r="B2" s="81" t="s">
        <v>337</v>
      </c>
    </row>
    <row r="3" spans="1:48" ht="36.75" customHeight="1" x14ac:dyDescent="0.25">
      <c r="B3" s="339" t="s">
        <v>338</v>
      </c>
      <c r="C3" s="339"/>
      <c r="D3" s="339"/>
      <c r="E3" s="339"/>
      <c r="F3" s="339"/>
      <c r="G3" s="339"/>
      <c r="H3" s="339"/>
      <c r="I3" s="339"/>
      <c r="J3" s="339"/>
      <c r="K3" s="339"/>
      <c r="L3" s="339"/>
      <c r="M3" s="339"/>
      <c r="N3" s="339"/>
      <c r="O3" s="339"/>
    </row>
    <row r="6" spans="1:48" ht="16.5" thickBot="1" x14ac:dyDescent="0.3">
      <c r="B6" s="47" t="s">
        <v>339</v>
      </c>
      <c r="C6" s="276"/>
    </row>
    <row r="7" spans="1:48" x14ac:dyDescent="0.25">
      <c r="B7" s="345" t="s">
        <v>340</v>
      </c>
      <c r="C7" s="346"/>
      <c r="D7" s="347">
        <v>2023</v>
      </c>
      <c r="E7" s="348"/>
      <c r="F7" s="348"/>
      <c r="G7" s="348"/>
      <c r="H7" s="348"/>
      <c r="I7" s="348"/>
      <c r="J7" s="348"/>
      <c r="K7" s="348"/>
      <c r="L7" s="348"/>
      <c r="M7" s="348"/>
      <c r="N7" s="348"/>
      <c r="O7" s="348"/>
      <c r="P7" s="348"/>
      <c r="Q7" s="348"/>
      <c r="R7" s="348"/>
      <c r="S7" s="347">
        <v>2024</v>
      </c>
      <c r="T7" s="348"/>
      <c r="U7" s="348"/>
      <c r="V7" s="348"/>
      <c r="W7" s="348"/>
      <c r="X7" s="348"/>
      <c r="Y7" s="348"/>
      <c r="Z7" s="348"/>
      <c r="AA7" s="348"/>
      <c r="AB7" s="348"/>
      <c r="AC7" s="348"/>
      <c r="AD7" s="348"/>
      <c r="AE7" s="348"/>
      <c r="AF7" s="348"/>
      <c r="AG7" s="349"/>
      <c r="AH7" s="340" t="s">
        <v>313</v>
      </c>
      <c r="AI7" s="341"/>
      <c r="AJ7" s="342"/>
      <c r="AK7" s="342"/>
      <c r="AL7" s="342"/>
      <c r="AM7" s="342"/>
      <c r="AN7" s="342"/>
      <c r="AO7" s="342"/>
      <c r="AP7" s="342"/>
      <c r="AQ7" s="342"/>
      <c r="AR7" s="343"/>
      <c r="AS7" s="343"/>
      <c r="AT7" s="343"/>
      <c r="AU7" s="343"/>
      <c r="AV7" s="344"/>
    </row>
    <row r="8" spans="1:48" ht="45" x14ac:dyDescent="0.25">
      <c r="B8" s="170" t="s">
        <v>341</v>
      </c>
      <c r="C8" s="174" t="s">
        <v>342</v>
      </c>
      <c r="D8" s="170" t="s">
        <v>242</v>
      </c>
      <c r="E8" s="171" t="s">
        <v>132</v>
      </c>
      <c r="F8" s="172" t="s">
        <v>134</v>
      </c>
      <c r="G8" s="172" t="s">
        <v>136</v>
      </c>
      <c r="H8" s="172" t="s">
        <v>343</v>
      </c>
      <c r="I8" s="172" t="s">
        <v>140</v>
      </c>
      <c r="J8" s="172" t="s">
        <v>142</v>
      </c>
      <c r="K8" s="172" t="s">
        <v>344</v>
      </c>
      <c r="L8" s="172" t="s">
        <v>345</v>
      </c>
      <c r="M8" s="172" t="s">
        <v>148</v>
      </c>
      <c r="N8" s="173" t="s">
        <v>346</v>
      </c>
      <c r="O8" s="173" t="s">
        <v>347</v>
      </c>
      <c r="P8" s="173" t="s">
        <v>245</v>
      </c>
      <c r="Q8" s="173" t="s">
        <v>348</v>
      </c>
      <c r="R8" s="173" t="s">
        <v>349</v>
      </c>
      <c r="S8" s="170" t="s">
        <v>242</v>
      </c>
      <c r="T8" s="171" t="s">
        <v>132</v>
      </c>
      <c r="U8" s="172" t="s">
        <v>134</v>
      </c>
      <c r="V8" s="172" t="s">
        <v>136</v>
      </c>
      <c r="W8" s="172" t="s">
        <v>343</v>
      </c>
      <c r="X8" s="172" t="s">
        <v>140</v>
      </c>
      <c r="Y8" s="172" t="s">
        <v>142</v>
      </c>
      <c r="Z8" s="172" t="s">
        <v>344</v>
      </c>
      <c r="AA8" s="172" t="s">
        <v>345</v>
      </c>
      <c r="AB8" s="172" t="s">
        <v>148</v>
      </c>
      <c r="AC8" s="173" t="s">
        <v>346</v>
      </c>
      <c r="AD8" s="173" t="s">
        <v>347</v>
      </c>
      <c r="AE8" s="173" t="s">
        <v>245</v>
      </c>
      <c r="AF8" s="173" t="s">
        <v>348</v>
      </c>
      <c r="AG8" s="174" t="s">
        <v>349</v>
      </c>
      <c r="AH8" s="170" t="s">
        <v>242</v>
      </c>
      <c r="AI8" s="171" t="s">
        <v>132</v>
      </c>
      <c r="AJ8" s="172" t="s">
        <v>134</v>
      </c>
      <c r="AK8" s="172" t="s">
        <v>136</v>
      </c>
      <c r="AL8" s="172" t="s">
        <v>343</v>
      </c>
      <c r="AM8" s="172" t="s">
        <v>140</v>
      </c>
      <c r="AN8" s="172" t="s">
        <v>142</v>
      </c>
      <c r="AO8" s="172" t="s">
        <v>344</v>
      </c>
      <c r="AP8" s="172" t="s">
        <v>345</v>
      </c>
      <c r="AQ8" s="172" t="s">
        <v>148</v>
      </c>
      <c r="AR8" s="173" t="s">
        <v>346</v>
      </c>
      <c r="AS8" s="173" t="s">
        <v>347</v>
      </c>
      <c r="AT8" s="173" t="s">
        <v>245</v>
      </c>
      <c r="AU8" s="173" t="s">
        <v>348</v>
      </c>
      <c r="AV8" s="174" t="s">
        <v>349</v>
      </c>
    </row>
    <row r="9" spans="1:48" ht="15" customHeight="1" x14ac:dyDescent="0.25">
      <c r="A9" s="175"/>
      <c r="B9" s="181">
        <v>101</v>
      </c>
      <c r="C9" s="155" t="str">
        <f>_xlfn.XLOOKUP(B9,LgProvEntOrgIDs[Advanced Network/Insurer Carrier Org ID],LgProvEntOrgIDs[Advanced Network/Insurance Carrier Overall])</f>
        <v>Privia Quality Network of Connecticut (PQN CT) (formerly Community Medical Group)</v>
      </c>
      <c r="D9" s="242">
        <f>SUMIFS(AN_TME_BY[[#All],[Member Months]],AN_TME_BY[[#All],[Insurance Category Code]],2,AN_TME_BY[[#All],[Advanced Network/Insurance Carrier Org ID]],B9)</f>
        <v>0</v>
      </c>
      <c r="E9" s="156" t="str">
        <f>IF(D9=0,"NA",SUMIFS(AN_TME_BY[[#All],[Claims: Hospital Inpatient]],AN_TME_BY[[#All],[Insurance Category Code]],2,AN_TME_BY[[#All],[Advanced Network/Insurance Carrier Org ID]],B9)/D9)</f>
        <v>NA</v>
      </c>
      <c r="F9" s="59" t="str">
        <f>IF(D9=0,"NA",SUMIFS(AN_TME_BY[[#All],[Claims: Hospital Outpatient]],AN_TME_BY[[#All],[Insurance Category Code]],2,AN_TME_BY[[#All],[Advanced Network/Insurance Carrier Org ID]],B9)/D9)</f>
        <v>NA</v>
      </c>
      <c r="G9" s="59" t="str">
        <f>IF(D9=0,"NA",SUMIFS(AN_TME_BY[[#All],[Claims: Professional, Primary Care]],AN_TME_BY[[#All],[Insurance Category Code]],2,AN_TME_BY[[#All],[Advanced Network/Insurance Carrier Org ID]],B9)/D9)</f>
        <v>NA</v>
      </c>
      <c r="H9" s="59" t="str">
        <f>IF(D9=0,"NA",SUMIFS(AN_TME_BY[[#All],[Claims: Professional, Primary Care (for Monitoring Purposes)]],AN_TME_BY[[#All],[Insurance Category Code]],2,AN_TME_BY[[#All],[Advanced Network/Insurance Carrier Org ID]],B9)/D9)</f>
        <v>NA</v>
      </c>
      <c r="I9" s="59" t="str">
        <f>IF(D9=0,"NA",SUMIFS(AN_TME_BY[[#All],[Claims: Professional, Specialty]],AN_TME_BY[[#All],[Insurance Category Code]],2,AN_TME_BY[[#All],[Advanced Network/Insurance Carrier Org ID]],B9)/D9)</f>
        <v>NA</v>
      </c>
      <c r="J9" s="59" t="str">
        <f>IF(D9=0,"NA",SUMIFS(AN_TME_BY[[#All],[Claims: Professional Other]],AN_TME_BY[[#All],[Insurance Category Code]],2,AN_TME_BY[[#All],[Advanced Network/Insurance Carrier Org ID]],B9)/D9)</f>
        <v>NA</v>
      </c>
      <c r="K9" s="59" t="str">
        <f>IF(D9=0,"NA",SUMIFS(AN_TME_BY[[#All],[Claims: Pharmacy]],AN_TME_BY[[#All],[Insurance Category Code]],2,AN_TME_BY[[#All],[Advanced Network/Insurance Carrier Org ID]],B9)/D9)</f>
        <v>NA</v>
      </c>
      <c r="L9" s="59" t="str">
        <f>IF(D9=0,"NA",SUMIFS(AN_TME_BY[[#All],[Claims: Long-Term Care]],AN_TME_BY[[#All],[Insurance Category Code]],2,AN_TME_BY[[#All],[Advanced Network/Insurance Carrier Org ID]],B9)/D9)</f>
        <v>NA</v>
      </c>
      <c r="M9" s="59" t="str">
        <f>IF(D9=0,"NA",SUMIFS(AN_TME_BY[[#All],[Claims: Other]],AN_TME_BY[[#All],[Insurance Category Code]],2,AN_TME_BY[[#All],[Advanced Network/Insurance Carrier Org ID]],B9)/D9)</f>
        <v>NA</v>
      </c>
      <c r="N9" s="158" t="str">
        <f>IF(D9=0,"NA",SUMIFS(AN_TME_BY[[#All],[TOTAL Non-Truncated Unadjusted Claims Expenses]],AN_TME_BY[[#All],[Insurance Category Code]],2,AN_TME_BY[[#All],[Advanced Network/Insurance Carrier Org ID]],B9)/D9)</f>
        <v>NA</v>
      </c>
      <c r="O9" s="158" t="str">
        <f>IF(D9=0,"NA",SUMIFS(AN_TME_BY[[#All],[TOTAL Truncated Unadjusted Claims Expenses (A21 -A19)]],AN_TME_BY[[#All],[Insurance Category Code]],2,AN_TME_BY[[#All],[Advanced Network/Insurance Carrier Org ID]],B9)/D9)</f>
        <v>NA</v>
      </c>
      <c r="P9" s="158" t="str">
        <f>IF(D9=0,"NA",SUMIFS(AN_TME_BY[[#All],[TOTAL Non-Claims Expenses]],AN_TME_BY[[#All],[Insurance Category Code]],2,AN_TME_BY[[#All],[Advanced Network/Insurance Carrier Org ID]],B9)/D9)</f>
        <v>NA</v>
      </c>
      <c r="Q9" s="158" t="str">
        <f>IF(D9=0,"NA",SUMIFS(AN_TME_BY[[#All],[TOTAL Non-Truncated Unadjusted Expenses (A21 + A23)]],AN_TME_BY[[#All],[Insurance Category Code]],2,AN_TME_BY[[#All],[Advanced Network/Insurance Carrier Org ID]],B9)/D9)</f>
        <v>NA</v>
      </c>
      <c r="R9" s="158" t="str">
        <f>IF(D9=0,"NA",SUMIFS(AN_TME_BY[[#All],[TOTAL Truncated Unadjusted Expenses (A22 + A23)]],AN_TME_BY[[#All],[Insurance Category Code]],2,AN_TME_BY[[#All],[Advanced Network/Insurance Carrier Org ID]],B9)/D9)</f>
        <v>NA</v>
      </c>
      <c r="S9" s="242">
        <f>SUMIFS(AN_TME_PY[[#All],[Member Months]],AN_TME_PY[[#All],[Insurance Category Code]],2,AN_TME_PY[[#All],[Advanced Network/Insurance Carrier Org ID]],B9)</f>
        <v>0</v>
      </c>
      <c r="T9" s="156" t="str">
        <f>IF(S9=0,"NA",SUMIFS(AN_TME_PY[[#All],[Claims: Hospital Inpatient]],AN_TME_PY[[#All],[Insurance Category Code]],2,AN_TME_PY[[#All],[Advanced Network/Insurance Carrier Org ID]],B9)/S9)</f>
        <v>NA</v>
      </c>
      <c r="U9" s="59" t="str">
        <f>IF(S9=0,"NA",SUMIFS(AN_TME_PY[[#All],[Claims: Hospital Outpatient]],AN_TME_PY[[#All],[Insurance Category Code]],2,AN_TME_PY[[#All],[Advanced Network/Insurance Carrier Org ID]],B9)/S9)</f>
        <v>NA</v>
      </c>
      <c r="V9" s="59" t="str">
        <f>IF(S9=0,"NA",SUMIFS(AN_TME_PY[[#All],[Claims: Professional, Primary Care]],AN_TME_PY[[#All],[Insurance Category Code]],2,AN_TME_PY[[#All],[Advanced Network/Insurance Carrier Org ID]],B9)/S9)</f>
        <v>NA</v>
      </c>
      <c r="W9" s="59" t="str">
        <f>IF(S9=0,"NA",SUMIFS(AN_TME_PY[[#All],[Claims: Professional, Primary Care (for Monitoring Purposes)]],AN_TME_PY[[#All],[Insurance Category Code]],2,AN_TME_PY[[#All],[Advanced Network/Insurance Carrier Org ID]],B9)/S9)</f>
        <v>NA</v>
      </c>
      <c r="X9" s="59" t="str">
        <f>IF(S9=0,"NA",SUMIFS(AN_TME_PY[[#All],[Claims: Professional, Specialty]],AN_TME_PY[[#All],[Insurance Category Code]],2,AN_TME_PY[[#All],[Advanced Network/Insurance Carrier Org ID]],B9)/S9)</f>
        <v>NA</v>
      </c>
      <c r="Y9" s="59" t="str">
        <f>IF(S9=0,"NA",SUMIFS(AN_TME_PY[[#All],[Claims: Professional Other]],AN_TME_PY[[#All],[Insurance Category Code]],2,AN_TME_PY[[#All],[Advanced Network/Insurance Carrier Org ID]],B9)/S9)</f>
        <v>NA</v>
      </c>
      <c r="Z9" s="59" t="str">
        <f>IF(S9=0,"NA",SUMIFS(AN_TME_PY[[#All],[Claims: Pharmacy]],AN_TME_PY[[#All],[Insurance Category Code]],2,AN_TME_PY[[#All],[Advanced Network/Insurance Carrier Org ID]],B9)/S9)</f>
        <v>NA</v>
      </c>
      <c r="AA9" s="59" t="str">
        <f>IF(S9=0,"NA",SUMIFS(AN_TME_PY[[#All],[Claims: Long-Term Care]],AN_TME_PY[[#All],[Insurance Category Code]],2,AN_TME_PY[[#All],[Advanced Network/Insurance Carrier Org ID]],B9)/S9)</f>
        <v>NA</v>
      </c>
      <c r="AB9" s="59" t="str">
        <f>IF(S9=0,"NA",SUMIFS(AN_TME_PY[[#All],[Claims: Other]],AN_TME_PY[[#All],[Insurance Category Code]],2,AN_TME_PY[[#All],[Advanced Network/Insurance Carrier Org ID]],B9)/S9)</f>
        <v>NA</v>
      </c>
      <c r="AC9" s="158" t="str">
        <f>IF(S9=0,"NA",SUMIFS(AN_TME_PY[[#All],[TOTAL Non-Truncated Unadjusted Claims Expenses]],AN_TME_PY[[#All],[Insurance Category Code]],2,AN_TME_PY[[#All],[Advanced Network/Insurance Carrier Org ID]],B9)/S9)</f>
        <v>NA</v>
      </c>
      <c r="AD9" s="158" t="str">
        <f>IF(S9=0,"NA",SUMIFS(AN_TME_PY[[#All],[TOTAL Truncated Unadjusted Claims Expenses (A21 -A19)]],AN_TME_PY[[#All],[Insurance Category Code]],2,AN_TME_PY[[#All],[Advanced Network/Insurance Carrier Org ID]],B9)/S9)</f>
        <v>NA</v>
      </c>
      <c r="AE9" s="158" t="str">
        <f>IF(S9=0,"NA",SUMIFS(AN_TME_PY[[#All],[TOTAL Non-Claims Expenses]],AN_TME_PY[[#All],[Insurance Category Code]],2,AN_TME_PY[[#All],[Advanced Network/Insurance Carrier Org ID]],B9)/S9)</f>
        <v>NA</v>
      </c>
      <c r="AF9" s="158" t="str">
        <f>IF(S9=0,"NA",SUMIFS(AN_TME_PY[[#All],[TOTAL Non-Truncated Unadjusted Expenses (A21 + A23)]],AN_TME_PY[[#All],[Insurance Category Code]],2,AN_TME_PY[[#All],[Advanced Network/Insurance Carrier Org ID]],B9)/S9)</f>
        <v>NA</v>
      </c>
      <c r="AG9" s="157" t="str">
        <f>IF(S9=0,"NA",SUMIFS(AN_TME_PY[[#All],[TOTAL Truncated Unadjusted Expenses (A22 + A23)]],AN_TME_PY[[#All],[Insurance Category Code]],2,AN_TME_PY[[#All],[Advanced Network/Insurance Carrier Org ID]],B9)/S9)</f>
        <v>NA</v>
      </c>
      <c r="AH9" s="245" t="str">
        <f t="shared" ref="AH9:AH17" si="0">IF(D9=0,"NA",S9/D9-1)</f>
        <v>NA</v>
      </c>
      <c r="AI9" s="246" t="str">
        <f t="shared" ref="AI9:AI17" si="1">IF(D9=0,"NA",T9/E9-1)</f>
        <v>NA</v>
      </c>
      <c r="AJ9" s="247" t="str">
        <f t="shared" ref="AJ9:AJ17" si="2">IF(D9=0,"NA",U9/F9-1)</f>
        <v>NA</v>
      </c>
      <c r="AK9" s="247" t="str">
        <f t="shared" ref="AK9:AK17" si="3">IF(D9=0,"NA",V9/G9-1)</f>
        <v>NA</v>
      </c>
      <c r="AL9" s="247" t="str">
        <f t="shared" ref="AL9:AL17" si="4">IF(D9=0,"NA",W9/H9-1)</f>
        <v>NA</v>
      </c>
      <c r="AM9" s="247" t="str">
        <f t="shared" ref="AM9:AM17" si="5">IF(D9=0,"NA",X9/I9-1)</f>
        <v>NA</v>
      </c>
      <c r="AN9" s="247" t="str">
        <f t="shared" ref="AN9:AN17" si="6">IF(D9=0,"NA",Y9/J9-1)</f>
        <v>NA</v>
      </c>
      <c r="AO9" s="247" t="str">
        <f t="shared" ref="AO9:AO17" si="7">IF(D9=0,"NA",Z9/K9-1)</f>
        <v>NA</v>
      </c>
      <c r="AP9" s="247" t="str">
        <f t="shared" ref="AP9:AP17" si="8">IF(D9=0,"NA",AA9/L9-1)</f>
        <v>NA</v>
      </c>
      <c r="AQ9" s="247" t="str">
        <f t="shared" ref="AQ9:AQ17" si="9">IF(D9=0,"NA",AB9/M9-1)</f>
        <v>NA</v>
      </c>
      <c r="AR9" s="248" t="str">
        <f t="shared" ref="AR9:AR17" si="10">IF(D9=0,"NA",AC9/N9-1)</f>
        <v>NA</v>
      </c>
      <c r="AS9" s="248" t="str">
        <f t="shared" ref="AS9:AS17" si="11">IF(D9=0,"NA",AD9/O9-1)</f>
        <v>NA</v>
      </c>
      <c r="AT9" s="248" t="str">
        <f t="shared" ref="AT9:AT17" si="12">IF(D9=0,"NA",AE9/P9-1)</f>
        <v>NA</v>
      </c>
      <c r="AU9" s="248" t="str">
        <f t="shared" ref="AU9:AU17" si="13">IF(D9=0,"NA",AF9/Q9-1)</f>
        <v>NA</v>
      </c>
      <c r="AV9" s="249" t="str">
        <f t="shared" ref="AV9:AV17" si="14">IF(D9=0,"NA",AG9/R9-1)</f>
        <v>NA</v>
      </c>
    </row>
    <row r="10" spans="1:48" ht="15" customHeight="1" x14ac:dyDescent="0.25">
      <c r="A10" s="175"/>
      <c r="B10" s="181">
        <v>102</v>
      </c>
      <c r="C10" s="155" t="str">
        <f>_xlfn.XLOOKUP(B10,LgProvEntOrgIDs[Advanced Network/Insurer Carrier Org ID],LgProvEntOrgIDs[Advanced Network/Insurance Carrier Overall])</f>
        <v>Connecticut Children's Care Network</v>
      </c>
      <c r="D10" s="242">
        <f>SUMIFS(AN_TME_BY[[#All],[Member Months]],AN_TME_BY[[#All],[Insurance Category Code]],2,AN_TME_BY[[#All],[Advanced Network/Insurance Carrier Org ID]],B10)</f>
        <v>0</v>
      </c>
      <c r="E10" s="156" t="str">
        <f>IF(D10=0,"NA",SUMIFS(AN_TME_BY[[#All],[Claims: Hospital Inpatient]],AN_TME_BY[[#All],[Insurance Category Code]],2,AN_TME_BY[[#All],[Advanced Network/Insurance Carrier Org ID]],B10)/D10)</f>
        <v>NA</v>
      </c>
      <c r="F10" s="59" t="str">
        <f>IF(D10=0,"NA",SUMIFS(AN_TME_BY[[#All],[Claims: Hospital Outpatient]],AN_TME_BY[[#All],[Insurance Category Code]],2,AN_TME_BY[[#All],[Advanced Network/Insurance Carrier Org ID]],B10)/D10)</f>
        <v>NA</v>
      </c>
      <c r="G10" s="59" t="str">
        <f>IF(D10=0,"NA",SUMIFS(AN_TME_BY[[#All],[Claims: Professional, Primary Care]],AN_TME_BY[[#All],[Insurance Category Code]],2,AN_TME_BY[[#All],[Advanced Network/Insurance Carrier Org ID]],B10)/D10)</f>
        <v>NA</v>
      </c>
      <c r="H10" s="59" t="str">
        <f>IF(D10=0,"NA",SUMIFS(AN_TME_BY[[#All],[Claims: Professional, Primary Care (for Monitoring Purposes)]],AN_TME_BY[[#All],[Insurance Category Code]],2,AN_TME_BY[[#All],[Advanced Network/Insurance Carrier Org ID]],B10)/D10)</f>
        <v>NA</v>
      </c>
      <c r="I10" s="59" t="str">
        <f>IF(D10=0,"NA",SUMIFS(AN_TME_BY[[#All],[Claims: Professional, Specialty]],AN_TME_BY[[#All],[Insurance Category Code]],2,AN_TME_BY[[#All],[Advanced Network/Insurance Carrier Org ID]],B10)/D10)</f>
        <v>NA</v>
      </c>
      <c r="J10" s="59" t="str">
        <f>IF(D10=0,"NA",SUMIFS(AN_TME_BY[[#All],[Claims: Professional Other]],AN_TME_BY[[#All],[Insurance Category Code]],2,AN_TME_BY[[#All],[Advanced Network/Insurance Carrier Org ID]],B10)/D10)</f>
        <v>NA</v>
      </c>
      <c r="K10" s="59" t="str">
        <f>IF(D10=0,"NA",SUMIFS(AN_TME_BY[[#All],[Claims: Pharmacy]],AN_TME_BY[[#All],[Insurance Category Code]],2,AN_TME_BY[[#All],[Advanced Network/Insurance Carrier Org ID]],B10)/D10)</f>
        <v>NA</v>
      </c>
      <c r="L10" s="59" t="str">
        <f>IF(D10=0,"NA",SUMIFS(AN_TME_BY[[#All],[Claims: Long-Term Care]],AN_TME_BY[[#All],[Insurance Category Code]],2,AN_TME_BY[[#All],[Advanced Network/Insurance Carrier Org ID]],B10)/D10)</f>
        <v>NA</v>
      </c>
      <c r="M10" s="59" t="str">
        <f>IF(D10=0,"NA",SUMIFS(AN_TME_BY[[#All],[Claims: Other]],AN_TME_BY[[#All],[Insurance Category Code]],2,AN_TME_BY[[#All],[Advanced Network/Insurance Carrier Org ID]],B10)/D10)</f>
        <v>NA</v>
      </c>
      <c r="N10" s="158" t="str">
        <f>IF(D10=0,"NA",SUMIFS(AN_TME_BY[[#All],[TOTAL Non-Truncated Unadjusted Claims Expenses]],AN_TME_BY[[#All],[Insurance Category Code]],2,AN_TME_BY[[#All],[Advanced Network/Insurance Carrier Org ID]],B10)/D10)</f>
        <v>NA</v>
      </c>
      <c r="O10" s="158" t="str">
        <f>IF(D10=0,"NA",SUMIFS(AN_TME_BY[[#All],[TOTAL Truncated Unadjusted Claims Expenses (A21 -A19)]],AN_TME_BY[[#All],[Insurance Category Code]],2,AN_TME_BY[[#All],[Advanced Network/Insurance Carrier Org ID]],B10)/D10)</f>
        <v>NA</v>
      </c>
      <c r="P10" s="158" t="str">
        <f>IF(D10=0,"NA",SUMIFS(AN_TME_BY[[#All],[TOTAL Non-Claims Expenses]],AN_TME_BY[[#All],[Insurance Category Code]],2,AN_TME_BY[[#All],[Advanced Network/Insurance Carrier Org ID]],B10)/D10)</f>
        <v>NA</v>
      </c>
      <c r="Q10" s="158" t="str">
        <f>IF(D10=0,"NA",SUMIFS(AN_TME_BY[[#All],[TOTAL Non-Truncated Unadjusted Expenses (A21 + A23)]],AN_TME_BY[[#All],[Insurance Category Code]],2,AN_TME_BY[[#All],[Advanced Network/Insurance Carrier Org ID]],B10)/D10)</f>
        <v>NA</v>
      </c>
      <c r="R10" s="158" t="str">
        <f>IF(D10=0,"NA",SUMIFS(AN_TME_BY[[#All],[TOTAL Truncated Unadjusted Expenses (A22 + A23)]],AN_TME_BY[[#All],[Insurance Category Code]],2,AN_TME_BY[[#All],[Advanced Network/Insurance Carrier Org ID]],B10)/D10)</f>
        <v>NA</v>
      </c>
      <c r="S10" s="242">
        <f>SUMIFS(AN_TME_PY[[#All],[Member Months]],AN_TME_PY[[#All],[Insurance Category Code]],2,AN_TME_PY[[#All],[Advanced Network/Insurance Carrier Org ID]],B10)</f>
        <v>0</v>
      </c>
      <c r="T10" s="156" t="str">
        <f>IF(S10=0,"NA",SUMIFS(AN_TME_PY[[#All],[Claims: Hospital Inpatient]],AN_TME_PY[[#All],[Insurance Category Code]],2,AN_TME_PY[[#All],[Advanced Network/Insurance Carrier Org ID]],B10)/S10)</f>
        <v>NA</v>
      </c>
      <c r="U10" s="59" t="str">
        <f>IF(S10=0,"NA",SUMIFS(AN_TME_PY[[#All],[Claims: Hospital Outpatient]],AN_TME_PY[[#All],[Insurance Category Code]],2,AN_TME_PY[[#All],[Advanced Network/Insurance Carrier Org ID]],B10)/S10)</f>
        <v>NA</v>
      </c>
      <c r="V10" s="59" t="str">
        <f>IF(S10=0,"NA",SUMIFS(AN_TME_PY[[#All],[Claims: Professional, Primary Care]],AN_TME_PY[[#All],[Insurance Category Code]],2,AN_TME_PY[[#All],[Advanced Network/Insurance Carrier Org ID]],B10)/S10)</f>
        <v>NA</v>
      </c>
      <c r="W10" s="59" t="str">
        <f>IF(S10=0,"NA",SUMIFS(AN_TME_PY[[#All],[Claims: Professional, Primary Care (for Monitoring Purposes)]],AN_TME_PY[[#All],[Insurance Category Code]],2,AN_TME_PY[[#All],[Advanced Network/Insurance Carrier Org ID]],B10)/S10)</f>
        <v>NA</v>
      </c>
      <c r="X10" s="59" t="str">
        <f>IF(S10=0,"NA",SUMIFS(AN_TME_PY[[#All],[Claims: Professional, Specialty]],AN_TME_PY[[#All],[Insurance Category Code]],2,AN_TME_PY[[#All],[Advanced Network/Insurance Carrier Org ID]],B10)/S10)</f>
        <v>NA</v>
      </c>
      <c r="Y10" s="59" t="str">
        <f>IF(S10=0,"NA",SUMIFS(AN_TME_PY[[#All],[Claims: Professional Other]],AN_TME_PY[[#All],[Insurance Category Code]],2,AN_TME_PY[[#All],[Advanced Network/Insurance Carrier Org ID]],B10)/S10)</f>
        <v>NA</v>
      </c>
      <c r="Z10" s="59" t="str">
        <f>IF(S10=0,"NA",SUMIFS(AN_TME_PY[[#All],[Claims: Pharmacy]],AN_TME_PY[[#All],[Insurance Category Code]],2,AN_TME_PY[[#All],[Advanced Network/Insurance Carrier Org ID]],B10)/S10)</f>
        <v>NA</v>
      </c>
      <c r="AA10" s="59" t="str">
        <f>IF(S10=0,"NA",SUMIFS(AN_TME_PY[[#All],[Claims: Long-Term Care]],AN_TME_PY[[#All],[Insurance Category Code]],2,AN_TME_PY[[#All],[Advanced Network/Insurance Carrier Org ID]],B10)/S10)</f>
        <v>NA</v>
      </c>
      <c r="AB10" s="59" t="str">
        <f>IF(S10=0,"NA",SUMIFS(AN_TME_PY[[#All],[Claims: Other]],AN_TME_PY[[#All],[Insurance Category Code]],2,AN_TME_PY[[#All],[Advanced Network/Insurance Carrier Org ID]],B10)/S10)</f>
        <v>NA</v>
      </c>
      <c r="AC10" s="158" t="str">
        <f>IF(S10=0,"NA",SUMIFS(AN_TME_PY[[#All],[TOTAL Non-Truncated Unadjusted Claims Expenses]],AN_TME_PY[[#All],[Insurance Category Code]],2,AN_TME_PY[[#All],[Advanced Network/Insurance Carrier Org ID]],B10)/S10)</f>
        <v>NA</v>
      </c>
      <c r="AD10" s="158" t="str">
        <f>IF(S10=0,"NA",SUMIFS(AN_TME_PY[[#All],[TOTAL Truncated Unadjusted Claims Expenses (A21 -A19)]],AN_TME_PY[[#All],[Insurance Category Code]],2,AN_TME_PY[[#All],[Advanced Network/Insurance Carrier Org ID]],B10)/S10)</f>
        <v>NA</v>
      </c>
      <c r="AE10" s="158" t="str">
        <f>IF(S10=0,"NA",SUMIFS(AN_TME_PY[[#All],[TOTAL Non-Claims Expenses]],AN_TME_PY[[#All],[Insurance Category Code]],2,AN_TME_PY[[#All],[Advanced Network/Insurance Carrier Org ID]],B10)/S10)</f>
        <v>NA</v>
      </c>
      <c r="AF10" s="158" t="str">
        <f>IF(S10=0,"NA",SUMIFS(AN_TME_PY[[#All],[TOTAL Non-Truncated Unadjusted Expenses (A21 + A23)]],AN_TME_PY[[#All],[Insurance Category Code]],2,AN_TME_PY[[#All],[Advanced Network/Insurance Carrier Org ID]],B10)/S10)</f>
        <v>NA</v>
      </c>
      <c r="AG10" s="157" t="str">
        <f>IF(S10=0,"NA",SUMIFS(AN_TME_PY[[#All],[TOTAL Truncated Unadjusted Expenses (A22 + A23)]],AN_TME_PY[[#All],[Insurance Category Code]],2,AN_TME_PY[[#All],[Advanced Network/Insurance Carrier Org ID]],B10)/S10)</f>
        <v>NA</v>
      </c>
      <c r="AH10" s="245" t="str">
        <f t="shared" si="0"/>
        <v>NA</v>
      </c>
      <c r="AI10" s="246" t="str">
        <f t="shared" si="1"/>
        <v>NA</v>
      </c>
      <c r="AJ10" s="247" t="str">
        <f t="shared" si="2"/>
        <v>NA</v>
      </c>
      <c r="AK10" s="247" t="str">
        <f t="shared" si="3"/>
        <v>NA</v>
      </c>
      <c r="AL10" s="247" t="str">
        <f t="shared" si="4"/>
        <v>NA</v>
      </c>
      <c r="AM10" s="247" t="str">
        <f t="shared" si="5"/>
        <v>NA</v>
      </c>
      <c r="AN10" s="247" t="str">
        <f t="shared" si="6"/>
        <v>NA</v>
      </c>
      <c r="AO10" s="247" t="str">
        <f t="shared" si="7"/>
        <v>NA</v>
      </c>
      <c r="AP10" s="247" t="str">
        <f t="shared" si="8"/>
        <v>NA</v>
      </c>
      <c r="AQ10" s="247" t="str">
        <f t="shared" si="9"/>
        <v>NA</v>
      </c>
      <c r="AR10" s="248" t="str">
        <f t="shared" si="10"/>
        <v>NA</v>
      </c>
      <c r="AS10" s="248" t="str">
        <f t="shared" si="11"/>
        <v>NA</v>
      </c>
      <c r="AT10" s="248" t="str">
        <f t="shared" si="12"/>
        <v>NA</v>
      </c>
      <c r="AU10" s="248" t="str">
        <f t="shared" si="13"/>
        <v>NA</v>
      </c>
      <c r="AV10" s="249" t="str">
        <f t="shared" si="14"/>
        <v>NA</v>
      </c>
    </row>
    <row r="11" spans="1:48" ht="15" customHeight="1" x14ac:dyDescent="0.25">
      <c r="A11" s="175"/>
      <c r="B11" s="181">
        <v>103</v>
      </c>
      <c r="C11" s="155" t="str">
        <f>_xlfn.XLOOKUP(B11,LgProvEntOrgIDs[Advanced Network/Insurer Carrier Org ID],LgProvEntOrgIDs[Advanced Network/Insurance Carrier Overall])</f>
        <v>Connecticut State Medical Society IPA</v>
      </c>
      <c r="D11" s="242">
        <f>SUMIFS(AN_TME_BY[[#All],[Member Months]],AN_TME_BY[[#All],[Insurance Category Code]],2,AN_TME_BY[[#All],[Advanced Network/Insurance Carrier Org ID]],B11)</f>
        <v>0</v>
      </c>
      <c r="E11" s="156" t="str">
        <f>IF(D11=0,"NA",SUMIFS(AN_TME_BY[[#All],[Claims: Hospital Inpatient]],AN_TME_BY[[#All],[Insurance Category Code]],2,AN_TME_BY[[#All],[Advanced Network/Insurance Carrier Org ID]],B11)/D11)</f>
        <v>NA</v>
      </c>
      <c r="F11" s="59" t="str">
        <f>IF(D11=0,"NA",SUMIFS(AN_TME_BY[[#All],[Claims: Hospital Outpatient]],AN_TME_BY[[#All],[Insurance Category Code]],2,AN_TME_BY[[#All],[Advanced Network/Insurance Carrier Org ID]],B11)/D11)</f>
        <v>NA</v>
      </c>
      <c r="G11" s="59" t="str">
        <f>IF(D11=0,"NA",SUMIFS(AN_TME_BY[[#All],[Claims: Professional, Primary Care]],AN_TME_BY[[#All],[Insurance Category Code]],2,AN_TME_BY[[#All],[Advanced Network/Insurance Carrier Org ID]],B11)/D11)</f>
        <v>NA</v>
      </c>
      <c r="H11" s="59" t="str">
        <f>IF(D11=0,"NA",SUMIFS(AN_TME_BY[[#All],[Claims: Professional, Primary Care (for Monitoring Purposes)]],AN_TME_BY[[#All],[Insurance Category Code]],2,AN_TME_BY[[#All],[Advanced Network/Insurance Carrier Org ID]],B11)/D11)</f>
        <v>NA</v>
      </c>
      <c r="I11" s="59" t="str">
        <f>IF(D11=0,"NA",SUMIFS(AN_TME_BY[[#All],[Claims: Professional, Specialty]],AN_TME_BY[[#All],[Insurance Category Code]],2,AN_TME_BY[[#All],[Advanced Network/Insurance Carrier Org ID]],B11)/D11)</f>
        <v>NA</v>
      </c>
      <c r="J11" s="59" t="str">
        <f>IF(D11=0,"NA",SUMIFS(AN_TME_BY[[#All],[Claims: Professional Other]],AN_TME_BY[[#All],[Insurance Category Code]],2,AN_TME_BY[[#All],[Advanced Network/Insurance Carrier Org ID]],B11)/D11)</f>
        <v>NA</v>
      </c>
      <c r="K11" s="59" t="str">
        <f>IF(D11=0,"NA",SUMIFS(AN_TME_BY[[#All],[Claims: Pharmacy]],AN_TME_BY[[#All],[Insurance Category Code]],2,AN_TME_BY[[#All],[Advanced Network/Insurance Carrier Org ID]],B11)/D11)</f>
        <v>NA</v>
      </c>
      <c r="L11" s="59" t="str">
        <f>IF(D11=0,"NA",SUMIFS(AN_TME_BY[[#All],[Claims: Long-Term Care]],AN_TME_BY[[#All],[Insurance Category Code]],2,AN_TME_BY[[#All],[Advanced Network/Insurance Carrier Org ID]],B11)/D11)</f>
        <v>NA</v>
      </c>
      <c r="M11" s="59" t="str">
        <f>IF(D11=0,"NA",SUMIFS(AN_TME_BY[[#All],[Claims: Other]],AN_TME_BY[[#All],[Insurance Category Code]],2,AN_TME_BY[[#All],[Advanced Network/Insurance Carrier Org ID]],B11)/D11)</f>
        <v>NA</v>
      </c>
      <c r="N11" s="158" t="str">
        <f>IF(D11=0,"NA",SUMIFS(AN_TME_BY[[#All],[TOTAL Non-Truncated Unadjusted Claims Expenses]],AN_TME_BY[[#All],[Insurance Category Code]],2,AN_TME_BY[[#All],[Advanced Network/Insurance Carrier Org ID]],B11)/D11)</f>
        <v>NA</v>
      </c>
      <c r="O11" s="158" t="str">
        <f>IF(D11=0,"NA",SUMIFS(AN_TME_BY[[#All],[TOTAL Truncated Unadjusted Claims Expenses (A21 -A19)]],AN_TME_BY[[#All],[Insurance Category Code]],2,AN_TME_BY[[#All],[Advanced Network/Insurance Carrier Org ID]],B11)/D11)</f>
        <v>NA</v>
      </c>
      <c r="P11" s="158" t="str">
        <f>IF(D11=0,"NA",SUMIFS(AN_TME_BY[[#All],[TOTAL Non-Claims Expenses]],AN_TME_BY[[#All],[Insurance Category Code]],2,AN_TME_BY[[#All],[Advanced Network/Insurance Carrier Org ID]],B11)/D11)</f>
        <v>NA</v>
      </c>
      <c r="Q11" s="158" t="str">
        <f>IF(D11=0,"NA",SUMIFS(AN_TME_BY[[#All],[TOTAL Non-Truncated Unadjusted Expenses (A21 + A23)]],AN_TME_BY[[#All],[Insurance Category Code]],2,AN_TME_BY[[#All],[Advanced Network/Insurance Carrier Org ID]],B11)/D11)</f>
        <v>NA</v>
      </c>
      <c r="R11" s="158" t="str">
        <f>IF(D11=0,"NA",SUMIFS(AN_TME_BY[[#All],[TOTAL Truncated Unadjusted Expenses (A22 + A23)]],AN_TME_BY[[#All],[Insurance Category Code]],2,AN_TME_BY[[#All],[Advanced Network/Insurance Carrier Org ID]],B11)/D11)</f>
        <v>NA</v>
      </c>
      <c r="S11" s="242">
        <f>SUMIFS(AN_TME_PY[[#All],[Member Months]],AN_TME_PY[[#All],[Insurance Category Code]],2,AN_TME_PY[[#All],[Advanced Network/Insurance Carrier Org ID]],B11)</f>
        <v>0</v>
      </c>
      <c r="T11" s="156" t="str">
        <f>IF(S11=0,"NA",SUMIFS(AN_TME_PY[[#All],[Claims: Hospital Inpatient]],AN_TME_PY[[#All],[Insurance Category Code]],2,AN_TME_PY[[#All],[Advanced Network/Insurance Carrier Org ID]],B11)/S11)</f>
        <v>NA</v>
      </c>
      <c r="U11" s="59" t="str">
        <f>IF(S11=0,"NA",SUMIFS(AN_TME_PY[[#All],[Claims: Hospital Outpatient]],AN_TME_PY[[#All],[Insurance Category Code]],2,AN_TME_PY[[#All],[Advanced Network/Insurance Carrier Org ID]],B11)/S11)</f>
        <v>NA</v>
      </c>
      <c r="V11" s="59" t="str">
        <f>IF(S11=0,"NA",SUMIFS(AN_TME_PY[[#All],[Claims: Professional, Primary Care]],AN_TME_PY[[#All],[Insurance Category Code]],2,AN_TME_PY[[#All],[Advanced Network/Insurance Carrier Org ID]],B11)/S11)</f>
        <v>NA</v>
      </c>
      <c r="W11" s="59" t="str">
        <f>IF(S11=0,"NA",SUMIFS(AN_TME_PY[[#All],[Claims: Professional, Primary Care (for Monitoring Purposes)]],AN_TME_PY[[#All],[Insurance Category Code]],2,AN_TME_PY[[#All],[Advanced Network/Insurance Carrier Org ID]],B11)/S11)</f>
        <v>NA</v>
      </c>
      <c r="X11" s="59" t="str">
        <f>IF(S11=0,"NA",SUMIFS(AN_TME_PY[[#All],[Claims: Professional, Specialty]],AN_TME_PY[[#All],[Insurance Category Code]],2,AN_TME_PY[[#All],[Advanced Network/Insurance Carrier Org ID]],B11)/S11)</f>
        <v>NA</v>
      </c>
      <c r="Y11" s="59" t="str">
        <f>IF(S11=0,"NA",SUMIFS(AN_TME_PY[[#All],[Claims: Professional Other]],AN_TME_PY[[#All],[Insurance Category Code]],2,AN_TME_PY[[#All],[Advanced Network/Insurance Carrier Org ID]],B11)/S11)</f>
        <v>NA</v>
      </c>
      <c r="Z11" s="59" t="str">
        <f>IF(S11=0,"NA",SUMIFS(AN_TME_PY[[#All],[Claims: Pharmacy]],AN_TME_PY[[#All],[Insurance Category Code]],2,AN_TME_PY[[#All],[Advanced Network/Insurance Carrier Org ID]],B11)/S11)</f>
        <v>NA</v>
      </c>
      <c r="AA11" s="59" t="str">
        <f>IF(S11=0,"NA",SUMIFS(AN_TME_PY[[#All],[Claims: Long-Term Care]],AN_TME_PY[[#All],[Insurance Category Code]],2,AN_TME_PY[[#All],[Advanced Network/Insurance Carrier Org ID]],B11)/S11)</f>
        <v>NA</v>
      </c>
      <c r="AB11" s="59" t="str">
        <f>IF(S11=0,"NA",SUMIFS(AN_TME_PY[[#All],[Claims: Other]],AN_TME_PY[[#All],[Insurance Category Code]],2,AN_TME_PY[[#All],[Advanced Network/Insurance Carrier Org ID]],B11)/S11)</f>
        <v>NA</v>
      </c>
      <c r="AC11" s="158" t="str">
        <f>IF(S11=0,"NA",SUMIFS(AN_TME_PY[[#All],[TOTAL Non-Truncated Unadjusted Claims Expenses]],AN_TME_PY[[#All],[Insurance Category Code]],2,AN_TME_PY[[#All],[Advanced Network/Insurance Carrier Org ID]],B11)/S11)</f>
        <v>NA</v>
      </c>
      <c r="AD11" s="158" t="str">
        <f>IF(S11=0,"NA",SUMIFS(AN_TME_PY[[#All],[TOTAL Truncated Unadjusted Claims Expenses (A21 -A19)]],AN_TME_PY[[#All],[Insurance Category Code]],2,AN_TME_PY[[#All],[Advanced Network/Insurance Carrier Org ID]],B11)/S11)</f>
        <v>NA</v>
      </c>
      <c r="AE11" s="158" t="str">
        <f>IF(S11=0,"NA",SUMIFS(AN_TME_PY[[#All],[TOTAL Non-Claims Expenses]],AN_TME_PY[[#All],[Insurance Category Code]],2,AN_TME_PY[[#All],[Advanced Network/Insurance Carrier Org ID]],B11)/S11)</f>
        <v>NA</v>
      </c>
      <c r="AF11" s="158" t="str">
        <f>IF(S11=0,"NA",SUMIFS(AN_TME_PY[[#All],[TOTAL Non-Truncated Unadjusted Expenses (A21 + A23)]],AN_TME_PY[[#All],[Insurance Category Code]],2,AN_TME_PY[[#All],[Advanced Network/Insurance Carrier Org ID]],B11)/S11)</f>
        <v>NA</v>
      </c>
      <c r="AG11" s="157" t="str">
        <f>IF(S11=0,"NA",SUMIFS(AN_TME_PY[[#All],[TOTAL Truncated Unadjusted Expenses (A22 + A23)]],AN_TME_PY[[#All],[Insurance Category Code]],2,AN_TME_PY[[#All],[Advanced Network/Insurance Carrier Org ID]],B11)/S11)</f>
        <v>NA</v>
      </c>
      <c r="AH11" s="245" t="str">
        <f t="shared" si="0"/>
        <v>NA</v>
      </c>
      <c r="AI11" s="246" t="str">
        <f t="shared" si="1"/>
        <v>NA</v>
      </c>
      <c r="AJ11" s="247" t="str">
        <f t="shared" si="2"/>
        <v>NA</v>
      </c>
      <c r="AK11" s="247" t="str">
        <f t="shared" si="3"/>
        <v>NA</v>
      </c>
      <c r="AL11" s="247" t="str">
        <f t="shared" si="4"/>
        <v>NA</v>
      </c>
      <c r="AM11" s="247" t="str">
        <f t="shared" si="5"/>
        <v>NA</v>
      </c>
      <c r="AN11" s="247" t="str">
        <f t="shared" si="6"/>
        <v>NA</v>
      </c>
      <c r="AO11" s="247" t="str">
        <f t="shared" si="7"/>
        <v>NA</v>
      </c>
      <c r="AP11" s="247" t="str">
        <f t="shared" si="8"/>
        <v>NA</v>
      </c>
      <c r="AQ11" s="247" t="str">
        <f t="shared" si="9"/>
        <v>NA</v>
      </c>
      <c r="AR11" s="248" t="str">
        <f t="shared" si="10"/>
        <v>NA</v>
      </c>
      <c r="AS11" s="248" t="str">
        <f t="shared" si="11"/>
        <v>NA</v>
      </c>
      <c r="AT11" s="248" t="str">
        <f t="shared" si="12"/>
        <v>NA</v>
      </c>
      <c r="AU11" s="248" t="str">
        <f t="shared" si="13"/>
        <v>NA</v>
      </c>
      <c r="AV11" s="249" t="str">
        <f t="shared" si="14"/>
        <v>NA</v>
      </c>
    </row>
    <row r="12" spans="1:48" ht="15" customHeight="1" x14ac:dyDescent="0.25">
      <c r="A12" s="175"/>
      <c r="B12" s="181">
        <v>104</v>
      </c>
      <c r="C12" s="155" t="str">
        <f>_xlfn.XLOOKUP(B12,LgProvEntOrgIDs[Advanced Network/Insurer Carrier Org ID],LgProvEntOrgIDs[Advanced Network/Insurance Carrier Overall])</f>
        <v>Hartford Healthcare Integrated Care Partners</v>
      </c>
      <c r="D12" s="242">
        <f>SUMIFS(AN_TME_BY[[#All],[Member Months]],AN_TME_BY[[#All],[Insurance Category Code]],2,AN_TME_BY[[#All],[Advanced Network/Insurance Carrier Org ID]],B12)</f>
        <v>0</v>
      </c>
      <c r="E12" s="156" t="str">
        <f>IF(D12=0,"NA",SUMIFS(AN_TME_BY[[#All],[Claims: Hospital Inpatient]],AN_TME_BY[[#All],[Insurance Category Code]],2,AN_TME_BY[[#All],[Advanced Network/Insurance Carrier Org ID]],B12)/D12)</f>
        <v>NA</v>
      </c>
      <c r="F12" s="59" t="str">
        <f>IF(D12=0,"NA",SUMIFS(AN_TME_BY[[#All],[Claims: Hospital Outpatient]],AN_TME_BY[[#All],[Insurance Category Code]],2,AN_TME_BY[[#All],[Advanced Network/Insurance Carrier Org ID]],B12)/D12)</f>
        <v>NA</v>
      </c>
      <c r="G12" s="59" t="str">
        <f>IF(D12=0,"NA",SUMIFS(AN_TME_BY[[#All],[Claims: Professional, Primary Care]],AN_TME_BY[[#All],[Insurance Category Code]],2,AN_TME_BY[[#All],[Advanced Network/Insurance Carrier Org ID]],B12)/D12)</f>
        <v>NA</v>
      </c>
      <c r="H12" s="59" t="str">
        <f>IF(D12=0,"NA",SUMIFS(AN_TME_BY[[#All],[Claims: Professional, Primary Care (for Monitoring Purposes)]],AN_TME_BY[[#All],[Insurance Category Code]],2,AN_TME_BY[[#All],[Advanced Network/Insurance Carrier Org ID]],B12)/D12)</f>
        <v>NA</v>
      </c>
      <c r="I12" s="59" t="str">
        <f>IF(D12=0,"NA",SUMIFS(AN_TME_BY[[#All],[Claims: Professional, Specialty]],AN_TME_BY[[#All],[Insurance Category Code]],2,AN_TME_BY[[#All],[Advanced Network/Insurance Carrier Org ID]],B12)/D12)</f>
        <v>NA</v>
      </c>
      <c r="J12" s="59" t="str">
        <f>IF(D12=0,"NA",SUMIFS(AN_TME_BY[[#All],[Claims: Professional Other]],AN_TME_BY[[#All],[Insurance Category Code]],2,AN_TME_BY[[#All],[Advanced Network/Insurance Carrier Org ID]],B12)/D12)</f>
        <v>NA</v>
      </c>
      <c r="K12" s="59" t="str">
        <f>IF(D12=0,"NA",SUMIFS(AN_TME_BY[[#All],[Claims: Pharmacy]],AN_TME_BY[[#All],[Insurance Category Code]],2,AN_TME_BY[[#All],[Advanced Network/Insurance Carrier Org ID]],B12)/D12)</f>
        <v>NA</v>
      </c>
      <c r="L12" s="59" t="str">
        <f>IF(D12=0,"NA",SUMIFS(AN_TME_BY[[#All],[Claims: Long-Term Care]],AN_TME_BY[[#All],[Insurance Category Code]],2,AN_TME_BY[[#All],[Advanced Network/Insurance Carrier Org ID]],B12)/D12)</f>
        <v>NA</v>
      </c>
      <c r="M12" s="59" t="str">
        <f>IF(D12=0,"NA",SUMIFS(AN_TME_BY[[#All],[Claims: Other]],AN_TME_BY[[#All],[Insurance Category Code]],2,AN_TME_BY[[#All],[Advanced Network/Insurance Carrier Org ID]],B12)/D12)</f>
        <v>NA</v>
      </c>
      <c r="N12" s="158" t="str">
        <f>IF(D12=0,"NA",SUMIFS(AN_TME_BY[[#All],[TOTAL Non-Truncated Unadjusted Claims Expenses]],AN_TME_BY[[#All],[Insurance Category Code]],2,AN_TME_BY[[#All],[Advanced Network/Insurance Carrier Org ID]],B12)/D12)</f>
        <v>NA</v>
      </c>
      <c r="O12" s="158" t="str">
        <f>IF(D12=0,"NA",SUMIFS(AN_TME_BY[[#All],[TOTAL Truncated Unadjusted Claims Expenses (A21 -A19)]],AN_TME_BY[[#All],[Insurance Category Code]],2,AN_TME_BY[[#All],[Advanced Network/Insurance Carrier Org ID]],B12)/D12)</f>
        <v>NA</v>
      </c>
      <c r="P12" s="158" t="str">
        <f>IF(D12=0,"NA",SUMIFS(AN_TME_BY[[#All],[TOTAL Non-Claims Expenses]],AN_TME_BY[[#All],[Insurance Category Code]],2,AN_TME_BY[[#All],[Advanced Network/Insurance Carrier Org ID]],B12)/D12)</f>
        <v>NA</v>
      </c>
      <c r="Q12" s="158" t="str">
        <f>IF(D12=0,"NA",SUMIFS(AN_TME_BY[[#All],[TOTAL Non-Truncated Unadjusted Expenses (A21 + A23)]],AN_TME_BY[[#All],[Insurance Category Code]],2,AN_TME_BY[[#All],[Advanced Network/Insurance Carrier Org ID]],B12)/D12)</f>
        <v>NA</v>
      </c>
      <c r="R12" s="158" t="str">
        <f>IF(D12=0,"NA",SUMIFS(AN_TME_BY[[#All],[TOTAL Truncated Unadjusted Expenses (A22 + A23)]],AN_TME_BY[[#All],[Insurance Category Code]],2,AN_TME_BY[[#All],[Advanced Network/Insurance Carrier Org ID]],B12)/D12)</f>
        <v>NA</v>
      </c>
      <c r="S12" s="242">
        <f>SUMIFS(AN_TME_PY[[#All],[Member Months]],AN_TME_PY[[#All],[Insurance Category Code]],2,AN_TME_PY[[#All],[Advanced Network/Insurance Carrier Org ID]],B12)</f>
        <v>0</v>
      </c>
      <c r="T12" s="156" t="str">
        <f>IF(S12=0,"NA",SUMIFS(AN_TME_PY[[#All],[Claims: Hospital Inpatient]],AN_TME_PY[[#All],[Insurance Category Code]],2,AN_TME_PY[[#All],[Advanced Network/Insurance Carrier Org ID]],B12)/S12)</f>
        <v>NA</v>
      </c>
      <c r="U12" s="59" t="str">
        <f>IF(S12=0,"NA",SUMIFS(AN_TME_PY[[#All],[Claims: Hospital Outpatient]],AN_TME_PY[[#All],[Insurance Category Code]],2,AN_TME_PY[[#All],[Advanced Network/Insurance Carrier Org ID]],B12)/S12)</f>
        <v>NA</v>
      </c>
      <c r="V12" s="59" t="str">
        <f>IF(S12=0,"NA",SUMIFS(AN_TME_PY[[#All],[Claims: Professional, Primary Care]],AN_TME_PY[[#All],[Insurance Category Code]],2,AN_TME_PY[[#All],[Advanced Network/Insurance Carrier Org ID]],B12)/S12)</f>
        <v>NA</v>
      </c>
      <c r="W12" s="59" t="str">
        <f>IF(S12=0,"NA",SUMIFS(AN_TME_PY[[#All],[Claims: Professional, Primary Care (for Monitoring Purposes)]],AN_TME_PY[[#All],[Insurance Category Code]],2,AN_TME_PY[[#All],[Advanced Network/Insurance Carrier Org ID]],B12)/S12)</f>
        <v>NA</v>
      </c>
      <c r="X12" s="59" t="str">
        <f>IF(S12=0,"NA",SUMIFS(AN_TME_PY[[#All],[Claims: Professional, Specialty]],AN_TME_PY[[#All],[Insurance Category Code]],2,AN_TME_PY[[#All],[Advanced Network/Insurance Carrier Org ID]],B12)/S12)</f>
        <v>NA</v>
      </c>
      <c r="Y12" s="59" t="str">
        <f>IF(S12=0,"NA",SUMIFS(AN_TME_PY[[#All],[Claims: Professional Other]],AN_TME_PY[[#All],[Insurance Category Code]],2,AN_TME_PY[[#All],[Advanced Network/Insurance Carrier Org ID]],B12)/S12)</f>
        <v>NA</v>
      </c>
      <c r="Z12" s="59" t="str">
        <f>IF(S12=0,"NA",SUMIFS(AN_TME_PY[[#All],[Claims: Pharmacy]],AN_TME_PY[[#All],[Insurance Category Code]],2,AN_TME_PY[[#All],[Advanced Network/Insurance Carrier Org ID]],B12)/S12)</f>
        <v>NA</v>
      </c>
      <c r="AA12" s="59" t="str">
        <f>IF(S12=0,"NA",SUMIFS(AN_TME_PY[[#All],[Claims: Long-Term Care]],AN_TME_PY[[#All],[Insurance Category Code]],2,AN_TME_PY[[#All],[Advanced Network/Insurance Carrier Org ID]],B12)/S12)</f>
        <v>NA</v>
      </c>
      <c r="AB12" s="59" t="str">
        <f>IF(S12=0,"NA",SUMIFS(AN_TME_PY[[#All],[Claims: Other]],AN_TME_PY[[#All],[Insurance Category Code]],2,AN_TME_PY[[#All],[Advanced Network/Insurance Carrier Org ID]],B12)/S12)</f>
        <v>NA</v>
      </c>
      <c r="AC12" s="158" t="str">
        <f>IF(S12=0,"NA",SUMIFS(AN_TME_PY[[#All],[TOTAL Non-Truncated Unadjusted Claims Expenses]],AN_TME_PY[[#All],[Insurance Category Code]],2,AN_TME_PY[[#All],[Advanced Network/Insurance Carrier Org ID]],B12)/S12)</f>
        <v>NA</v>
      </c>
      <c r="AD12" s="158" t="str">
        <f>IF(S12=0,"NA",SUMIFS(AN_TME_PY[[#All],[TOTAL Truncated Unadjusted Claims Expenses (A21 -A19)]],AN_TME_PY[[#All],[Insurance Category Code]],2,AN_TME_PY[[#All],[Advanced Network/Insurance Carrier Org ID]],B12)/S12)</f>
        <v>NA</v>
      </c>
      <c r="AE12" s="158" t="str">
        <f>IF(S12=0,"NA",SUMIFS(AN_TME_PY[[#All],[TOTAL Non-Claims Expenses]],AN_TME_PY[[#All],[Insurance Category Code]],2,AN_TME_PY[[#All],[Advanced Network/Insurance Carrier Org ID]],B12)/S12)</f>
        <v>NA</v>
      </c>
      <c r="AF12" s="158" t="str">
        <f>IF(S12=0,"NA",SUMIFS(AN_TME_PY[[#All],[TOTAL Non-Truncated Unadjusted Expenses (A21 + A23)]],AN_TME_PY[[#All],[Insurance Category Code]],2,AN_TME_PY[[#All],[Advanced Network/Insurance Carrier Org ID]],B12)/S12)</f>
        <v>NA</v>
      </c>
      <c r="AG12" s="157" t="str">
        <f>IF(S12=0,"NA",SUMIFS(AN_TME_PY[[#All],[TOTAL Truncated Unadjusted Expenses (A22 + A23)]],AN_TME_PY[[#All],[Insurance Category Code]],2,AN_TME_PY[[#All],[Advanced Network/Insurance Carrier Org ID]],B12)/S12)</f>
        <v>NA</v>
      </c>
      <c r="AH12" s="245" t="str">
        <f t="shared" si="0"/>
        <v>NA</v>
      </c>
      <c r="AI12" s="246" t="str">
        <f t="shared" si="1"/>
        <v>NA</v>
      </c>
      <c r="AJ12" s="247" t="str">
        <f t="shared" si="2"/>
        <v>NA</v>
      </c>
      <c r="AK12" s="247" t="str">
        <f t="shared" si="3"/>
        <v>NA</v>
      </c>
      <c r="AL12" s="247" t="str">
        <f t="shared" si="4"/>
        <v>NA</v>
      </c>
      <c r="AM12" s="247" t="str">
        <f t="shared" si="5"/>
        <v>NA</v>
      </c>
      <c r="AN12" s="247" t="str">
        <f t="shared" si="6"/>
        <v>NA</v>
      </c>
      <c r="AO12" s="247" t="str">
        <f t="shared" si="7"/>
        <v>NA</v>
      </c>
      <c r="AP12" s="247" t="str">
        <f t="shared" si="8"/>
        <v>NA</v>
      </c>
      <c r="AQ12" s="247" t="str">
        <f t="shared" si="9"/>
        <v>NA</v>
      </c>
      <c r="AR12" s="248" t="str">
        <f t="shared" si="10"/>
        <v>NA</v>
      </c>
      <c r="AS12" s="248" t="str">
        <f t="shared" si="11"/>
        <v>NA</v>
      </c>
      <c r="AT12" s="248" t="str">
        <f t="shared" si="12"/>
        <v>NA</v>
      </c>
      <c r="AU12" s="248" t="str">
        <f t="shared" si="13"/>
        <v>NA</v>
      </c>
      <c r="AV12" s="249" t="str">
        <f t="shared" si="14"/>
        <v>NA</v>
      </c>
    </row>
    <row r="13" spans="1:48" ht="15" customHeight="1" x14ac:dyDescent="0.25">
      <c r="A13" s="175"/>
      <c r="B13" s="181">
        <v>105</v>
      </c>
      <c r="C13" s="155" t="str">
        <f>_xlfn.XLOOKUP(B13,LgProvEntOrgIDs[Advanced Network/Insurer Carrier Org ID],LgProvEntOrgIDs[Advanced Network/Insurance Carrier Overall])</f>
        <v>NA</v>
      </c>
      <c r="D13" s="242">
        <f>SUMIFS(AN_TME_BY[[#All],[Member Months]],AN_TME_BY[[#All],[Insurance Category Code]],2,AN_TME_BY[[#All],[Advanced Network/Insurance Carrier Org ID]],B13)</f>
        <v>0</v>
      </c>
      <c r="E13" s="156" t="str">
        <f>IF(D13=0,"NA",SUMIFS(AN_TME_BY[[#All],[Claims: Hospital Inpatient]],AN_TME_BY[[#All],[Insurance Category Code]],2,AN_TME_BY[[#All],[Advanced Network/Insurance Carrier Org ID]],B13)/D13)</f>
        <v>NA</v>
      </c>
      <c r="F13" s="59" t="str">
        <f>IF(D13=0,"NA",SUMIFS(AN_TME_BY[[#All],[Claims: Hospital Outpatient]],AN_TME_BY[[#All],[Insurance Category Code]],2,AN_TME_BY[[#All],[Advanced Network/Insurance Carrier Org ID]],B13)/D13)</f>
        <v>NA</v>
      </c>
      <c r="G13" s="59" t="str">
        <f>IF(D13=0,"NA",SUMIFS(AN_TME_BY[[#All],[Claims: Professional, Primary Care]],AN_TME_BY[[#All],[Insurance Category Code]],2,AN_TME_BY[[#All],[Advanced Network/Insurance Carrier Org ID]],B13)/D13)</f>
        <v>NA</v>
      </c>
      <c r="H13" s="59" t="str">
        <f>IF(D13=0,"NA",SUMIFS(AN_TME_BY[[#All],[Claims: Professional, Primary Care (for Monitoring Purposes)]],AN_TME_BY[[#All],[Insurance Category Code]],2,AN_TME_BY[[#All],[Advanced Network/Insurance Carrier Org ID]],B13)/D13)</f>
        <v>NA</v>
      </c>
      <c r="I13" s="59" t="str">
        <f>IF(D13=0,"NA",SUMIFS(AN_TME_BY[[#All],[Claims: Professional, Specialty]],AN_TME_BY[[#All],[Insurance Category Code]],2,AN_TME_BY[[#All],[Advanced Network/Insurance Carrier Org ID]],B13)/D13)</f>
        <v>NA</v>
      </c>
      <c r="J13" s="59" t="str">
        <f>IF(D13=0,"NA",SUMIFS(AN_TME_BY[[#All],[Claims: Professional Other]],AN_TME_BY[[#All],[Insurance Category Code]],2,AN_TME_BY[[#All],[Advanced Network/Insurance Carrier Org ID]],B13)/D13)</f>
        <v>NA</v>
      </c>
      <c r="K13" s="59" t="str">
        <f>IF(D13=0,"NA",SUMIFS(AN_TME_BY[[#All],[Claims: Pharmacy]],AN_TME_BY[[#All],[Insurance Category Code]],2,AN_TME_BY[[#All],[Advanced Network/Insurance Carrier Org ID]],B13)/D13)</f>
        <v>NA</v>
      </c>
      <c r="L13" s="59" t="str">
        <f>IF(D13=0,"NA",SUMIFS(AN_TME_BY[[#All],[Claims: Long-Term Care]],AN_TME_BY[[#All],[Insurance Category Code]],2,AN_TME_BY[[#All],[Advanced Network/Insurance Carrier Org ID]],B13)/D13)</f>
        <v>NA</v>
      </c>
      <c r="M13" s="59" t="str">
        <f>IF(D13=0,"NA",SUMIFS(AN_TME_BY[[#All],[Claims: Other]],AN_TME_BY[[#All],[Insurance Category Code]],2,AN_TME_BY[[#All],[Advanced Network/Insurance Carrier Org ID]],B13)/D13)</f>
        <v>NA</v>
      </c>
      <c r="N13" s="158" t="str">
        <f>IF(D13=0,"NA",SUMIFS(AN_TME_BY[[#All],[TOTAL Non-Truncated Unadjusted Claims Expenses]],AN_TME_BY[[#All],[Insurance Category Code]],2,AN_TME_BY[[#All],[Advanced Network/Insurance Carrier Org ID]],B13)/D13)</f>
        <v>NA</v>
      </c>
      <c r="O13" s="158" t="str">
        <f>IF(D13=0,"NA",SUMIFS(AN_TME_BY[[#All],[TOTAL Truncated Unadjusted Claims Expenses (A21 -A19)]],AN_TME_BY[[#All],[Insurance Category Code]],2,AN_TME_BY[[#All],[Advanced Network/Insurance Carrier Org ID]],B13)/D13)</f>
        <v>NA</v>
      </c>
      <c r="P13" s="158" t="str">
        <f>IF(D13=0,"NA",SUMIFS(AN_TME_BY[[#All],[TOTAL Non-Claims Expenses]],AN_TME_BY[[#All],[Insurance Category Code]],2,AN_TME_BY[[#All],[Advanced Network/Insurance Carrier Org ID]],B13)/D13)</f>
        <v>NA</v>
      </c>
      <c r="Q13" s="158" t="str">
        <f>IF(D13=0,"NA",SUMIFS(AN_TME_BY[[#All],[TOTAL Non-Truncated Unadjusted Expenses (A21 + A23)]],AN_TME_BY[[#All],[Insurance Category Code]],2,AN_TME_BY[[#All],[Advanced Network/Insurance Carrier Org ID]],B13)/D13)</f>
        <v>NA</v>
      </c>
      <c r="R13" s="158" t="str">
        <f>IF(D13=0,"NA",SUMIFS(AN_TME_BY[[#All],[TOTAL Truncated Unadjusted Expenses (A22 + A23)]],AN_TME_BY[[#All],[Insurance Category Code]],2,AN_TME_BY[[#All],[Advanced Network/Insurance Carrier Org ID]],B13)/D13)</f>
        <v>NA</v>
      </c>
      <c r="S13" s="242">
        <f>SUMIFS(AN_TME_PY[[#All],[Member Months]],AN_TME_PY[[#All],[Insurance Category Code]],2,AN_TME_PY[[#All],[Advanced Network/Insurance Carrier Org ID]],B13)</f>
        <v>0</v>
      </c>
      <c r="T13" s="156" t="str">
        <f>IF(S13=0,"NA",SUMIFS(AN_TME_PY[[#All],[Claims: Hospital Inpatient]],AN_TME_PY[[#All],[Insurance Category Code]],2,AN_TME_PY[[#All],[Advanced Network/Insurance Carrier Org ID]],B13)/S13)</f>
        <v>NA</v>
      </c>
      <c r="U13" s="59" t="str">
        <f>IF(S13=0,"NA",SUMIFS(AN_TME_PY[[#All],[Claims: Hospital Outpatient]],AN_TME_PY[[#All],[Insurance Category Code]],2,AN_TME_PY[[#All],[Advanced Network/Insurance Carrier Org ID]],B13)/S13)</f>
        <v>NA</v>
      </c>
      <c r="V13" s="59" t="str">
        <f>IF(S13=0,"NA",SUMIFS(AN_TME_PY[[#All],[Claims: Professional, Primary Care]],AN_TME_PY[[#All],[Insurance Category Code]],2,AN_TME_PY[[#All],[Advanced Network/Insurance Carrier Org ID]],B13)/S13)</f>
        <v>NA</v>
      </c>
      <c r="W13" s="59" t="str">
        <f>IF(S13=0,"NA",SUMIFS(AN_TME_PY[[#All],[Claims: Professional, Primary Care (for Monitoring Purposes)]],AN_TME_PY[[#All],[Insurance Category Code]],2,AN_TME_PY[[#All],[Advanced Network/Insurance Carrier Org ID]],B13)/S13)</f>
        <v>NA</v>
      </c>
      <c r="X13" s="59" t="str">
        <f>IF(S13=0,"NA",SUMIFS(AN_TME_PY[[#All],[Claims: Professional, Specialty]],AN_TME_PY[[#All],[Insurance Category Code]],2,AN_TME_PY[[#All],[Advanced Network/Insurance Carrier Org ID]],B13)/S13)</f>
        <v>NA</v>
      </c>
      <c r="Y13" s="59" t="str">
        <f>IF(S13=0,"NA",SUMIFS(AN_TME_PY[[#All],[Claims: Professional Other]],AN_TME_PY[[#All],[Insurance Category Code]],2,AN_TME_PY[[#All],[Advanced Network/Insurance Carrier Org ID]],B13)/S13)</f>
        <v>NA</v>
      </c>
      <c r="Z13" s="59" t="str">
        <f>IF(S13=0,"NA",SUMIFS(AN_TME_PY[[#All],[Claims: Pharmacy]],AN_TME_PY[[#All],[Insurance Category Code]],2,AN_TME_PY[[#All],[Advanced Network/Insurance Carrier Org ID]],B13)/S13)</f>
        <v>NA</v>
      </c>
      <c r="AA13" s="59" t="str">
        <f>IF(S13=0,"NA",SUMIFS(AN_TME_PY[[#All],[Claims: Long-Term Care]],AN_TME_PY[[#All],[Insurance Category Code]],2,AN_TME_PY[[#All],[Advanced Network/Insurance Carrier Org ID]],B13)/S13)</f>
        <v>NA</v>
      </c>
      <c r="AB13" s="59" t="str">
        <f>IF(S13=0,"NA",SUMIFS(AN_TME_PY[[#All],[Claims: Other]],AN_TME_PY[[#All],[Insurance Category Code]],2,AN_TME_PY[[#All],[Advanced Network/Insurance Carrier Org ID]],B13)/S13)</f>
        <v>NA</v>
      </c>
      <c r="AC13" s="158" t="str">
        <f>IF(S13=0,"NA",SUMIFS(AN_TME_PY[[#All],[TOTAL Non-Truncated Unadjusted Claims Expenses]],AN_TME_PY[[#All],[Insurance Category Code]],2,AN_TME_PY[[#All],[Advanced Network/Insurance Carrier Org ID]],B13)/S13)</f>
        <v>NA</v>
      </c>
      <c r="AD13" s="158" t="str">
        <f>IF(S13=0,"NA",SUMIFS(AN_TME_PY[[#All],[TOTAL Truncated Unadjusted Claims Expenses (A21 -A19)]],AN_TME_PY[[#All],[Insurance Category Code]],2,AN_TME_PY[[#All],[Advanced Network/Insurance Carrier Org ID]],B13)/S13)</f>
        <v>NA</v>
      </c>
      <c r="AE13" s="158" t="str">
        <f>IF(S13=0,"NA",SUMIFS(AN_TME_PY[[#All],[TOTAL Non-Claims Expenses]],AN_TME_PY[[#All],[Insurance Category Code]],2,AN_TME_PY[[#All],[Advanced Network/Insurance Carrier Org ID]],B13)/S13)</f>
        <v>NA</v>
      </c>
      <c r="AF13" s="158" t="str">
        <f>IF(S13=0,"NA",SUMIFS(AN_TME_PY[[#All],[TOTAL Non-Truncated Unadjusted Expenses (A21 + A23)]],AN_TME_PY[[#All],[Insurance Category Code]],2,AN_TME_PY[[#All],[Advanced Network/Insurance Carrier Org ID]],B13)/S13)</f>
        <v>NA</v>
      </c>
      <c r="AG13" s="157" t="str">
        <f>IF(S13=0,"NA",SUMIFS(AN_TME_PY[[#All],[TOTAL Truncated Unadjusted Expenses (A22 + A23)]],AN_TME_PY[[#All],[Insurance Category Code]],2,AN_TME_PY[[#All],[Advanced Network/Insurance Carrier Org ID]],B13)/S13)</f>
        <v>NA</v>
      </c>
      <c r="AH13" s="245" t="str">
        <f t="shared" si="0"/>
        <v>NA</v>
      </c>
      <c r="AI13" s="246" t="str">
        <f t="shared" si="1"/>
        <v>NA</v>
      </c>
      <c r="AJ13" s="247" t="str">
        <f t="shared" si="2"/>
        <v>NA</v>
      </c>
      <c r="AK13" s="247" t="str">
        <f t="shared" si="3"/>
        <v>NA</v>
      </c>
      <c r="AL13" s="247" t="str">
        <f t="shared" si="4"/>
        <v>NA</v>
      </c>
      <c r="AM13" s="247" t="str">
        <f t="shared" si="5"/>
        <v>NA</v>
      </c>
      <c r="AN13" s="247" t="str">
        <f t="shared" si="6"/>
        <v>NA</v>
      </c>
      <c r="AO13" s="247" t="str">
        <f t="shared" si="7"/>
        <v>NA</v>
      </c>
      <c r="AP13" s="247" t="str">
        <f t="shared" si="8"/>
        <v>NA</v>
      </c>
      <c r="AQ13" s="247" t="str">
        <f t="shared" si="9"/>
        <v>NA</v>
      </c>
      <c r="AR13" s="248" t="str">
        <f t="shared" si="10"/>
        <v>NA</v>
      </c>
      <c r="AS13" s="248" t="str">
        <f t="shared" si="11"/>
        <v>NA</v>
      </c>
      <c r="AT13" s="248" t="str">
        <f t="shared" si="12"/>
        <v>NA</v>
      </c>
      <c r="AU13" s="248" t="str">
        <f t="shared" si="13"/>
        <v>NA</v>
      </c>
      <c r="AV13" s="249" t="str">
        <f t="shared" si="14"/>
        <v>NA</v>
      </c>
    </row>
    <row r="14" spans="1:48" ht="15" customHeight="1" x14ac:dyDescent="0.25">
      <c r="A14" s="175"/>
      <c r="B14" s="181">
        <v>106</v>
      </c>
      <c r="C14" s="155" t="str">
        <f>_xlfn.XLOOKUP(B14,LgProvEntOrgIDs[Advanced Network/Insurer Carrier Org ID],LgProvEntOrgIDs[Advanced Network/Insurance Carrier Overall])</f>
        <v>Northeast Medical Group</v>
      </c>
      <c r="D14" s="242">
        <f>SUMIFS(AN_TME_BY[[#All],[Member Months]],AN_TME_BY[[#All],[Insurance Category Code]],2,AN_TME_BY[[#All],[Advanced Network/Insurance Carrier Org ID]],B14)</f>
        <v>0</v>
      </c>
      <c r="E14" s="156" t="str">
        <f>IF(D14=0,"NA",SUMIFS(AN_TME_BY[[#All],[Claims: Hospital Inpatient]],AN_TME_BY[[#All],[Insurance Category Code]],2,AN_TME_BY[[#All],[Advanced Network/Insurance Carrier Org ID]],B14)/D14)</f>
        <v>NA</v>
      </c>
      <c r="F14" s="59" t="str">
        <f>IF(D14=0,"NA",SUMIFS(AN_TME_BY[[#All],[Claims: Hospital Outpatient]],AN_TME_BY[[#All],[Insurance Category Code]],2,AN_TME_BY[[#All],[Advanced Network/Insurance Carrier Org ID]],B14)/D14)</f>
        <v>NA</v>
      </c>
      <c r="G14" s="59" t="str">
        <f>IF(D14=0,"NA",SUMIFS(AN_TME_BY[[#All],[Claims: Professional, Primary Care]],AN_TME_BY[[#All],[Insurance Category Code]],2,AN_TME_BY[[#All],[Advanced Network/Insurance Carrier Org ID]],B14)/D14)</f>
        <v>NA</v>
      </c>
      <c r="H14" s="59" t="str">
        <f>IF(D14=0,"NA",SUMIFS(AN_TME_BY[[#All],[Claims: Professional, Primary Care (for Monitoring Purposes)]],AN_TME_BY[[#All],[Insurance Category Code]],2,AN_TME_BY[[#All],[Advanced Network/Insurance Carrier Org ID]],B14)/D14)</f>
        <v>NA</v>
      </c>
      <c r="I14" s="59" t="str">
        <f>IF(D14=0,"NA",SUMIFS(AN_TME_BY[[#All],[Claims: Professional, Specialty]],AN_TME_BY[[#All],[Insurance Category Code]],2,AN_TME_BY[[#All],[Advanced Network/Insurance Carrier Org ID]],B14)/D14)</f>
        <v>NA</v>
      </c>
      <c r="J14" s="59" t="str">
        <f>IF(D14=0,"NA",SUMIFS(AN_TME_BY[[#All],[Claims: Professional Other]],AN_TME_BY[[#All],[Insurance Category Code]],2,AN_TME_BY[[#All],[Advanced Network/Insurance Carrier Org ID]],B14)/D14)</f>
        <v>NA</v>
      </c>
      <c r="K14" s="59" t="str">
        <f>IF(D14=0,"NA",SUMIFS(AN_TME_BY[[#All],[Claims: Pharmacy]],AN_TME_BY[[#All],[Insurance Category Code]],2,AN_TME_BY[[#All],[Advanced Network/Insurance Carrier Org ID]],B14)/D14)</f>
        <v>NA</v>
      </c>
      <c r="L14" s="59" t="str">
        <f>IF(D14=0,"NA",SUMIFS(AN_TME_BY[[#All],[Claims: Long-Term Care]],AN_TME_BY[[#All],[Insurance Category Code]],2,AN_TME_BY[[#All],[Advanced Network/Insurance Carrier Org ID]],B14)/D14)</f>
        <v>NA</v>
      </c>
      <c r="M14" s="59" t="str">
        <f>IF(D14=0,"NA",SUMIFS(AN_TME_BY[[#All],[Claims: Other]],AN_TME_BY[[#All],[Insurance Category Code]],2,AN_TME_BY[[#All],[Advanced Network/Insurance Carrier Org ID]],B14)/D14)</f>
        <v>NA</v>
      </c>
      <c r="N14" s="158" t="str">
        <f>IF(D14=0,"NA",SUMIFS(AN_TME_BY[[#All],[TOTAL Non-Truncated Unadjusted Claims Expenses]],AN_TME_BY[[#All],[Insurance Category Code]],2,AN_TME_BY[[#All],[Advanced Network/Insurance Carrier Org ID]],B14)/D14)</f>
        <v>NA</v>
      </c>
      <c r="O14" s="158" t="str">
        <f>IF(D14=0,"NA",SUMIFS(AN_TME_BY[[#All],[TOTAL Truncated Unadjusted Claims Expenses (A21 -A19)]],AN_TME_BY[[#All],[Insurance Category Code]],2,AN_TME_BY[[#All],[Advanced Network/Insurance Carrier Org ID]],B14)/D14)</f>
        <v>NA</v>
      </c>
      <c r="P14" s="158" t="str">
        <f>IF(D14=0,"NA",SUMIFS(AN_TME_BY[[#All],[TOTAL Non-Claims Expenses]],AN_TME_BY[[#All],[Insurance Category Code]],2,AN_TME_BY[[#All],[Advanced Network/Insurance Carrier Org ID]],B14)/D14)</f>
        <v>NA</v>
      </c>
      <c r="Q14" s="158" t="str">
        <f>IF(D14=0,"NA",SUMIFS(AN_TME_BY[[#All],[TOTAL Non-Truncated Unadjusted Expenses (A21 + A23)]],AN_TME_BY[[#All],[Insurance Category Code]],2,AN_TME_BY[[#All],[Advanced Network/Insurance Carrier Org ID]],B14)/D14)</f>
        <v>NA</v>
      </c>
      <c r="R14" s="158" t="str">
        <f>IF(D14=0,"NA",SUMIFS(AN_TME_BY[[#All],[TOTAL Truncated Unadjusted Expenses (A22 + A23)]],AN_TME_BY[[#All],[Insurance Category Code]],2,AN_TME_BY[[#All],[Advanced Network/Insurance Carrier Org ID]],B14)/D14)</f>
        <v>NA</v>
      </c>
      <c r="S14" s="242">
        <f>SUMIFS(AN_TME_PY[[#All],[Member Months]],AN_TME_PY[[#All],[Insurance Category Code]],2,AN_TME_PY[[#All],[Advanced Network/Insurance Carrier Org ID]],B14)</f>
        <v>0</v>
      </c>
      <c r="T14" s="156" t="str">
        <f>IF(S14=0,"NA",SUMIFS(AN_TME_PY[[#All],[Claims: Hospital Inpatient]],AN_TME_PY[[#All],[Insurance Category Code]],2,AN_TME_PY[[#All],[Advanced Network/Insurance Carrier Org ID]],B14)/S14)</f>
        <v>NA</v>
      </c>
      <c r="U14" s="59" t="str">
        <f>IF(S14=0,"NA",SUMIFS(AN_TME_PY[[#All],[Claims: Hospital Outpatient]],AN_TME_PY[[#All],[Insurance Category Code]],2,AN_TME_PY[[#All],[Advanced Network/Insurance Carrier Org ID]],B14)/S14)</f>
        <v>NA</v>
      </c>
      <c r="V14" s="59" t="str">
        <f>IF(S14=0,"NA",SUMIFS(AN_TME_PY[[#All],[Claims: Professional, Primary Care]],AN_TME_PY[[#All],[Insurance Category Code]],2,AN_TME_PY[[#All],[Advanced Network/Insurance Carrier Org ID]],B14)/S14)</f>
        <v>NA</v>
      </c>
      <c r="W14" s="59" t="str">
        <f>IF(S14=0,"NA",SUMIFS(AN_TME_PY[[#All],[Claims: Professional, Primary Care (for Monitoring Purposes)]],AN_TME_PY[[#All],[Insurance Category Code]],2,AN_TME_PY[[#All],[Advanced Network/Insurance Carrier Org ID]],B14)/S14)</f>
        <v>NA</v>
      </c>
      <c r="X14" s="59" t="str">
        <f>IF(S14=0,"NA",SUMIFS(AN_TME_PY[[#All],[Claims: Professional, Specialty]],AN_TME_PY[[#All],[Insurance Category Code]],2,AN_TME_PY[[#All],[Advanced Network/Insurance Carrier Org ID]],B14)/S14)</f>
        <v>NA</v>
      </c>
      <c r="Y14" s="59" t="str">
        <f>IF(S14=0,"NA",SUMIFS(AN_TME_PY[[#All],[Claims: Professional Other]],AN_TME_PY[[#All],[Insurance Category Code]],2,AN_TME_PY[[#All],[Advanced Network/Insurance Carrier Org ID]],B14)/S14)</f>
        <v>NA</v>
      </c>
      <c r="Z14" s="59" t="str">
        <f>IF(S14=0,"NA",SUMIFS(AN_TME_PY[[#All],[Claims: Pharmacy]],AN_TME_PY[[#All],[Insurance Category Code]],2,AN_TME_PY[[#All],[Advanced Network/Insurance Carrier Org ID]],B14)/S14)</f>
        <v>NA</v>
      </c>
      <c r="AA14" s="59" t="str">
        <f>IF(S14=0,"NA",SUMIFS(AN_TME_PY[[#All],[Claims: Long-Term Care]],AN_TME_PY[[#All],[Insurance Category Code]],2,AN_TME_PY[[#All],[Advanced Network/Insurance Carrier Org ID]],B14)/S14)</f>
        <v>NA</v>
      </c>
      <c r="AB14" s="59" t="str">
        <f>IF(S14=0,"NA",SUMIFS(AN_TME_PY[[#All],[Claims: Other]],AN_TME_PY[[#All],[Insurance Category Code]],2,AN_TME_PY[[#All],[Advanced Network/Insurance Carrier Org ID]],B14)/S14)</f>
        <v>NA</v>
      </c>
      <c r="AC14" s="158" t="str">
        <f>IF(S14=0,"NA",SUMIFS(AN_TME_PY[[#All],[TOTAL Non-Truncated Unadjusted Claims Expenses]],AN_TME_PY[[#All],[Insurance Category Code]],2,AN_TME_PY[[#All],[Advanced Network/Insurance Carrier Org ID]],B14)/S14)</f>
        <v>NA</v>
      </c>
      <c r="AD14" s="158" t="str">
        <f>IF(S14=0,"NA",SUMIFS(AN_TME_PY[[#All],[TOTAL Truncated Unadjusted Claims Expenses (A21 -A19)]],AN_TME_PY[[#All],[Insurance Category Code]],2,AN_TME_PY[[#All],[Advanced Network/Insurance Carrier Org ID]],B14)/S14)</f>
        <v>NA</v>
      </c>
      <c r="AE14" s="158" t="str">
        <f>IF(S14=0,"NA",SUMIFS(AN_TME_PY[[#All],[TOTAL Non-Claims Expenses]],AN_TME_PY[[#All],[Insurance Category Code]],2,AN_TME_PY[[#All],[Advanced Network/Insurance Carrier Org ID]],B14)/S14)</f>
        <v>NA</v>
      </c>
      <c r="AF14" s="158" t="str">
        <f>IF(S14=0,"NA",SUMIFS(AN_TME_PY[[#All],[TOTAL Non-Truncated Unadjusted Expenses (A21 + A23)]],AN_TME_PY[[#All],[Insurance Category Code]],2,AN_TME_PY[[#All],[Advanced Network/Insurance Carrier Org ID]],B14)/S14)</f>
        <v>NA</v>
      </c>
      <c r="AG14" s="157" t="str">
        <f>IF(S14=0,"NA",SUMIFS(AN_TME_PY[[#All],[TOTAL Truncated Unadjusted Expenses (A22 + A23)]],AN_TME_PY[[#All],[Insurance Category Code]],2,AN_TME_PY[[#All],[Advanced Network/Insurance Carrier Org ID]],B14)/S14)</f>
        <v>NA</v>
      </c>
      <c r="AH14" s="245" t="str">
        <f t="shared" si="0"/>
        <v>NA</v>
      </c>
      <c r="AI14" s="246" t="str">
        <f t="shared" si="1"/>
        <v>NA</v>
      </c>
      <c r="AJ14" s="247" t="str">
        <f t="shared" si="2"/>
        <v>NA</v>
      </c>
      <c r="AK14" s="247" t="str">
        <f t="shared" si="3"/>
        <v>NA</v>
      </c>
      <c r="AL14" s="247" t="str">
        <f t="shared" si="4"/>
        <v>NA</v>
      </c>
      <c r="AM14" s="247" t="str">
        <f t="shared" si="5"/>
        <v>NA</v>
      </c>
      <c r="AN14" s="247" t="str">
        <f t="shared" si="6"/>
        <v>NA</v>
      </c>
      <c r="AO14" s="247" t="str">
        <f t="shared" si="7"/>
        <v>NA</v>
      </c>
      <c r="AP14" s="247" t="str">
        <f t="shared" si="8"/>
        <v>NA</v>
      </c>
      <c r="AQ14" s="247" t="str">
        <f t="shared" si="9"/>
        <v>NA</v>
      </c>
      <c r="AR14" s="248" t="str">
        <f t="shared" si="10"/>
        <v>NA</v>
      </c>
      <c r="AS14" s="248" t="str">
        <f t="shared" si="11"/>
        <v>NA</v>
      </c>
      <c r="AT14" s="248" t="str">
        <f t="shared" si="12"/>
        <v>NA</v>
      </c>
      <c r="AU14" s="248" t="str">
        <f t="shared" si="13"/>
        <v>NA</v>
      </c>
      <c r="AV14" s="249" t="str">
        <f t="shared" si="14"/>
        <v>NA</v>
      </c>
    </row>
    <row r="15" spans="1:48" ht="45" customHeight="1" x14ac:dyDescent="0.25">
      <c r="A15" s="175"/>
      <c r="B15" s="181">
        <v>107</v>
      </c>
      <c r="C15" s="155" t="str">
        <f>_xlfn.XLOOKUP(B15,LgProvEntOrgIDs[Advanced Network/Insurer Carrier Org ID],LgProvEntOrgIDs[Advanced Network/Insurance Carrier Overall])</f>
        <v>Senior Care Network of CT (dba Advantage Plus Network)</v>
      </c>
      <c r="D15" s="242">
        <f>SUMIFS(AN_TME_BY[[#All],[Member Months]],AN_TME_BY[[#All],[Insurance Category Code]],2,AN_TME_BY[[#All],[Advanced Network/Insurance Carrier Org ID]],B15)</f>
        <v>0</v>
      </c>
      <c r="E15" s="156" t="str">
        <f>IF(D15=0,"NA",SUMIFS(AN_TME_BY[[#All],[Claims: Hospital Inpatient]],AN_TME_BY[[#All],[Insurance Category Code]],2,AN_TME_BY[[#All],[Advanced Network/Insurance Carrier Org ID]],B15)/D15)</f>
        <v>NA</v>
      </c>
      <c r="F15" s="59" t="str">
        <f>IF(D15=0,"NA",SUMIFS(AN_TME_BY[[#All],[Claims: Hospital Outpatient]],AN_TME_BY[[#All],[Insurance Category Code]],2,AN_TME_BY[[#All],[Advanced Network/Insurance Carrier Org ID]],B15)/D15)</f>
        <v>NA</v>
      </c>
      <c r="G15" s="59" t="str">
        <f>IF(D15=0,"NA",SUMIFS(AN_TME_BY[[#All],[Claims: Professional, Primary Care]],AN_TME_BY[[#All],[Insurance Category Code]],2,AN_TME_BY[[#All],[Advanced Network/Insurance Carrier Org ID]],B15)/D15)</f>
        <v>NA</v>
      </c>
      <c r="H15" s="59" t="str">
        <f>IF(D15=0,"NA",SUMIFS(AN_TME_BY[[#All],[Claims: Professional, Primary Care (for Monitoring Purposes)]],AN_TME_BY[[#All],[Insurance Category Code]],2,AN_TME_BY[[#All],[Advanced Network/Insurance Carrier Org ID]],B15)/D15)</f>
        <v>NA</v>
      </c>
      <c r="I15" s="59" t="str">
        <f>IF(D15=0,"NA",SUMIFS(AN_TME_BY[[#All],[Claims: Professional, Specialty]],AN_TME_BY[[#All],[Insurance Category Code]],2,AN_TME_BY[[#All],[Advanced Network/Insurance Carrier Org ID]],B15)/D15)</f>
        <v>NA</v>
      </c>
      <c r="J15" s="59" t="str">
        <f>IF(D15=0,"NA",SUMIFS(AN_TME_BY[[#All],[Claims: Professional Other]],AN_TME_BY[[#All],[Insurance Category Code]],2,AN_TME_BY[[#All],[Advanced Network/Insurance Carrier Org ID]],B15)/D15)</f>
        <v>NA</v>
      </c>
      <c r="K15" s="59" t="str">
        <f>IF(D15=0,"NA",SUMIFS(AN_TME_BY[[#All],[Claims: Pharmacy]],AN_TME_BY[[#All],[Insurance Category Code]],2,AN_TME_BY[[#All],[Advanced Network/Insurance Carrier Org ID]],B15)/D15)</f>
        <v>NA</v>
      </c>
      <c r="L15" s="59" t="str">
        <f>IF(D15=0,"NA",SUMIFS(AN_TME_BY[[#All],[Claims: Long-Term Care]],AN_TME_BY[[#All],[Insurance Category Code]],2,AN_TME_BY[[#All],[Advanced Network/Insurance Carrier Org ID]],B15)/D15)</f>
        <v>NA</v>
      </c>
      <c r="M15" s="59" t="str">
        <f>IF(D15=0,"NA",SUMIFS(AN_TME_BY[[#All],[Claims: Other]],AN_TME_BY[[#All],[Insurance Category Code]],2,AN_TME_BY[[#All],[Advanced Network/Insurance Carrier Org ID]],B15)/D15)</f>
        <v>NA</v>
      </c>
      <c r="N15" s="158" t="str">
        <f>IF(D15=0,"NA",SUMIFS(AN_TME_BY[[#All],[TOTAL Non-Truncated Unadjusted Claims Expenses]],AN_TME_BY[[#All],[Insurance Category Code]],2,AN_TME_BY[[#All],[Advanced Network/Insurance Carrier Org ID]],B15)/D15)</f>
        <v>NA</v>
      </c>
      <c r="O15" s="158" t="str">
        <f>IF(D15=0,"NA",SUMIFS(AN_TME_BY[[#All],[TOTAL Truncated Unadjusted Claims Expenses (A21 -A19)]],AN_TME_BY[[#All],[Insurance Category Code]],2,AN_TME_BY[[#All],[Advanced Network/Insurance Carrier Org ID]],B15)/D15)</f>
        <v>NA</v>
      </c>
      <c r="P15" s="158" t="str">
        <f>IF(D15=0,"NA",SUMIFS(AN_TME_BY[[#All],[TOTAL Non-Claims Expenses]],AN_TME_BY[[#All],[Insurance Category Code]],2,AN_TME_BY[[#All],[Advanced Network/Insurance Carrier Org ID]],B15)/D15)</f>
        <v>NA</v>
      </c>
      <c r="Q15" s="158" t="str">
        <f>IF(D15=0,"NA",SUMIFS(AN_TME_BY[[#All],[TOTAL Non-Truncated Unadjusted Expenses (A21 + A23)]],AN_TME_BY[[#All],[Insurance Category Code]],2,AN_TME_BY[[#All],[Advanced Network/Insurance Carrier Org ID]],B15)/D15)</f>
        <v>NA</v>
      </c>
      <c r="R15" s="158" t="str">
        <f>IF(D15=0,"NA",SUMIFS(AN_TME_BY[[#All],[TOTAL Truncated Unadjusted Expenses (A22 + A23)]],AN_TME_BY[[#All],[Insurance Category Code]],2,AN_TME_BY[[#All],[Advanced Network/Insurance Carrier Org ID]],B15)/D15)</f>
        <v>NA</v>
      </c>
      <c r="S15" s="242">
        <f>SUMIFS(AN_TME_PY[[#All],[Member Months]],AN_TME_PY[[#All],[Insurance Category Code]],2,AN_TME_PY[[#All],[Advanced Network/Insurance Carrier Org ID]],B15)</f>
        <v>0</v>
      </c>
      <c r="T15" s="156" t="str">
        <f>IF(S15=0,"NA",SUMIFS(AN_TME_PY[[#All],[Claims: Hospital Inpatient]],AN_TME_PY[[#All],[Insurance Category Code]],2,AN_TME_PY[[#All],[Advanced Network/Insurance Carrier Org ID]],B15)/S15)</f>
        <v>NA</v>
      </c>
      <c r="U15" s="59" t="str">
        <f>IF(S15=0,"NA",SUMIFS(AN_TME_PY[[#All],[Claims: Hospital Outpatient]],AN_TME_PY[[#All],[Insurance Category Code]],2,AN_TME_PY[[#All],[Advanced Network/Insurance Carrier Org ID]],B15)/S15)</f>
        <v>NA</v>
      </c>
      <c r="V15" s="59" t="str">
        <f>IF(S15=0,"NA",SUMIFS(AN_TME_PY[[#All],[Claims: Professional, Primary Care]],AN_TME_PY[[#All],[Insurance Category Code]],2,AN_TME_PY[[#All],[Advanced Network/Insurance Carrier Org ID]],B15)/S15)</f>
        <v>NA</v>
      </c>
      <c r="W15" s="59" t="str">
        <f>IF(S15=0,"NA",SUMIFS(AN_TME_PY[[#All],[Claims: Professional, Primary Care (for Monitoring Purposes)]],AN_TME_PY[[#All],[Insurance Category Code]],2,AN_TME_PY[[#All],[Advanced Network/Insurance Carrier Org ID]],B15)/S15)</f>
        <v>NA</v>
      </c>
      <c r="X15" s="59" t="str">
        <f>IF(S15=0,"NA",SUMIFS(AN_TME_PY[[#All],[Claims: Professional, Specialty]],AN_TME_PY[[#All],[Insurance Category Code]],2,AN_TME_PY[[#All],[Advanced Network/Insurance Carrier Org ID]],B15)/S15)</f>
        <v>NA</v>
      </c>
      <c r="Y15" s="59" t="str">
        <f>IF(S15=0,"NA",SUMIFS(AN_TME_PY[[#All],[Claims: Professional Other]],AN_TME_PY[[#All],[Insurance Category Code]],2,AN_TME_PY[[#All],[Advanced Network/Insurance Carrier Org ID]],B15)/S15)</f>
        <v>NA</v>
      </c>
      <c r="Z15" s="59" t="str">
        <f>IF(S15=0,"NA",SUMIFS(AN_TME_PY[[#All],[Claims: Pharmacy]],AN_TME_PY[[#All],[Insurance Category Code]],2,AN_TME_PY[[#All],[Advanced Network/Insurance Carrier Org ID]],B15)/S15)</f>
        <v>NA</v>
      </c>
      <c r="AA15" s="59" t="str">
        <f>IF(S15=0,"NA",SUMIFS(AN_TME_PY[[#All],[Claims: Long-Term Care]],AN_TME_PY[[#All],[Insurance Category Code]],2,AN_TME_PY[[#All],[Advanced Network/Insurance Carrier Org ID]],B15)/S15)</f>
        <v>NA</v>
      </c>
      <c r="AB15" s="59" t="str">
        <f>IF(S15=0,"NA",SUMIFS(AN_TME_PY[[#All],[Claims: Other]],AN_TME_PY[[#All],[Insurance Category Code]],2,AN_TME_PY[[#All],[Advanced Network/Insurance Carrier Org ID]],B15)/S15)</f>
        <v>NA</v>
      </c>
      <c r="AC15" s="158" t="str">
        <f>IF(S15=0,"NA",SUMIFS(AN_TME_PY[[#All],[TOTAL Non-Truncated Unadjusted Claims Expenses]],AN_TME_PY[[#All],[Insurance Category Code]],2,AN_TME_PY[[#All],[Advanced Network/Insurance Carrier Org ID]],B15)/S15)</f>
        <v>NA</v>
      </c>
      <c r="AD15" s="158" t="str">
        <f>IF(S15=0,"NA",SUMIFS(AN_TME_PY[[#All],[TOTAL Truncated Unadjusted Claims Expenses (A21 -A19)]],AN_TME_PY[[#All],[Insurance Category Code]],2,AN_TME_PY[[#All],[Advanced Network/Insurance Carrier Org ID]],B15)/S15)</f>
        <v>NA</v>
      </c>
      <c r="AE15" s="158" t="str">
        <f>IF(S15=0,"NA",SUMIFS(AN_TME_PY[[#All],[TOTAL Non-Claims Expenses]],AN_TME_PY[[#All],[Insurance Category Code]],2,AN_TME_PY[[#All],[Advanced Network/Insurance Carrier Org ID]],B15)/S15)</f>
        <v>NA</v>
      </c>
      <c r="AF15" s="158" t="str">
        <f>IF(S15=0,"NA",SUMIFS(AN_TME_PY[[#All],[TOTAL Non-Truncated Unadjusted Expenses (A21 + A23)]],AN_TME_PY[[#All],[Insurance Category Code]],2,AN_TME_PY[[#All],[Advanced Network/Insurance Carrier Org ID]],B15)/S15)</f>
        <v>NA</v>
      </c>
      <c r="AG15" s="157" t="str">
        <f>IF(S15=0,"NA",SUMIFS(AN_TME_PY[[#All],[TOTAL Truncated Unadjusted Expenses (A22 + A23)]],AN_TME_PY[[#All],[Insurance Category Code]],2,AN_TME_PY[[#All],[Advanced Network/Insurance Carrier Org ID]],B15)/S15)</f>
        <v>NA</v>
      </c>
      <c r="AH15" s="245" t="str">
        <f t="shared" si="0"/>
        <v>NA</v>
      </c>
      <c r="AI15" s="246" t="str">
        <f t="shared" si="1"/>
        <v>NA</v>
      </c>
      <c r="AJ15" s="247" t="str">
        <f t="shared" si="2"/>
        <v>NA</v>
      </c>
      <c r="AK15" s="247" t="str">
        <f t="shared" si="3"/>
        <v>NA</v>
      </c>
      <c r="AL15" s="247" t="str">
        <f t="shared" si="4"/>
        <v>NA</v>
      </c>
      <c r="AM15" s="247" t="str">
        <f t="shared" si="5"/>
        <v>NA</v>
      </c>
      <c r="AN15" s="247" t="str">
        <f t="shared" si="6"/>
        <v>NA</v>
      </c>
      <c r="AO15" s="247" t="str">
        <f t="shared" si="7"/>
        <v>NA</v>
      </c>
      <c r="AP15" s="247" t="str">
        <f t="shared" si="8"/>
        <v>NA</v>
      </c>
      <c r="AQ15" s="247" t="str">
        <f t="shared" si="9"/>
        <v>NA</v>
      </c>
      <c r="AR15" s="248" t="str">
        <f t="shared" si="10"/>
        <v>NA</v>
      </c>
      <c r="AS15" s="248" t="str">
        <f t="shared" si="11"/>
        <v>NA</v>
      </c>
      <c r="AT15" s="248" t="str">
        <f t="shared" si="12"/>
        <v>NA</v>
      </c>
      <c r="AU15" s="248" t="str">
        <f t="shared" si="13"/>
        <v>NA</v>
      </c>
      <c r="AV15" s="249" t="str">
        <f t="shared" si="14"/>
        <v>NA</v>
      </c>
    </row>
    <row r="16" spans="1:48" ht="45" customHeight="1" x14ac:dyDescent="0.25">
      <c r="A16" s="175"/>
      <c r="B16" s="181">
        <v>108</v>
      </c>
      <c r="C16" s="155" t="str">
        <f>_xlfn.XLOOKUP(B16,LgProvEntOrgIDs[Advanced Network/Insurer Carrier Org ID],LgProvEntOrgIDs[Advanced Network/Insurance Carrier Overall])</f>
        <v>Prospect Connecticut Medical Foundation Inc. (dba Prospect Medical, Prospect Health Services, Prospect Holdings)</v>
      </c>
      <c r="D16" s="242">
        <f>SUMIFS(AN_TME_BY[[#All],[Member Months]],AN_TME_BY[[#All],[Insurance Category Code]],2,AN_TME_BY[[#All],[Advanced Network/Insurance Carrier Org ID]],B16)</f>
        <v>0</v>
      </c>
      <c r="E16" s="156" t="str">
        <f>IF(D16=0,"NA",SUMIFS(AN_TME_BY[[#All],[Claims: Hospital Inpatient]],AN_TME_BY[[#All],[Insurance Category Code]],2,AN_TME_BY[[#All],[Advanced Network/Insurance Carrier Org ID]],B16)/D16)</f>
        <v>NA</v>
      </c>
      <c r="F16" s="59" t="str">
        <f>IF(D16=0,"NA",SUMIFS(AN_TME_BY[[#All],[Claims: Hospital Outpatient]],AN_TME_BY[[#All],[Insurance Category Code]],2,AN_TME_BY[[#All],[Advanced Network/Insurance Carrier Org ID]],B16)/D16)</f>
        <v>NA</v>
      </c>
      <c r="G16" s="59" t="str">
        <f>IF(D16=0,"NA",SUMIFS(AN_TME_BY[[#All],[Claims: Professional, Primary Care]],AN_TME_BY[[#All],[Insurance Category Code]],2,AN_TME_BY[[#All],[Advanced Network/Insurance Carrier Org ID]],B16)/D16)</f>
        <v>NA</v>
      </c>
      <c r="H16" s="59" t="str">
        <f>IF(D16=0,"NA",SUMIFS(AN_TME_BY[[#All],[Claims: Professional, Primary Care (for Monitoring Purposes)]],AN_TME_BY[[#All],[Insurance Category Code]],2,AN_TME_BY[[#All],[Advanced Network/Insurance Carrier Org ID]],B16)/D16)</f>
        <v>NA</v>
      </c>
      <c r="I16" s="59" t="str">
        <f>IF(D16=0,"NA",SUMIFS(AN_TME_BY[[#All],[Claims: Professional, Specialty]],AN_TME_BY[[#All],[Insurance Category Code]],2,AN_TME_BY[[#All],[Advanced Network/Insurance Carrier Org ID]],B16)/D16)</f>
        <v>NA</v>
      </c>
      <c r="J16" s="59" t="str">
        <f>IF(D16=0,"NA",SUMIFS(AN_TME_BY[[#All],[Claims: Professional Other]],AN_TME_BY[[#All],[Insurance Category Code]],2,AN_TME_BY[[#All],[Advanced Network/Insurance Carrier Org ID]],B16)/D16)</f>
        <v>NA</v>
      </c>
      <c r="K16" s="59" t="str">
        <f>IF(D16=0,"NA",SUMIFS(AN_TME_BY[[#All],[Claims: Pharmacy]],AN_TME_BY[[#All],[Insurance Category Code]],2,AN_TME_BY[[#All],[Advanced Network/Insurance Carrier Org ID]],B16)/D16)</f>
        <v>NA</v>
      </c>
      <c r="L16" s="59" t="str">
        <f>IF(D16=0,"NA",SUMIFS(AN_TME_BY[[#All],[Claims: Long-Term Care]],AN_TME_BY[[#All],[Insurance Category Code]],2,AN_TME_BY[[#All],[Advanced Network/Insurance Carrier Org ID]],B16)/D16)</f>
        <v>NA</v>
      </c>
      <c r="M16" s="59" t="str">
        <f>IF(D16=0,"NA",SUMIFS(AN_TME_BY[[#All],[Claims: Other]],AN_TME_BY[[#All],[Insurance Category Code]],2,AN_TME_BY[[#All],[Advanced Network/Insurance Carrier Org ID]],B16)/D16)</f>
        <v>NA</v>
      </c>
      <c r="N16" s="158" t="str">
        <f>IF(D16=0,"NA",SUMIFS(AN_TME_BY[[#All],[TOTAL Non-Truncated Unadjusted Claims Expenses]],AN_TME_BY[[#All],[Insurance Category Code]],2,AN_TME_BY[[#All],[Advanced Network/Insurance Carrier Org ID]],B16)/D16)</f>
        <v>NA</v>
      </c>
      <c r="O16" s="158" t="str">
        <f>IF(D16=0,"NA",SUMIFS(AN_TME_BY[[#All],[TOTAL Truncated Unadjusted Claims Expenses (A21 -A19)]],AN_TME_BY[[#All],[Insurance Category Code]],2,AN_TME_BY[[#All],[Advanced Network/Insurance Carrier Org ID]],B16)/D16)</f>
        <v>NA</v>
      </c>
      <c r="P16" s="158" t="str">
        <f>IF(D16=0,"NA",SUMIFS(AN_TME_BY[[#All],[TOTAL Non-Claims Expenses]],AN_TME_BY[[#All],[Insurance Category Code]],2,AN_TME_BY[[#All],[Advanced Network/Insurance Carrier Org ID]],B16)/D16)</f>
        <v>NA</v>
      </c>
      <c r="Q16" s="158" t="str">
        <f>IF(D16=0,"NA",SUMIFS(AN_TME_BY[[#All],[TOTAL Non-Truncated Unadjusted Expenses (A21 + A23)]],AN_TME_BY[[#All],[Insurance Category Code]],2,AN_TME_BY[[#All],[Advanced Network/Insurance Carrier Org ID]],B16)/D16)</f>
        <v>NA</v>
      </c>
      <c r="R16" s="158" t="str">
        <f>IF(D16=0,"NA",SUMIFS(AN_TME_BY[[#All],[TOTAL Truncated Unadjusted Expenses (A22 + A23)]],AN_TME_BY[[#All],[Insurance Category Code]],2,AN_TME_BY[[#All],[Advanced Network/Insurance Carrier Org ID]],B16)/D16)</f>
        <v>NA</v>
      </c>
      <c r="S16" s="242">
        <f>SUMIFS(AN_TME_PY[[#All],[Member Months]],AN_TME_PY[[#All],[Insurance Category Code]],2,AN_TME_PY[[#All],[Advanced Network/Insurance Carrier Org ID]],B16)</f>
        <v>0</v>
      </c>
      <c r="T16" s="156" t="str">
        <f>IF(S16=0,"NA",SUMIFS(AN_TME_PY[[#All],[Claims: Hospital Inpatient]],AN_TME_PY[[#All],[Insurance Category Code]],2,AN_TME_PY[[#All],[Advanced Network/Insurance Carrier Org ID]],B16)/S16)</f>
        <v>NA</v>
      </c>
      <c r="U16" s="59" t="str">
        <f>IF(S16=0,"NA",SUMIFS(AN_TME_PY[[#All],[Claims: Hospital Outpatient]],AN_TME_PY[[#All],[Insurance Category Code]],2,AN_TME_PY[[#All],[Advanced Network/Insurance Carrier Org ID]],B16)/S16)</f>
        <v>NA</v>
      </c>
      <c r="V16" s="59" t="str">
        <f>IF(S16=0,"NA",SUMIFS(AN_TME_PY[[#All],[Claims: Professional, Primary Care]],AN_TME_PY[[#All],[Insurance Category Code]],2,AN_TME_PY[[#All],[Advanced Network/Insurance Carrier Org ID]],B16)/S16)</f>
        <v>NA</v>
      </c>
      <c r="W16" s="59" t="str">
        <f>IF(S16=0,"NA",SUMIFS(AN_TME_PY[[#All],[Claims: Professional, Primary Care (for Monitoring Purposes)]],AN_TME_PY[[#All],[Insurance Category Code]],2,AN_TME_PY[[#All],[Advanced Network/Insurance Carrier Org ID]],B16)/S16)</f>
        <v>NA</v>
      </c>
      <c r="X16" s="59" t="str">
        <f>IF(S16=0,"NA",SUMIFS(AN_TME_PY[[#All],[Claims: Professional, Specialty]],AN_TME_PY[[#All],[Insurance Category Code]],2,AN_TME_PY[[#All],[Advanced Network/Insurance Carrier Org ID]],B16)/S16)</f>
        <v>NA</v>
      </c>
      <c r="Y16" s="59" t="str">
        <f>IF(S16=0,"NA",SUMIFS(AN_TME_PY[[#All],[Claims: Professional Other]],AN_TME_PY[[#All],[Insurance Category Code]],2,AN_TME_PY[[#All],[Advanced Network/Insurance Carrier Org ID]],B16)/S16)</f>
        <v>NA</v>
      </c>
      <c r="Z16" s="59" t="str">
        <f>IF(S16=0,"NA",SUMIFS(AN_TME_PY[[#All],[Claims: Pharmacy]],AN_TME_PY[[#All],[Insurance Category Code]],2,AN_TME_PY[[#All],[Advanced Network/Insurance Carrier Org ID]],B16)/S16)</f>
        <v>NA</v>
      </c>
      <c r="AA16" s="59" t="str">
        <f>IF(S16=0,"NA",SUMIFS(AN_TME_PY[[#All],[Claims: Long-Term Care]],AN_TME_PY[[#All],[Insurance Category Code]],2,AN_TME_PY[[#All],[Advanced Network/Insurance Carrier Org ID]],B16)/S16)</f>
        <v>NA</v>
      </c>
      <c r="AB16" s="59" t="str">
        <f>IF(S16=0,"NA",SUMIFS(AN_TME_PY[[#All],[Claims: Other]],AN_TME_PY[[#All],[Insurance Category Code]],2,AN_TME_PY[[#All],[Advanced Network/Insurance Carrier Org ID]],B16)/S16)</f>
        <v>NA</v>
      </c>
      <c r="AC16" s="158" t="str">
        <f>IF(S16=0,"NA",SUMIFS(AN_TME_PY[[#All],[TOTAL Non-Truncated Unadjusted Claims Expenses]],AN_TME_PY[[#All],[Insurance Category Code]],2,AN_TME_PY[[#All],[Advanced Network/Insurance Carrier Org ID]],B16)/S16)</f>
        <v>NA</v>
      </c>
      <c r="AD16" s="158" t="str">
        <f>IF(S16=0,"NA",SUMIFS(AN_TME_PY[[#All],[TOTAL Truncated Unadjusted Claims Expenses (A21 -A19)]],AN_TME_PY[[#All],[Insurance Category Code]],2,AN_TME_PY[[#All],[Advanced Network/Insurance Carrier Org ID]],B16)/S16)</f>
        <v>NA</v>
      </c>
      <c r="AE16" s="158" t="str">
        <f>IF(S16=0,"NA",SUMIFS(AN_TME_PY[[#All],[TOTAL Non-Claims Expenses]],AN_TME_PY[[#All],[Insurance Category Code]],2,AN_TME_PY[[#All],[Advanced Network/Insurance Carrier Org ID]],B16)/S16)</f>
        <v>NA</v>
      </c>
      <c r="AF16" s="158" t="str">
        <f>IF(S16=0,"NA",SUMIFS(AN_TME_PY[[#All],[TOTAL Non-Truncated Unadjusted Expenses (A21 + A23)]],AN_TME_PY[[#All],[Insurance Category Code]],2,AN_TME_PY[[#All],[Advanced Network/Insurance Carrier Org ID]],B16)/S16)</f>
        <v>NA</v>
      </c>
      <c r="AG16" s="157" t="str">
        <f>IF(S16=0,"NA",SUMIFS(AN_TME_PY[[#All],[TOTAL Truncated Unadjusted Expenses (A22 + A23)]],AN_TME_PY[[#All],[Insurance Category Code]],2,AN_TME_PY[[#All],[Advanced Network/Insurance Carrier Org ID]],B16)/S16)</f>
        <v>NA</v>
      </c>
      <c r="AH16" s="245" t="str">
        <f t="shared" si="0"/>
        <v>NA</v>
      </c>
      <c r="AI16" s="246" t="str">
        <f t="shared" si="1"/>
        <v>NA</v>
      </c>
      <c r="AJ16" s="247" t="str">
        <f t="shared" si="2"/>
        <v>NA</v>
      </c>
      <c r="AK16" s="247" t="str">
        <f t="shared" si="3"/>
        <v>NA</v>
      </c>
      <c r="AL16" s="247" t="str">
        <f t="shared" si="4"/>
        <v>NA</v>
      </c>
      <c r="AM16" s="247" t="str">
        <f t="shared" si="5"/>
        <v>NA</v>
      </c>
      <c r="AN16" s="247" t="str">
        <f t="shared" si="6"/>
        <v>NA</v>
      </c>
      <c r="AO16" s="247" t="str">
        <f t="shared" si="7"/>
        <v>NA</v>
      </c>
      <c r="AP16" s="247" t="str">
        <f t="shared" si="8"/>
        <v>NA</v>
      </c>
      <c r="AQ16" s="247" t="str">
        <f t="shared" si="9"/>
        <v>NA</v>
      </c>
      <c r="AR16" s="248" t="str">
        <f t="shared" si="10"/>
        <v>NA</v>
      </c>
      <c r="AS16" s="248" t="str">
        <f t="shared" si="11"/>
        <v>NA</v>
      </c>
      <c r="AT16" s="248" t="str">
        <f t="shared" si="12"/>
        <v>NA</v>
      </c>
      <c r="AU16" s="248" t="str">
        <f t="shared" si="13"/>
        <v>NA</v>
      </c>
      <c r="AV16" s="249" t="str">
        <f t="shared" si="14"/>
        <v>NA</v>
      </c>
    </row>
    <row r="17" spans="1:48" ht="15" customHeight="1" x14ac:dyDescent="0.25">
      <c r="A17" s="175"/>
      <c r="B17" s="181">
        <v>109</v>
      </c>
      <c r="C17" s="155" t="str">
        <f>_xlfn.XLOOKUP(B17,LgProvEntOrgIDs[Advanced Network/Insurer Carrier Org ID],LgProvEntOrgIDs[Advanced Network/Insurance Carrier Overall])</f>
        <v>Southern New England Health Care Organization (aka SoNE Health)</v>
      </c>
      <c r="D17" s="242">
        <f>SUMIFS(AN_TME_BY[[#All],[Member Months]],AN_TME_BY[[#All],[Insurance Category Code]],2,AN_TME_BY[[#All],[Advanced Network/Insurance Carrier Org ID]],B17)</f>
        <v>0</v>
      </c>
      <c r="E17" s="156" t="str">
        <f>IF(D17=0,"NA",SUMIFS(AN_TME_BY[[#All],[Claims: Hospital Inpatient]],AN_TME_BY[[#All],[Insurance Category Code]],2,AN_TME_BY[[#All],[Advanced Network/Insurance Carrier Org ID]],B17)/D17)</f>
        <v>NA</v>
      </c>
      <c r="F17" s="59" t="str">
        <f>IF(D17=0,"NA",SUMIFS(AN_TME_BY[[#All],[Claims: Hospital Outpatient]],AN_TME_BY[[#All],[Insurance Category Code]],2,AN_TME_BY[[#All],[Advanced Network/Insurance Carrier Org ID]],B17)/D17)</f>
        <v>NA</v>
      </c>
      <c r="G17" s="59" t="str">
        <f>IF(D17=0,"NA",SUMIFS(AN_TME_BY[[#All],[Claims: Professional, Primary Care]],AN_TME_BY[[#All],[Insurance Category Code]],2,AN_TME_BY[[#All],[Advanced Network/Insurance Carrier Org ID]],B17)/D17)</f>
        <v>NA</v>
      </c>
      <c r="H17" s="59" t="str">
        <f>IF(D17=0,"NA",SUMIFS(AN_TME_BY[[#All],[Claims: Professional, Primary Care (for Monitoring Purposes)]],AN_TME_BY[[#All],[Insurance Category Code]],2,AN_TME_BY[[#All],[Advanced Network/Insurance Carrier Org ID]],B17)/D17)</f>
        <v>NA</v>
      </c>
      <c r="I17" s="59" t="str">
        <f>IF(D17=0,"NA",SUMIFS(AN_TME_BY[[#All],[Claims: Professional, Specialty]],AN_TME_BY[[#All],[Insurance Category Code]],2,AN_TME_BY[[#All],[Advanced Network/Insurance Carrier Org ID]],B17)/D17)</f>
        <v>NA</v>
      </c>
      <c r="J17" s="59" t="str">
        <f>IF(D17=0,"NA",SUMIFS(AN_TME_BY[[#All],[Claims: Professional Other]],AN_TME_BY[[#All],[Insurance Category Code]],2,AN_TME_BY[[#All],[Advanced Network/Insurance Carrier Org ID]],B17)/D17)</f>
        <v>NA</v>
      </c>
      <c r="K17" s="59" t="str">
        <f>IF(D17=0,"NA",SUMIFS(AN_TME_BY[[#All],[Claims: Pharmacy]],AN_TME_BY[[#All],[Insurance Category Code]],2,AN_TME_BY[[#All],[Advanced Network/Insurance Carrier Org ID]],B17)/D17)</f>
        <v>NA</v>
      </c>
      <c r="L17" s="59" t="str">
        <f>IF(D17=0,"NA",SUMIFS(AN_TME_BY[[#All],[Claims: Long-Term Care]],AN_TME_BY[[#All],[Insurance Category Code]],2,AN_TME_BY[[#All],[Advanced Network/Insurance Carrier Org ID]],B17)/D17)</f>
        <v>NA</v>
      </c>
      <c r="M17" s="59" t="str">
        <f>IF(D17=0,"NA",SUMIFS(AN_TME_BY[[#All],[Claims: Other]],AN_TME_BY[[#All],[Insurance Category Code]],2,AN_TME_BY[[#All],[Advanced Network/Insurance Carrier Org ID]],B17)/D17)</f>
        <v>NA</v>
      </c>
      <c r="N17" s="158" t="str">
        <f>IF(D17=0,"NA",SUMIFS(AN_TME_BY[[#All],[TOTAL Non-Truncated Unadjusted Claims Expenses]],AN_TME_BY[[#All],[Insurance Category Code]],2,AN_TME_BY[[#All],[Advanced Network/Insurance Carrier Org ID]],B17)/D17)</f>
        <v>NA</v>
      </c>
      <c r="O17" s="158" t="str">
        <f>IF(D17=0,"NA",SUMIFS(AN_TME_BY[[#All],[TOTAL Truncated Unadjusted Claims Expenses (A21 -A19)]],AN_TME_BY[[#All],[Insurance Category Code]],2,AN_TME_BY[[#All],[Advanced Network/Insurance Carrier Org ID]],B17)/D17)</f>
        <v>NA</v>
      </c>
      <c r="P17" s="158" t="str">
        <f>IF(D17=0,"NA",SUMIFS(AN_TME_BY[[#All],[TOTAL Non-Claims Expenses]],AN_TME_BY[[#All],[Insurance Category Code]],2,AN_TME_BY[[#All],[Advanced Network/Insurance Carrier Org ID]],B17)/D17)</f>
        <v>NA</v>
      </c>
      <c r="Q17" s="158" t="str">
        <f>IF(D17=0,"NA",SUMIFS(AN_TME_BY[[#All],[TOTAL Non-Truncated Unadjusted Expenses (A21 + A23)]],AN_TME_BY[[#All],[Insurance Category Code]],2,AN_TME_BY[[#All],[Advanced Network/Insurance Carrier Org ID]],B17)/D17)</f>
        <v>NA</v>
      </c>
      <c r="R17" s="158" t="str">
        <f>IF(D17=0,"NA",SUMIFS(AN_TME_BY[[#All],[TOTAL Truncated Unadjusted Expenses (A22 + A23)]],AN_TME_BY[[#All],[Insurance Category Code]],2,AN_TME_BY[[#All],[Advanced Network/Insurance Carrier Org ID]],B17)/D17)</f>
        <v>NA</v>
      </c>
      <c r="S17" s="242">
        <f>SUMIFS(AN_TME_PY[[#All],[Member Months]],AN_TME_PY[[#All],[Insurance Category Code]],2,AN_TME_PY[[#All],[Advanced Network/Insurance Carrier Org ID]],B17)</f>
        <v>0</v>
      </c>
      <c r="T17" s="156" t="str">
        <f>IF(S17=0,"NA",SUMIFS(AN_TME_PY[[#All],[Claims: Hospital Inpatient]],AN_TME_PY[[#All],[Insurance Category Code]],2,AN_TME_PY[[#All],[Advanced Network/Insurance Carrier Org ID]],B17)/S17)</f>
        <v>NA</v>
      </c>
      <c r="U17" s="59" t="str">
        <f>IF(S17=0,"NA",SUMIFS(AN_TME_PY[[#All],[Claims: Hospital Outpatient]],AN_TME_PY[[#All],[Insurance Category Code]],2,AN_TME_PY[[#All],[Advanced Network/Insurance Carrier Org ID]],B17)/S17)</f>
        <v>NA</v>
      </c>
      <c r="V17" s="59" t="str">
        <f>IF(S17=0,"NA",SUMIFS(AN_TME_PY[[#All],[Claims: Professional, Primary Care]],AN_TME_PY[[#All],[Insurance Category Code]],2,AN_TME_PY[[#All],[Advanced Network/Insurance Carrier Org ID]],B17)/S17)</f>
        <v>NA</v>
      </c>
      <c r="W17" s="59" t="str">
        <f>IF(S17=0,"NA",SUMIFS(AN_TME_PY[[#All],[Claims: Professional, Primary Care (for Monitoring Purposes)]],AN_TME_PY[[#All],[Insurance Category Code]],2,AN_TME_PY[[#All],[Advanced Network/Insurance Carrier Org ID]],B17)/S17)</f>
        <v>NA</v>
      </c>
      <c r="X17" s="59" t="str">
        <f>IF(S17=0,"NA",SUMIFS(AN_TME_PY[[#All],[Claims: Professional, Specialty]],AN_TME_PY[[#All],[Insurance Category Code]],2,AN_TME_PY[[#All],[Advanced Network/Insurance Carrier Org ID]],B17)/S17)</f>
        <v>NA</v>
      </c>
      <c r="Y17" s="59" t="str">
        <f>IF(S17=0,"NA",SUMIFS(AN_TME_PY[[#All],[Claims: Professional Other]],AN_TME_PY[[#All],[Insurance Category Code]],2,AN_TME_PY[[#All],[Advanced Network/Insurance Carrier Org ID]],B17)/S17)</f>
        <v>NA</v>
      </c>
      <c r="Z17" s="59" t="str">
        <f>IF(S17=0,"NA",SUMIFS(AN_TME_PY[[#All],[Claims: Pharmacy]],AN_TME_PY[[#All],[Insurance Category Code]],2,AN_TME_PY[[#All],[Advanced Network/Insurance Carrier Org ID]],B17)/S17)</f>
        <v>NA</v>
      </c>
      <c r="AA17" s="59" t="str">
        <f>IF(S17=0,"NA",SUMIFS(AN_TME_PY[[#All],[Claims: Long-Term Care]],AN_TME_PY[[#All],[Insurance Category Code]],2,AN_TME_PY[[#All],[Advanced Network/Insurance Carrier Org ID]],B17)/S17)</f>
        <v>NA</v>
      </c>
      <c r="AB17" s="59" t="str">
        <f>IF(S17=0,"NA",SUMIFS(AN_TME_PY[[#All],[Claims: Other]],AN_TME_PY[[#All],[Insurance Category Code]],2,AN_TME_PY[[#All],[Advanced Network/Insurance Carrier Org ID]],B17)/S17)</f>
        <v>NA</v>
      </c>
      <c r="AC17" s="158" t="str">
        <f>IF(S17=0,"NA",SUMIFS(AN_TME_PY[[#All],[TOTAL Non-Truncated Unadjusted Claims Expenses]],AN_TME_PY[[#All],[Insurance Category Code]],2,AN_TME_PY[[#All],[Advanced Network/Insurance Carrier Org ID]],B17)/S17)</f>
        <v>NA</v>
      </c>
      <c r="AD17" s="158" t="str">
        <f>IF(S17=0,"NA",SUMIFS(AN_TME_PY[[#All],[TOTAL Truncated Unadjusted Claims Expenses (A21 -A19)]],AN_TME_PY[[#All],[Insurance Category Code]],2,AN_TME_PY[[#All],[Advanced Network/Insurance Carrier Org ID]],B17)/S17)</f>
        <v>NA</v>
      </c>
      <c r="AE17" s="158" t="str">
        <f>IF(S17=0,"NA",SUMIFS(AN_TME_PY[[#All],[TOTAL Non-Claims Expenses]],AN_TME_PY[[#All],[Insurance Category Code]],2,AN_TME_PY[[#All],[Advanced Network/Insurance Carrier Org ID]],B17)/S17)</f>
        <v>NA</v>
      </c>
      <c r="AF17" s="158" t="str">
        <f>IF(S17=0,"NA",SUMIFS(AN_TME_PY[[#All],[TOTAL Non-Truncated Unadjusted Expenses (A21 + A23)]],AN_TME_PY[[#All],[Insurance Category Code]],2,AN_TME_PY[[#All],[Advanced Network/Insurance Carrier Org ID]],B17)/S17)</f>
        <v>NA</v>
      </c>
      <c r="AG17" s="157" t="str">
        <f>IF(S17=0,"NA",SUMIFS(AN_TME_PY[[#All],[TOTAL Truncated Unadjusted Expenses (A22 + A23)]],AN_TME_PY[[#All],[Insurance Category Code]],2,AN_TME_PY[[#All],[Advanced Network/Insurance Carrier Org ID]],B17)/S17)</f>
        <v>NA</v>
      </c>
      <c r="AH17" s="245" t="str">
        <f t="shared" si="0"/>
        <v>NA</v>
      </c>
      <c r="AI17" s="246" t="str">
        <f t="shared" si="1"/>
        <v>NA</v>
      </c>
      <c r="AJ17" s="247" t="str">
        <f t="shared" si="2"/>
        <v>NA</v>
      </c>
      <c r="AK17" s="247" t="str">
        <f t="shared" si="3"/>
        <v>NA</v>
      </c>
      <c r="AL17" s="247" t="str">
        <f t="shared" si="4"/>
        <v>NA</v>
      </c>
      <c r="AM17" s="247" t="str">
        <f t="shared" si="5"/>
        <v>NA</v>
      </c>
      <c r="AN17" s="247" t="str">
        <f t="shared" si="6"/>
        <v>NA</v>
      </c>
      <c r="AO17" s="247" t="str">
        <f t="shared" si="7"/>
        <v>NA</v>
      </c>
      <c r="AP17" s="247" t="str">
        <f t="shared" si="8"/>
        <v>NA</v>
      </c>
      <c r="AQ17" s="247" t="str">
        <f t="shared" si="9"/>
        <v>NA</v>
      </c>
      <c r="AR17" s="248" t="str">
        <f t="shared" si="10"/>
        <v>NA</v>
      </c>
      <c r="AS17" s="248" t="str">
        <f t="shared" si="11"/>
        <v>NA</v>
      </c>
      <c r="AT17" s="248" t="str">
        <f t="shared" si="12"/>
        <v>NA</v>
      </c>
      <c r="AU17" s="248" t="str">
        <f t="shared" si="13"/>
        <v>NA</v>
      </c>
      <c r="AV17" s="249" t="str">
        <f t="shared" si="14"/>
        <v>NA</v>
      </c>
    </row>
    <row r="18" spans="1:48" ht="15" customHeight="1" x14ac:dyDescent="0.25">
      <c r="A18" s="175"/>
      <c r="B18" s="181">
        <v>110</v>
      </c>
      <c r="C18" s="155" t="str">
        <f>_xlfn.XLOOKUP(B18,LgProvEntOrgIDs[Advanced Network/Insurer Carrier Org ID],LgProvEntOrgIDs[Advanced Network/Insurance Carrier Overall])</f>
        <v>Value Care Alliance</v>
      </c>
      <c r="D18" s="242">
        <f>SUMIFS(AN_TME_BY[[#All],[Member Months]],AN_TME_BY[[#All],[Insurance Category Code]],2,AN_TME_BY[[#All],[Advanced Network/Insurance Carrier Org ID]],B18)</f>
        <v>0</v>
      </c>
      <c r="E18" s="156" t="str">
        <f>IF(D18=0,"NA",SUMIFS(AN_TME_BY[[#All],[Claims: Hospital Inpatient]],AN_TME_BY[[#All],[Insurance Category Code]],2,AN_TME_BY[[#All],[Advanced Network/Insurance Carrier Org ID]],B18)/D18)</f>
        <v>NA</v>
      </c>
      <c r="F18" s="59" t="str">
        <f>IF(D18=0,"NA",SUMIFS(AN_TME_BY[[#All],[Claims: Hospital Outpatient]],AN_TME_BY[[#All],[Insurance Category Code]],2,AN_TME_BY[[#All],[Advanced Network/Insurance Carrier Org ID]],B18)/D18)</f>
        <v>NA</v>
      </c>
      <c r="G18" s="59" t="str">
        <f>IF(D18=0,"NA",SUMIFS(AN_TME_BY[[#All],[Claims: Professional, Primary Care]],AN_TME_BY[[#All],[Insurance Category Code]],2,AN_TME_BY[[#All],[Advanced Network/Insurance Carrier Org ID]],B18)/D18)</f>
        <v>NA</v>
      </c>
      <c r="H18" s="59" t="str">
        <f>IF(D18=0,"NA",SUMIFS(AN_TME_BY[[#All],[Claims: Professional, Primary Care (for Monitoring Purposes)]],AN_TME_BY[[#All],[Insurance Category Code]],2,AN_TME_BY[[#All],[Advanced Network/Insurance Carrier Org ID]],B18)/D18)</f>
        <v>NA</v>
      </c>
      <c r="I18" s="59" t="str">
        <f>IF(D18=0,"NA",SUMIFS(AN_TME_BY[[#All],[Claims: Professional, Specialty]],AN_TME_BY[[#All],[Insurance Category Code]],2,AN_TME_BY[[#All],[Advanced Network/Insurance Carrier Org ID]],B18)/D18)</f>
        <v>NA</v>
      </c>
      <c r="J18" s="59" t="str">
        <f>IF(D18=0,"NA",SUMIFS(AN_TME_BY[[#All],[Claims: Professional Other]],AN_TME_BY[[#All],[Insurance Category Code]],2,AN_TME_BY[[#All],[Advanced Network/Insurance Carrier Org ID]],B18)/D18)</f>
        <v>NA</v>
      </c>
      <c r="K18" s="59" t="str">
        <f>IF(D18=0,"NA",SUMIFS(AN_TME_BY[[#All],[Claims: Pharmacy]],AN_TME_BY[[#All],[Insurance Category Code]],2,AN_TME_BY[[#All],[Advanced Network/Insurance Carrier Org ID]],B18)/D18)</f>
        <v>NA</v>
      </c>
      <c r="L18" s="59" t="str">
        <f>IF(D18=0,"NA",SUMIFS(AN_TME_BY[[#All],[Claims: Long-Term Care]],AN_TME_BY[[#All],[Insurance Category Code]],2,AN_TME_BY[[#All],[Advanced Network/Insurance Carrier Org ID]],B18)/D18)</f>
        <v>NA</v>
      </c>
      <c r="M18" s="59" t="str">
        <f>IF(D18=0,"NA",SUMIFS(AN_TME_BY[[#All],[Claims: Other]],AN_TME_BY[[#All],[Insurance Category Code]],2,AN_TME_BY[[#All],[Advanced Network/Insurance Carrier Org ID]],B18)/D18)</f>
        <v>NA</v>
      </c>
      <c r="N18" s="158" t="str">
        <f>IF(D18=0,"NA",SUMIFS(AN_TME_BY[[#All],[TOTAL Non-Truncated Unadjusted Claims Expenses]],AN_TME_BY[[#All],[Insurance Category Code]],2,AN_TME_BY[[#All],[Advanced Network/Insurance Carrier Org ID]],B18)/D18)</f>
        <v>NA</v>
      </c>
      <c r="O18" s="158" t="str">
        <f>IF(D18=0,"NA",SUMIFS(AN_TME_BY[[#All],[TOTAL Truncated Unadjusted Claims Expenses (A21 -A19)]],AN_TME_BY[[#All],[Insurance Category Code]],2,AN_TME_BY[[#All],[Advanced Network/Insurance Carrier Org ID]],B18)/D18)</f>
        <v>NA</v>
      </c>
      <c r="P18" s="158" t="str">
        <f>IF(D18=0,"NA",SUMIFS(AN_TME_BY[[#All],[TOTAL Non-Claims Expenses]],AN_TME_BY[[#All],[Insurance Category Code]],2,AN_TME_BY[[#All],[Advanced Network/Insurance Carrier Org ID]],B18)/D18)</f>
        <v>NA</v>
      </c>
      <c r="Q18" s="158" t="str">
        <f>IF(D18=0,"NA",SUMIFS(AN_TME_BY[[#All],[TOTAL Non-Truncated Unadjusted Expenses (A21 + A23)]],AN_TME_BY[[#All],[Insurance Category Code]],2,AN_TME_BY[[#All],[Advanced Network/Insurance Carrier Org ID]],B18)/D18)</f>
        <v>NA</v>
      </c>
      <c r="R18" s="158" t="str">
        <f>IF(D18=0,"NA",SUMIFS(AN_TME_BY[[#All],[TOTAL Truncated Unadjusted Expenses (A22 + A23)]],AN_TME_BY[[#All],[Insurance Category Code]],2,AN_TME_BY[[#All],[Advanced Network/Insurance Carrier Org ID]],B18)/D18)</f>
        <v>NA</v>
      </c>
      <c r="S18" s="242">
        <f>SUMIFS(AN_TME_PY[[#All],[Member Months]],AN_TME_PY[[#All],[Insurance Category Code]],2,AN_TME_PY[[#All],[Advanced Network/Insurance Carrier Org ID]],B18)</f>
        <v>0</v>
      </c>
      <c r="T18" s="156" t="str">
        <f>IF(S18=0,"NA",SUMIFS(AN_TME_PY[[#All],[Claims: Hospital Inpatient]],AN_TME_PY[[#All],[Insurance Category Code]],2,AN_TME_PY[[#All],[Advanced Network/Insurance Carrier Org ID]],B18)/S18)</f>
        <v>NA</v>
      </c>
      <c r="U18" s="59" t="str">
        <f>IF(S18=0,"NA",SUMIFS(AN_TME_PY[[#All],[Claims: Hospital Outpatient]],AN_TME_PY[[#All],[Insurance Category Code]],2,AN_TME_PY[[#All],[Advanced Network/Insurance Carrier Org ID]],B18)/S18)</f>
        <v>NA</v>
      </c>
      <c r="V18" s="59" t="str">
        <f>IF(S18=0,"NA",SUMIFS(AN_TME_PY[[#All],[Claims: Professional, Primary Care]],AN_TME_PY[[#All],[Insurance Category Code]],2,AN_TME_PY[[#All],[Advanced Network/Insurance Carrier Org ID]],B18)/S18)</f>
        <v>NA</v>
      </c>
      <c r="W18" s="59" t="str">
        <f>IF(S18=0,"NA",SUMIFS(AN_TME_PY[[#All],[Claims: Professional, Primary Care (for Monitoring Purposes)]],AN_TME_PY[[#All],[Insurance Category Code]],2,AN_TME_PY[[#All],[Advanced Network/Insurance Carrier Org ID]],B18)/S18)</f>
        <v>NA</v>
      </c>
      <c r="X18" s="59" t="str">
        <f>IF(S18=0,"NA",SUMIFS(AN_TME_PY[[#All],[Claims: Professional, Specialty]],AN_TME_PY[[#All],[Insurance Category Code]],2,AN_TME_PY[[#All],[Advanced Network/Insurance Carrier Org ID]],B18)/S18)</f>
        <v>NA</v>
      </c>
      <c r="Y18" s="59" t="str">
        <f>IF(S18=0,"NA",SUMIFS(AN_TME_PY[[#All],[Claims: Professional Other]],AN_TME_PY[[#All],[Insurance Category Code]],2,AN_TME_PY[[#All],[Advanced Network/Insurance Carrier Org ID]],B18)/S18)</f>
        <v>NA</v>
      </c>
      <c r="Z18" s="59" t="str">
        <f>IF(S18=0,"NA",SUMIFS(AN_TME_PY[[#All],[Claims: Pharmacy]],AN_TME_PY[[#All],[Insurance Category Code]],2,AN_TME_PY[[#All],[Advanced Network/Insurance Carrier Org ID]],B18)/S18)</f>
        <v>NA</v>
      </c>
      <c r="AA18" s="59" t="str">
        <f>IF(S18=0,"NA",SUMIFS(AN_TME_PY[[#All],[Claims: Long-Term Care]],AN_TME_PY[[#All],[Insurance Category Code]],2,AN_TME_PY[[#All],[Advanced Network/Insurance Carrier Org ID]],B18)/S18)</f>
        <v>NA</v>
      </c>
      <c r="AB18" s="59" t="str">
        <f>IF(S18=0,"NA",SUMIFS(AN_TME_PY[[#All],[Claims: Other]],AN_TME_PY[[#All],[Insurance Category Code]],2,AN_TME_PY[[#All],[Advanced Network/Insurance Carrier Org ID]],B18)/S18)</f>
        <v>NA</v>
      </c>
      <c r="AC18" s="158" t="str">
        <f>IF(S18=0,"NA",SUMIFS(AN_TME_PY[[#All],[TOTAL Non-Truncated Unadjusted Claims Expenses]],AN_TME_PY[[#All],[Insurance Category Code]],2,AN_TME_PY[[#All],[Advanced Network/Insurance Carrier Org ID]],B18)/S18)</f>
        <v>NA</v>
      </c>
      <c r="AD18" s="158" t="str">
        <f>IF(S18=0,"NA",SUMIFS(AN_TME_PY[[#All],[TOTAL Truncated Unadjusted Claims Expenses (A21 -A19)]],AN_TME_PY[[#All],[Insurance Category Code]],2,AN_TME_PY[[#All],[Advanced Network/Insurance Carrier Org ID]],B18)/S18)</f>
        <v>NA</v>
      </c>
      <c r="AE18" s="158" t="str">
        <f>IF(S18=0,"NA",SUMIFS(AN_TME_PY[[#All],[TOTAL Non-Claims Expenses]],AN_TME_PY[[#All],[Insurance Category Code]],2,AN_TME_PY[[#All],[Advanced Network/Insurance Carrier Org ID]],B18)/S18)</f>
        <v>NA</v>
      </c>
      <c r="AF18" s="158" t="str">
        <f>IF(S18=0,"NA",SUMIFS(AN_TME_PY[[#All],[TOTAL Non-Truncated Unadjusted Expenses (A21 + A23)]],AN_TME_PY[[#All],[Insurance Category Code]],2,AN_TME_PY[[#All],[Advanced Network/Insurance Carrier Org ID]],B18)/S18)</f>
        <v>NA</v>
      </c>
      <c r="AG18" s="157" t="str">
        <f>IF(S18=0,"NA",SUMIFS(AN_TME_PY[[#All],[TOTAL Truncated Unadjusted Expenses (A22 + A23)]],AN_TME_PY[[#All],[Insurance Category Code]],2,AN_TME_PY[[#All],[Advanced Network/Insurance Carrier Org ID]],B18)/S18)</f>
        <v>NA</v>
      </c>
      <c r="AH18" s="245" t="str">
        <f>IF(D18=0,"NA",S18/D18-1)</f>
        <v>NA</v>
      </c>
      <c r="AI18" s="246" t="str">
        <f>IF(D18=0,"NA",T18/E18-1)</f>
        <v>NA</v>
      </c>
      <c r="AJ18" s="247" t="str">
        <f>IF(D18=0,"NA",U18/F18-1)</f>
        <v>NA</v>
      </c>
      <c r="AK18" s="247" t="str">
        <f>IF(D18=0,"NA",V18/G18-1)</f>
        <v>NA</v>
      </c>
      <c r="AL18" s="247" t="str">
        <f>IF(D18=0,"NA",W18/H18-1)</f>
        <v>NA</v>
      </c>
      <c r="AM18" s="247" t="str">
        <f>IF(D18=0,"NA",X18/I18-1)</f>
        <v>NA</v>
      </c>
      <c r="AN18" s="247" t="str">
        <f>IF(D18=0,"NA",Y18/J18-1)</f>
        <v>NA</v>
      </c>
      <c r="AO18" s="247" t="str">
        <f>IF(D18=0,"NA",Z18/K18-1)</f>
        <v>NA</v>
      </c>
      <c r="AP18" s="247" t="str">
        <f>IF(D18=0,"NA",AA18/L18-1)</f>
        <v>NA</v>
      </c>
      <c r="AQ18" s="247" t="str">
        <f>IF(D18=0,"NA",AB18/M18-1)</f>
        <v>NA</v>
      </c>
      <c r="AR18" s="248" t="str">
        <f>IF(D18=0,"NA",AC18/N18-1)</f>
        <v>NA</v>
      </c>
      <c r="AS18" s="248" t="str">
        <f>IF(D18=0,"NA",AD18/O18-1)</f>
        <v>NA</v>
      </c>
      <c r="AT18" s="248" t="str">
        <f>IF(D18=0,"NA",AE18/P18-1)</f>
        <v>NA</v>
      </c>
      <c r="AU18" s="248" t="str">
        <f>IF(D18=0,"NA",AF18/Q18-1)</f>
        <v>NA</v>
      </c>
      <c r="AV18" s="249" t="str">
        <f>IF(D18=0,"NA",AG18/R18-1)</f>
        <v>NA</v>
      </c>
    </row>
    <row r="19" spans="1:48" ht="15" customHeight="1" x14ac:dyDescent="0.25">
      <c r="A19" s="175"/>
      <c r="B19" s="181">
        <v>111</v>
      </c>
      <c r="C19" s="155" t="str">
        <f>_xlfn.XLOOKUP(B19,LgProvEntOrgIDs[Advanced Network/Insurer Carrier Org ID],LgProvEntOrgIDs[Advanced Network/Insurance Carrier Overall])</f>
        <v>NA</v>
      </c>
      <c r="D19" s="242">
        <f>SUMIFS(AN_TME_BY[[#All],[Member Months]],AN_TME_BY[[#All],[Insurance Category Code]],2,AN_TME_BY[[#All],[Advanced Network/Insurance Carrier Org ID]],B19)</f>
        <v>0</v>
      </c>
      <c r="E19" s="156" t="str">
        <f>IF(D19=0,"NA",SUMIFS(AN_TME_BY[[#All],[Claims: Hospital Inpatient]],AN_TME_BY[[#All],[Insurance Category Code]],2,AN_TME_BY[[#All],[Advanced Network/Insurance Carrier Org ID]],B19)/D19)</f>
        <v>NA</v>
      </c>
      <c r="F19" s="59" t="str">
        <f>IF(D19=0,"NA",SUMIFS(AN_TME_BY[[#All],[Claims: Hospital Outpatient]],AN_TME_BY[[#All],[Insurance Category Code]],2,AN_TME_BY[[#All],[Advanced Network/Insurance Carrier Org ID]],B19)/D19)</f>
        <v>NA</v>
      </c>
      <c r="G19" s="59" t="str">
        <f>IF(D19=0,"NA",SUMIFS(AN_TME_BY[[#All],[Claims: Professional, Primary Care]],AN_TME_BY[[#All],[Insurance Category Code]],2,AN_TME_BY[[#All],[Advanced Network/Insurance Carrier Org ID]],B19)/D19)</f>
        <v>NA</v>
      </c>
      <c r="H19" s="59" t="str">
        <f>IF(D19=0,"NA",SUMIFS(AN_TME_BY[[#All],[Claims: Professional, Primary Care (for Monitoring Purposes)]],AN_TME_BY[[#All],[Insurance Category Code]],2,AN_TME_BY[[#All],[Advanced Network/Insurance Carrier Org ID]],B19)/D19)</f>
        <v>NA</v>
      </c>
      <c r="I19" s="59" t="str">
        <f>IF(D19=0,"NA",SUMIFS(AN_TME_BY[[#All],[Claims: Professional, Specialty]],AN_TME_BY[[#All],[Insurance Category Code]],2,AN_TME_BY[[#All],[Advanced Network/Insurance Carrier Org ID]],B19)/D19)</f>
        <v>NA</v>
      </c>
      <c r="J19" s="59" t="str">
        <f>IF(D19=0,"NA",SUMIFS(AN_TME_BY[[#All],[Claims: Professional Other]],AN_TME_BY[[#All],[Insurance Category Code]],2,AN_TME_BY[[#All],[Advanced Network/Insurance Carrier Org ID]],B19)/D19)</f>
        <v>NA</v>
      </c>
      <c r="K19" s="59" t="str">
        <f>IF(D19=0,"NA",SUMIFS(AN_TME_BY[[#All],[Claims: Pharmacy]],AN_TME_BY[[#All],[Insurance Category Code]],2,AN_TME_BY[[#All],[Advanced Network/Insurance Carrier Org ID]],B19)/D19)</f>
        <v>NA</v>
      </c>
      <c r="L19" s="59" t="str">
        <f>IF(D19=0,"NA",SUMIFS(AN_TME_BY[[#All],[Claims: Long-Term Care]],AN_TME_BY[[#All],[Insurance Category Code]],2,AN_TME_BY[[#All],[Advanced Network/Insurance Carrier Org ID]],B19)/D19)</f>
        <v>NA</v>
      </c>
      <c r="M19" s="59" t="str">
        <f>IF(D19=0,"NA",SUMIFS(AN_TME_BY[[#All],[Claims: Other]],AN_TME_BY[[#All],[Insurance Category Code]],2,AN_TME_BY[[#All],[Advanced Network/Insurance Carrier Org ID]],B19)/D19)</f>
        <v>NA</v>
      </c>
      <c r="N19" s="158" t="str">
        <f>IF(D19=0,"NA",SUMIFS(AN_TME_BY[[#All],[TOTAL Non-Truncated Unadjusted Claims Expenses]],AN_TME_BY[[#All],[Insurance Category Code]],2,AN_TME_BY[[#All],[Advanced Network/Insurance Carrier Org ID]],B19)/D19)</f>
        <v>NA</v>
      </c>
      <c r="O19" s="158" t="str">
        <f>IF(D19=0,"NA",SUMIFS(AN_TME_BY[[#All],[TOTAL Truncated Unadjusted Claims Expenses (A21 -A19)]],AN_TME_BY[[#All],[Insurance Category Code]],2,AN_TME_BY[[#All],[Advanced Network/Insurance Carrier Org ID]],B19)/D19)</f>
        <v>NA</v>
      </c>
      <c r="P19" s="158" t="str">
        <f>IF(D19=0,"NA",SUMIFS(AN_TME_BY[[#All],[TOTAL Non-Claims Expenses]],AN_TME_BY[[#All],[Insurance Category Code]],2,AN_TME_BY[[#All],[Advanced Network/Insurance Carrier Org ID]],B19)/D19)</f>
        <v>NA</v>
      </c>
      <c r="Q19" s="158" t="str">
        <f>IF(D19=0,"NA",SUMIFS(AN_TME_BY[[#All],[TOTAL Non-Truncated Unadjusted Expenses (A21 + A23)]],AN_TME_BY[[#All],[Insurance Category Code]],2,AN_TME_BY[[#All],[Advanced Network/Insurance Carrier Org ID]],B19)/D19)</f>
        <v>NA</v>
      </c>
      <c r="R19" s="158" t="str">
        <f>IF(D19=0,"NA",SUMIFS(AN_TME_BY[[#All],[TOTAL Truncated Unadjusted Expenses (A22 + A23)]],AN_TME_BY[[#All],[Insurance Category Code]],2,AN_TME_BY[[#All],[Advanced Network/Insurance Carrier Org ID]],B19)/D19)</f>
        <v>NA</v>
      </c>
      <c r="S19" s="242">
        <f>SUMIFS(AN_TME_PY[[#All],[Member Months]],AN_TME_PY[[#All],[Insurance Category Code]],2,AN_TME_PY[[#All],[Advanced Network/Insurance Carrier Org ID]],B19)</f>
        <v>0</v>
      </c>
      <c r="T19" s="156" t="str">
        <f>IF(S19=0,"NA",SUMIFS(AN_TME_PY[[#All],[Claims: Hospital Inpatient]],AN_TME_PY[[#All],[Insurance Category Code]],2,AN_TME_PY[[#All],[Advanced Network/Insurance Carrier Org ID]],B19)/S19)</f>
        <v>NA</v>
      </c>
      <c r="U19" s="59" t="str">
        <f>IF(S19=0,"NA",SUMIFS(AN_TME_PY[[#All],[Claims: Hospital Outpatient]],AN_TME_PY[[#All],[Insurance Category Code]],2,AN_TME_PY[[#All],[Advanced Network/Insurance Carrier Org ID]],B19)/S19)</f>
        <v>NA</v>
      </c>
      <c r="V19" s="59" t="str">
        <f>IF(S19=0,"NA",SUMIFS(AN_TME_PY[[#All],[Claims: Professional, Primary Care]],AN_TME_PY[[#All],[Insurance Category Code]],2,AN_TME_PY[[#All],[Advanced Network/Insurance Carrier Org ID]],B19)/S19)</f>
        <v>NA</v>
      </c>
      <c r="W19" s="59" t="str">
        <f>IF(S19=0,"NA",SUMIFS(AN_TME_PY[[#All],[Claims: Professional, Primary Care (for Monitoring Purposes)]],AN_TME_PY[[#All],[Insurance Category Code]],2,AN_TME_PY[[#All],[Advanced Network/Insurance Carrier Org ID]],B19)/S19)</f>
        <v>NA</v>
      </c>
      <c r="X19" s="59" t="str">
        <f>IF(S19=0,"NA",SUMIFS(AN_TME_PY[[#All],[Claims: Professional, Specialty]],AN_TME_PY[[#All],[Insurance Category Code]],2,AN_TME_PY[[#All],[Advanced Network/Insurance Carrier Org ID]],B19)/S19)</f>
        <v>NA</v>
      </c>
      <c r="Y19" s="59" t="str">
        <f>IF(S19=0,"NA",SUMIFS(AN_TME_PY[[#All],[Claims: Professional Other]],AN_TME_PY[[#All],[Insurance Category Code]],2,AN_TME_PY[[#All],[Advanced Network/Insurance Carrier Org ID]],B19)/S19)</f>
        <v>NA</v>
      </c>
      <c r="Z19" s="59" t="str">
        <f>IF(S19=0,"NA",SUMIFS(AN_TME_PY[[#All],[Claims: Pharmacy]],AN_TME_PY[[#All],[Insurance Category Code]],2,AN_TME_PY[[#All],[Advanced Network/Insurance Carrier Org ID]],B19)/S19)</f>
        <v>NA</v>
      </c>
      <c r="AA19" s="59" t="str">
        <f>IF(S19=0,"NA",SUMIFS(AN_TME_PY[[#All],[Claims: Long-Term Care]],AN_TME_PY[[#All],[Insurance Category Code]],2,AN_TME_PY[[#All],[Advanced Network/Insurance Carrier Org ID]],B19)/S19)</f>
        <v>NA</v>
      </c>
      <c r="AB19" s="59" t="str">
        <f>IF(S19=0,"NA",SUMIFS(AN_TME_PY[[#All],[Claims: Other]],AN_TME_PY[[#All],[Insurance Category Code]],2,AN_TME_PY[[#All],[Advanced Network/Insurance Carrier Org ID]],B19)/S19)</f>
        <v>NA</v>
      </c>
      <c r="AC19" s="158" t="str">
        <f>IF(S19=0,"NA",SUMIFS(AN_TME_PY[[#All],[TOTAL Non-Truncated Unadjusted Claims Expenses]],AN_TME_PY[[#All],[Insurance Category Code]],2,AN_TME_PY[[#All],[Advanced Network/Insurance Carrier Org ID]],B19)/S19)</f>
        <v>NA</v>
      </c>
      <c r="AD19" s="158" t="str">
        <f>IF(S19=0,"NA",SUMIFS(AN_TME_PY[[#All],[TOTAL Truncated Unadjusted Claims Expenses (A21 -A19)]],AN_TME_PY[[#All],[Insurance Category Code]],2,AN_TME_PY[[#All],[Advanced Network/Insurance Carrier Org ID]],B19)/S19)</f>
        <v>NA</v>
      </c>
      <c r="AE19" s="158" t="str">
        <f>IF(S19=0,"NA",SUMIFS(AN_TME_PY[[#All],[TOTAL Non-Claims Expenses]],AN_TME_PY[[#All],[Insurance Category Code]],2,AN_TME_PY[[#All],[Advanced Network/Insurance Carrier Org ID]],B19)/S19)</f>
        <v>NA</v>
      </c>
      <c r="AF19" s="158" t="str">
        <f>IF(S19=0,"NA",SUMIFS(AN_TME_PY[[#All],[TOTAL Non-Truncated Unadjusted Expenses (A21 + A23)]],AN_TME_PY[[#All],[Insurance Category Code]],2,AN_TME_PY[[#All],[Advanced Network/Insurance Carrier Org ID]],B19)/S19)</f>
        <v>NA</v>
      </c>
      <c r="AG19" s="157" t="str">
        <f>IF(S19=0,"NA",SUMIFS(AN_TME_PY[[#All],[TOTAL Truncated Unadjusted Expenses (A22 + A23)]],AN_TME_PY[[#All],[Insurance Category Code]],2,AN_TME_PY[[#All],[Advanced Network/Insurance Carrier Org ID]],B19)/S19)</f>
        <v>NA</v>
      </c>
      <c r="AH19" s="245" t="str">
        <f t="shared" ref="AH19:AH43" si="15">IF(D19=0,"NA",S19/D19-1)</f>
        <v>NA</v>
      </c>
      <c r="AI19" s="246" t="str">
        <f t="shared" ref="AI19:AI43" si="16">IF(D19=0,"NA",T19/E19-1)</f>
        <v>NA</v>
      </c>
      <c r="AJ19" s="247" t="str">
        <f t="shared" ref="AJ19:AJ43" si="17">IF(D19=0,"NA",U19/F19-1)</f>
        <v>NA</v>
      </c>
      <c r="AK19" s="247" t="str">
        <f t="shared" ref="AK19:AK43" si="18">IF(D19=0,"NA",V19/G19-1)</f>
        <v>NA</v>
      </c>
      <c r="AL19" s="247" t="str">
        <f t="shared" ref="AL19:AL43" si="19">IF(D19=0,"NA",W19/H19-1)</f>
        <v>NA</v>
      </c>
      <c r="AM19" s="247" t="str">
        <f t="shared" ref="AM19:AM43" si="20">IF(D19=0,"NA",X19/I19-1)</f>
        <v>NA</v>
      </c>
      <c r="AN19" s="247" t="str">
        <f t="shared" ref="AN19:AN43" si="21">IF(D19=0,"NA",Y19/J19-1)</f>
        <v>NA</v>
      </c>
      <c r="AO19" s="247" t="str">
        <f t="shared" ref="AO19:AO43" si="22">IF(D19=0,"NA",Z19/K19-1)</f>
        <v>NA</v>
      </c>
      <c r="AP19" s="247" t="str">
        <f t="shared" ref="AP19:AP43" si="23">IF(D19=0,"NA",AA19/L19-1)</f>
        <v>NA</v>
      </c>
      <c r="AQ19" s="247" t="str">
        <f t="shared" ref="AQ19:AQ43" si="24">IF(D19=0,"NA",AB19/M19-1)</f>
        <v>NA</v>
      </c>
      <c r="AR19" s="248" t="str">
        <f t="shared" ref="AR19:AR43" si="25">IF(D19=0,"NA",AC19/N19-1)</f>
        <v>NA</v>
      </c>
      <c r="AS19" s="248" t="str">
        <f t="shared" ref="AS19:AS43" si="26">IF(D19=0,"NA",AD19/O19-1)</f>
        <v>NA</v>
      </c>
      <c r="AT19" s="248" t="str">
        <f t="shared" ref="AT19:AT43" si="27">IF(D19=0,"NA",AE19/P19-1)</f>
        <v>NA</v>
      </c>
      <c r="AU19" s="248" t="str">
        <f t="shared" ref="AU19:AU43" si="28">IF(D19=0,"NA",AF19/Q19-1)</f>
        <v>NA</v>
      </c>
      <c r="AV19" s="249" t="str">
        <f t="shared" ref="AV19:AV43" si="29">IF(D19=0,"NA",AG19/R19-1)</f>
        <v>NA</v>
      </c>
    </row>
    <row r="20" spans="1:48" ht="15" customHeight="1" x14ac:dyDescent="0.25">
      <c r="A20" s="175"/>
      <c r="B20" s="181">
        <v>112</v>
      </c>
      <c r="C20" s="155" t="str">
        <f>_xlfn.XLOOKUP(B20,LgProvEntOrgIDs[Advanced Network/Insurer Carrier Org ID],LgProvEntOrgIDs[Advanced Network/Insurance Carrier Overall])</f>
        <v>Charter Oak Health Center</v>
      </c>
      <c r="D20" s="242">
        <f>SUMIFS(AN_TME_BY[[#All],[Member Months]],AN_TME_BY[[#All],[Insurance Category Code]],2,AN_TME_BY[[#All],[Advanced Network/Insurance Carrier Org ID]],B20)</f>
        <v>0</v>
      </c>
      <c r="E20" s="156" t="str">
        <f>IF(D20=0,"NA",SUMIFS(AN_TME_BY[[#All],[Claims: Hospital Inpatient]],AN_TME_BY[[#All],[Insurance Category Code]],2,AN_TME_BY[[#All],[Advanced Network/Insurance Carrier Org ID]],B20)/D20)</f>
        <v>NA</v>
      </c>
      <c r="F20" s="59" t="str">
        <f>IF(D20=0,"NA",SUMIFS(AN_TME_BY[[#All],[Claims: Hospital Outpatient]],AN_TME_BY[[#All],[Insurance Category Code]],2,AN_TME_BY[[#All],[Advanced Network/Insurance Carrier Org ID]],B20)/D20)</f>
        <v>NA</v>
      </c>
      <c r="G20" s="59" t="str">
        <f>IF(D20=0,"NA",SUMIFS(AN_TME_BY[[#All],[Claims: Professional, Primary Care]],AN_TME_BY[[#All],[Insurance Category Code]],2,AN_TME_BY[[#All],[Advanced Network/Insurance Carrier Org ID]],B20)/D20)</f>
        <v>NA</v>
      </c>
      <c r="H20" s="59" t="str">
        <f>IF(D20=0,"NA",SUMIFS(AN_TME_BY[[#All],[Claims: Professional, Primary Care (for Monitoring Purposes)]],AN_TME_BY[[#All],[Insurance Category Code]],2,AN_TME_BY[[#All],[Advanced Network/Insurance Carrier Org ID]],B20)/D20)</f>
        <v>NA</v>
      </c>
      <c r="I20" s="59" t="str">
        <f>IF(D20=0,"NA",SUMIFS(AN_TME_BY[[#All],[Claims: Professional, Specialty]],AN_TME_BY[[#All],[Insurance Category Code]],2,AN_TME_BY[[#All],[Advanced Network/Insurance Carrier Org ID]],B20)/D20)</f>
        <v>NA</v>
      </c>
      <c r="J20" s="59" t="str">
        <f>IF(D20=0,"NA",SUMIFS(AN_TME_BY[[#All],[Claims: Professional Other]],AN_TME_BY[[#All],[Insurance Category Code]],2,AN_TME_BY[[#All],[Advanced Network/Insurance Carrier Org ID]],B20)/D20)</f>
        <v>NA</v>
      </c>
      <c r="K20" s="59" t="str">
        <f>IF(D20=0,"NA",SUMIFS(AN_TME_BY[[#All],[Claims: Pharmacy]],AN_TME_BY[[#All],[Insurance Category Code]],2,AN_TME_BY[[#All],[Advanced Network/Insurance Carrier Org ID]],B20)/D20)</f>
        <v>NA</v>
      </c>
      <c r="L20" s="59" t="str">
        <f>IF(D20=0,"NA",SUMIFS(AN_TME_BY[[#All],[Claims: Long-Term Care]],AN_TME_BY[[#All],[Insurance Category Code]],2,AN_TME_BY[[#All],[Advanced Network/Insurance Carrier Org ID]],B20)/D20)</f>
        <v>NA</v>
      </c>
      <c r="M20" s="59" t="str">
        <f>IF(D20=0,"NA",SUMIFS(AN_TME_BY[[#All],[Claims: Other]],AN_TME_BY[[#All],[Insurance Category Code]],2,AN_TME_BY[[#All],[Advanced Network/Insurance Carrier Org ID]],B20)/D20)</f>
        <v>NA</v>
      </c>
      <c r="N20" s="158" t="str">
        <f>IF(D20=0,"NA",SUMIFS(AN_TME_BY[[#All],[TOTAL Non-Truncated Unadjusted Claims Expenses]],AN_TME_BY[[#All],[Insurance Category Code]],2,AN_TME_BY[[#All],[Advanced Network/Insurance Carrier Org ID]],B20)/D20)</f>
        <v>NA</v>
      </c>
      <c r="O20" s="158" t="str">
        <f>IF(D20=0,"NA",SUMIFS(AN_TME_BY[[#All],[TOTAL Truncated Unadjusted Claims Expenses (A21 -A19)]],AN_TME_BY[[#All],[Insurance Category Code]],2,AN_TME_BY[[#All],[Advanced Network/Insurance Carrier Org ID]],B20)/D20)</f>
        <v>NA</v>
      </c>
      <c r="P20" s="158" t="str">
        <f>IF(D20=0,"NA",SUMIFS(AN_TME_BY[[#All],[TOTAL Non-Claims Expenses]],AN_TME_BY[[#All],[Insurance Category Code]],2,AN_TME_BY[[#All],[Advanced Network/Insurance Carrier Org ID]],B20)/D20)</f>
        <v>NA</v>
      </c>
      <c r="Q20" s="158" t="str">
        <f>IF(D20=0,"NA",SUMIFS(AN_TME_BY[[#All],[TOTAL Non-Truncated Unadjusted Expenses (A21 + A23)]],AN_TME_BY[[#All],[Insurance Category Code]],2,AN_TME_BY[[#All],[Advanced Network/Insurance Carrier Org ID]],B20)/D20)</f>
        <v>NA</v>
      </c>
      <c r="R20" s="158" t="str">
        <f>IF(D20=0,"NA",SUMIFS(AN_TME_BY[[#All],[TOTAL Truncated Unadjusted Expenses (A22 + A23)]],AN_TME_BY[[#All],[Insurance Category Code]],2,AN_TME_BY[[#All],[Advanced Network/Insurance Carrier Org ID]],B20)/D20)</f>
        <v>NA</v>
      </c>
      <c r="S20" s="242">
        <f>SUMIFS(AN_TME_PY[[#All],[Member Months]],AN_TME_PY[[#All],[Insurance Category Code]],2,AN_TME_PY[[#All],[Advanced Network/Insurance Carrier Org ID]],B20)</f>
        <v>0</v>
      </c>
      <c r="T20" s="156" t="str">
        <f>IF(S20=0,"NA",SUMIFS(AN_TME_PY[[#All],[Claims: Hospital Inpatient]],AN_TME_PY[[#All],[Insurance Category Code]],2,AN_TME_PY[[#All],[Advanced Network/Insurance Carrier Org ID]],B20)/S20)</f>
        <v>NA</v>
      </c>
      <c r="U20" s="59" t="str">
        <f>IF(S20=0,"NA",SUMIFS(AN_TME_PY[[#All],[Claims: Hospital Outpatient]],AN_TME_PY[[#All],[Insurance Category Code]],2,AN_TME_PY[[#All],[Advanced Network/Insurance Carrier Org ID]],B20)/S20)</f>
        <v>NA</v>
      </c>
      <c r="V20" s="59" t="str">
        <f>IF(S20=0,"NA",SUMIFS(AN_TME_PY[[#All],[Claims: Professional, Primary Care]],AN_TME_PY[[#All],[Insurance Category Code]],2,AN_TME_PY[[#All],[Advanced Network/Insurance Carrier Org ID]],B20)/S20)</f>
        <v>NA</v>
      </c>
      <c r="W20" s="59" t="str">
        <f>IF(S20=0,"NA",SUMIFS(AN_TME_PY[[#All],[Claims: Professional, Primary Care (for Monitoring Purposes)]],AN_TME_PY[[#All],[Insurance Category Code]],2,AN_TME_PY[[#All],[Advanced Network/Insurance Carrier Org ID]],B20)/S20)</f>
        <v>NA</v>
      </c>
      <c r="X20" s="59" t="str">
        <f>IF(S20=0,"NA",SUMIFS(AN_TME_PY[[#All],[Claims: Professional, Specialty]],AN_TME_PY[[#All],[Insurance Category Code]],2,AN_TME_PY[[#All],[Advanced Network/Insurance Carrier Org ID]],B20)/S20)</f>
        <v>NA</v>
      </c>
      <c r="Y20" s="59" t="str">
        <f>IF(S20=0,"NA",SUMIFS(AN_TME_PY[[#All],[Claims: Professional Other]],AN_TME_PY[[#All],[Insurance Category Code]],2,AN_TME_PY[[#All],[Advanced Network/Insurance Carrier Org ID]],B20)/S20)</f>
        <v>NA</v>
      </c>
      <c r="Z20" s="59" t="str">
        <f>IF(S20=0,"NA",SUMIFS(AN_TME_PY[[#All],[Claims: Pharmacy]],AN_TME_PY[[#All],[Insurance Category Code]],2,AN_TME_PY[[#All],[Advanced Network/Insurance Carrier Org ID]],B20)/S20)</f>
        <v>NA</v>
      </c>
      <c r="AA20" s="59" t="str">
        <f>IF(S20=0,"NA",SUMIFS(AN_TME_PY[[#All],[Claims: Long-Term Care]],AN_TME_PY[[#All],[Insurance Category Code]],2,AN_TME_PY[[#All],[Advanced Network/Insurance Carrier Org ID]],B20)/S20)</f>
        <v>NA</v>
      </c>
      <c r="AB20" s="59" t="str">
        <f>IF(S20=0,"NA",SUMIFS(AN_TME_PY[[#All],[Claims: Other]],AN_TME_PY[[#All],[Insurance Category Code]],2,AN_TME_PY[[#All],[Advanced Network/Insurance Carrier Org ID]],B20)/S20)</f>
        <v>NA</v>
      </c>
      <c r="AC20" s="158" t="str">
        <f>IF(S20=0,"NA",SUMIFS(AN_TME_PY[[#All],[TOTAL Non-Truncated Unadjusted Claims Expenses]],AN_TME_PY[[#All],[Insurance Category Code]],2,AN_TME_PY[[#All],[Advanced Network/Insurance Carrier Org ID]],B20)/S20)</f>
        <v>NA</v>
      </c>
      <c r="AD20" s="158" t="str">
        <f>IF(S20=0,"NA",SUMIFS(AN_TME_PY[[#All],[TOTAL Truncated Unadjusted Claims Expenses (A21 -A19)]],AN_TME_PY[[#All],[Insurance Category Code]],2,AN_TME_PY[[#All],[Advanced Network/Insurance Carrier Org ID]],B20)/S20)</f>
        <v>NA</v>
      </c>
      <c r="AE20" s="158" t="str">
        <f>IF(S20=0,"NA",SUMIFS(AN_TME_PY[[#All],[TOTAL Non-Claims Expenses]],AN_TME_PY[[#All],[Insurance Category Code]],2,AN_TME_PY[[#All],[Advanced Network/Insurance Carrier Org ID]],B20)/S20)</f>
        <v>NA</v>
      </c>
      <c r="AF20" s="158" t="str">
        <f>IF(S20=0,"NA",SUMIFS(AN_TME_PY[[#All],[TOTAL Non-Truncated Unadjusted Expenses (A21 + A23)]],AN_TME_PY[[#All],[Insurance Category Code]],2,AN_TME_PY[[#All],[Advanced Network/Insurance Carrier Org ID]],B20)/S20)</f>
        <v>NA</v>
      </c>
      <c r="AG20" s="157" t="str">
        <f>IF(S20=0,"NA",SUMIFS(AN_TME_PY[[#All],[TOTAL Truncated Unadjusted Expenses (A22 + A23)]],AN_TME_PY[[#All],[Insurance Category Code]],2,AN_TME_PY[[#All],[Advanced Network/Insurance Carrier Org ID]],B20)/S20)</f>
        <v>NA</v>
      </c>
      <c r="AH20" s="245" t="str">
        <f t="shared" si="15"/>
        <v>NA</v>
      </c>
      <c r="AI20" s="246" t="str">
        <f t="shared" si="16"/>
        <v>NA</v>
      </c>
      <c r="AJ20" s="247" t="str">
        <f t="shared" si="17"/>
        <v>NA</v>
      </c>
      <c r="AK20" s="247" t="str">
        <f t="shared" si="18"/>
        <v>NA</v>
      </c>
      <c r="AL20" s="247" t="str">
        <f t="shared" si="19"/>
        <v>NA</v>
      </c>
      <c r="AM20" s="247" t="str">
        <f t="shared" si="20"/>
        <v>NA</v>
      </c>
      <c r="AN20" s="247" t="str">
        <f t="shared" si="21"/>
        <v>NA</v>
      </c>
      <c r="AO20" s="247" t="str">
        <f t="shared" si="22"/>
        <v>NA</v>
      </c>
      <c r="AP20" s="247" t="str">
        <f t="shared" si="23"/>
        <v>NA</v>
      </c>
      <c r="AQ20" s="247" t="str">
        <f t="shared" si="24"/>
        <v>NA</v>
      </c>
      <c r="AR20" s="248" t="str">
        <f t="shared" si="25"/>
        <v>NA</v>
      </c>
      <c r="AS20" s="248" t="str">
        <f t="shared" si="26"/>
        <v>NA</v>
      </c>
      <c r="AT20" s="248" t="str">
        <f t="shared" si="27"/>
        <v>NA</v>
      </c>
      <c r="AU20" s="248" t="str">
        <f t="shared" si="28"/>
        <v>NA</v>
      </c>
      <c r="AV20" s="249" t="str">
        <f t="shared" si="29"/>
        <v>NA</v>
      </c>
    </row>
    <row r="21" spans="1:48" ht="15" customHeight="1" x14ac:dyDescent="0.25">
      <c r="A21" s="175"/>
      <c r="B21" s="181">
        <v>113</v>
      </c>
      <c r="C21" s="155" t="str">
        <f>_xlfn.XLOOKUP(B21,LgProvEntOrgIDs[Advanced Network/Insurer Carrier Org ID],LgProvEntOrgIDs[Advanced Network/Insurance Carrier Overall])</f>
        <v>CIFC Greater Danbury Community Health Center</v>
      </c>
      <c r="D21" s="242">
        <f>SUMIFS(AN_TME_BY[[#All],[Member Months]],AN_TME_BY[[#All],[Insurance Category Code]],2,AN_TME_BY[[#All],[Advanced Network/Insurance Carrier Org ID]],B21)</f>
        <v>0</v>
      </c>
      <c r="E21" s="156" t="str">
        <f>IF(D21=0,"NA",SUMIFS(AN_TME_BY[[#All],[Claims: Hospital Inpatient]],AN_TME_BY[[#All],[Insurance Category Code]],2,AN_TME_BY[[#All],[Advanced Network/Insurance Carrier Org ID]],B21)/D21)</f>
        <v>NA</v>
      </c>
      <c r="F21" s="59" t="str">
        <f>IF(D21=0,"NA",SUMIFS(AN_TME_BY[[#All],[Claims: Hospital Outpatient]],AN_TME_BY[[#All],[Insurance Category Code]],2,AN_TME_BY[[#All],[Advanced Network/Insurance Carrier Org ID]],B21)/D21)</f>
        <v>NA</v>
      </c>
      <c r="G21" s="59" t="str">
        <f>IF(D21=0,"NA",SUMIFS(AN_TME_BY[[#All],[Claims: Professional, Primary Care]],AN_TME_BY[[#All],[Insurance Category Code]],2,AN_TME_BY[[#All],[Advanced Network/Insurance Carrier Org ID]],B21)/D21)</f>
        <v>NA</v>
      </c>
      <c r="H21" s="59" t="str">
        <f>IF(D21=0,"NA",SUMIFS(AN_TME_BY[[#All],[Claims: Professional, Primary Care (for Monitoring Purposes)]],AN_TME_BY[[#All],[Insurance Category Code]],2,AN_TME_BY[[#All],[Advanced Network/Insurance Carrier Org ID]],B21)/D21)</f>
        <v>NA</v>
      </c>
      <c r="I21" s="59" t="str">
        <f>IF(D21=0,"NA",SUMIFS(AN_TME_BY[[#All],[Claims: Professional, Specialty]],AN_TME_BY[[#All],[Insurance Category Code]],2,AN_TME_BY[[#All],[Advanced Network/Insurance Carrier Org ID]],B21)/D21)</f>
        <v>NA</v>
      </c>
      <c r="J21" s="59" t="str">
        <f>IF(D21=0,"NA",SUMIFS(AN_TME_BY[[#All],[Claims: Professional Other]],AN_TME_BY[[#All],[Insurance Category Code]],2,AN_TME_BY[[#All],[Advanced Network/Insurance Carrier Org ID]],B21)/D21)</f>
        <v>NA</v>
      </c>
      <c r="K21" s="59" t="str">
        <f>IF(D21=0,"NA",SUMIFS(AN_TME_BY[[#All],[Claims: Pharmacy]],AN_TME_BY[[#All],[Insurance Category Code]],2,AN_TME_BY[[#All],[Advanced Network/Insurance Carrier Org ID]],B21)/D21)</f>
        <v>NA</v>
      </c>
      <c r="L21" s="59" t="str">
        <f>IF(D21=0,"NA",SUMIFS(AN_TME_BY[[#All],[Claims: Long-Term Care]],AN_TME_BY[[#All],[Insurance Category Code]],2,AN_TME_BY[[#All],[Advanced Network/Insurance Carrier Org ID]],B21)/D21)</f>
        <v>NA</v>
      </c>
      <c r="M21" s="59" t="str">
        <f>IF(D21=0,"NA",SUMIFS(AN_TME_BY[[#All],[Claims: Other]],AN_TME_BY[[#All],[Insurance Category Code]],2,AN_TME_BY[[#All],[Advanced Network/Insurance Carrier Org ID]],B21)/D21)</f>
        <v>NA</v>
      </c>
      <c r="N21" s="158" t="str">
        <f>IF(D21=0,"NA",SUMIFS(AN_TME_BY[[#All],[TOTAL Non-Truncated Unadjusted Claims Expenses]],AN_TME_BY[[#All],[Insurance Category Code]],2,AN_TME_BY[[#All],[Advanced Network/Insurance Carrier Org ID]],B21)/D21)</f>
        <v>NA</v>
      </c>
      <c r="O21" s="158" t="str">
        <f>IF(D21=0,"NA",SUMIFS(AN_TME_BY[[#All],[TOTAL Truncated Unadjusted Claims Expenses (A21 -A19)]],AN_TME_BY[[#All],[Insurance Category Code]],2,AN_TME_BY[[#All],[Advanced Network/Insurance Carrier Org ID]],B21)/D21)</f>
        <v>NA</v>
      </c>
      <c r="P21" s="158" t="str">
        <f>IF(D21=0,"NA",SUMIFS(AN_TME_BY[[#All],[TOTAL Non-Claims Expenses]],AN_TME_BY[[#All],[Insurance Category Code]],2,AN_TME_BY[[#All],[Advanced Network/Insurance Carrier Org ID]],B21)/D21)</f>
        <v>NA</v>
      </c>
      <c r="Q21" s="158" t="str">
        <f>IF(D21=0,"NA",SUMIFS(AN_TME_BY[[#All],[TOTAL Non-Truncated Unadjusted Expenses (A21 + A23)]],AN_TME_BY[[#All],[Insurance Category Code]],2,AN_TME_BY[[#All],[Advanced Network/Insurance Carrier Org ID]],B21)/D21)</f>
        <v>NA</v>
      </c>
      <c r="R21" s="158" t="str">
        <f>IF(D21=0,"NA",SUMIFS(AN_TME_BY[[#All],[TOTAL Truncated Unadjusted Expenses (A22 + A23)]],AN_TME_BY[[#All],[Insurance Category Code]],2,AN_TME_BY[[#All],[Advanced Network/Insurance Carrier Org ID]],B21)/D21)</f>
        <v>NA</v>
      </c>
      <c r="S21" s="242">
        <f>SUMIFS(AN_TME_PY[[#All],[Member Months]],AN_TME_PY[[#All],[Insurance Category Code]],2,AN_TME_PY[[#All],[Advanced Network/Insurance Carrier Org ID]],B21)</f>
        <v>0</v>
      </c>
      <c r="T21" s="156" t="str">
        <f>IF(S21=0,"NA",SUMIFS(AN_TME_PY[[#All],[Claims: Hospital Inpatient]],AN_TME_PY[[#All],[Insurance Category Code]],2,AN_TME_PY[[#All],[Advanced Network/Insurance Carrier Org ID]],B21)/S21)</f>
        <v>NA</v>
      </c>
      <c r="U21" s="59" t="str">
        <f>IF(S21=0,"NA",SUMIFS(AN_TME_PY[[#All],[Claims: Hospital Outpatient]],AN_TME_PY[[#All],[Insurance Category Code]],2,AN_TME_PY[[#All],[Advanced Network/Insurance Carrier Org ID]],B21)/S21)</f>
        <v>NA</v>
      </c>
      <c r="V21" s="59" t="str">
        <f>IF(S21=0,"NA",SUMIFS(AN_TME_PY[[#All],[Claims: Professional, Primary Care]],AN_TME_PY[[#All],[Insurance Category Code]],2,AN_TME_PY[[#All],[Advanced Network/Insurance Carrier Org ID]],B21)/S21)</f>
        <v>NA</v>
      </c>
      <c r="W21" s="59" t="str">
        <f>IF(S21=0,"NA",SUMIFS(AN_TME_PY[[#All],[Claims: Professional, Primary Care (for Monitoring Purposes)]],AN_TME_PY[[#All],[Insurance Category Code]],2,AN_TME_PY[[#All],[Advanced Network/Insurance Carrier Org ID]],B21)/S21)</f>
        <v>NA</v>
      </c>
      <c r="X21" s="59" t="str">
        <f>IF(S21=0,"NA",SUMIFS(AN_TME_PY[[#All],[Claims: Professional, Specialty]],AN_TME_PY[[#All],[Insurance Category Code]],2,AN_TME_PY[[#All],[Advanced Network/Insurance Carrier Org ID]],B21)/S21)</f>
        <v>NA</v>
      </c>
      <c r="Y21" s="59" t="str">
        <f>IF(S21=0,"NA",SUMIFS(AN_TME_PY[[#All],[Claims: Professional Other]],AN_TME_PY[[#All],[Insurance Category Code]],2,AN_TME_PY[[#All],[Advanced Network/Insurance Carrier Org ID]],B21)/S21)</f>
        <v>NA</v>
      </c>
      <c r="Z21" s="59" t="str">
        <f>IF(S21=0,"NA",SUMIFS(AN_TME_PY[[#All],[Claims: Pharmacy]],AN_TME_PY[[#All],[Insurance Category Code]],2,AN_TME_PY[[#All],[Advanced Network/Insurance Carrier Org ID]],B21)/S21)</f>
        <v>NA</v>
      </c>
      <c r="AA21" s="59" t="str">
        <f>IF(S21=0,"NA",SUMIFS(AN_TME_PY[[#All],[Claims: Long-Term Care]],AN_TME_PY[[#All],[Insurance Category Code]],2,AN_TME_PY[[#All],[Advanced Network/Insurance Carrier Org ID]],B21)/S21)</f>
        <v>NA</v>
      </c>
      <c r="AB21" s="59" t="str">
        <f>IF(S21=0,"NA",SUMIFS(AN_TME_PY[[#All],[Claims: Other]],AN_TME_PY[[#All],[Insurance Category Code]],2,AN_TME_PY[[#All],[Advanced Network/Insurance Carrier Org ID]],B21)/S21)</f>
        <v>NA</v>
      </c>
      <c r="AC21" s="158" t="str">
        <f>IF(S21=0,"NA",SUMIFS(AN_TME_PY[[#All],[TOTAL Non-Truncated Unadjusted Claims Expenses]],AN_TME_PY[[#All],[Insurance Category Code]],2,AN_TME_PY[[#All],[Advanced Network/Insurance Carrier Org ID]],B21)/S21)</f>
        <v>NA</v>
      </c>
      <c r="AD21" s="158" t="str">
        <f>IF(S21=0,"NA",SUMIFS(AN_TME_PY[[#All],[TOTAL Truncated Unadjusted Claims Expenses (A21 -A19)]],AN_TME_PY[[#All],[Insurance Category Code]],2,AN_TME_PY[[#All],[Advanced Network/Insurance Carrier Org ID]],B21)/S21)</f>
        <v>NA</v>
      </c>
      <c r="AE21" s="158" t="str">
        <f>IF(S21=0,"NA",SUMIFS(AN_TME_PY[[#All],[TOTAL Non-Claims Expenses]],AN_TME_PY[[#All],[Insurance Category Code]],2,AN_TME_PY[[#All],[Advanced Network/Insurance Carrier Org ID]],B21)/S21)</f>
        <v>NA</v>
      </c>
      <c r="AF21" s="158" t="str">
        <f>IF(S21=0,"NA",SUMIFS(AN_TME_PY[[#All],[TOTAL Non-Truncated Unadjusted Expenses (A21 + A23)]],AN_TME_PY[[#All],[Insurance Category Code]],2,AN_TME_PY[[#All],[Advanced Network/Insurance Carrier Org ID]],B21)/S21)</f>
        <v>NA</v>
      </c>
      <c r="AG21" s="157" t="str">
        <f>IF(S21=0,"NA",SUMIFS(AN_TME_PY[[#All],[TOTAL Truncated Unadjusted Expenses (A22 + A23)]],AN_TME_PY[[#All],[Insurance Category Code]],2,AN_TME_PY[[#All],[Advanced Network/Insurance Carrier Org ID]],B21)/S21)</f>
        <v>NA</v>
      </c>
      <c r="AH21" s="245" t="str">
        <f t="shared" si="15"/>
        <v>NA</v>
      </c>
      <c r="AI21" s="246" t="str">
        <f t="shared" si="16"/>
        <v>NA</v>
      </c>
      <c r="AJ21" s="247" t="str">
        <f t="shared" si="17"/>
        <v>NA</v>
      </c>
      <c r="AK21" s="247" t="str">
        <f t="shared" si="18"/>
        <v>NA</v>
      </c>
      <c r="AL21" s="247" t="str">
        <f t="shared" si="19"/>
        <v>NA</v>
      </c>
      <c r="AM21" s="247" t="str">
        <f t="shared" si="20"/>
        <v>NA</v>
      </c>
      <c r="AN21" s="247" t="str">
        <f t="shared" si="21"/>
        <v>NA</v>
      </c>
      <c r="AO21" s="247" t="str">
        <f t="shared" si="22"/>
        <v>NA</v>
      </c>
      <c r="AP21" s="247" t="str">
        <f t="shared" si="23"/>
        <v>NA</v>
      </c>
      <c r="AQ21" s="247" t="str">
        <f t="shared" si="24"/>
        <v>NA</v>
      </c>
      <c r="AR21" s="248" t="str">
        <f t="shared" si="25"/>
        <v>NA</v>
      </c>
      <c r="AS21" s="248" t="str">
        <f t="shared" si="26"/>
        <v>NA</v>
      </c>
      <c r="AT21" s="248" t="str">
        <f t="shared" si="27"/>
        <v>NA</v>
      </c>
      <c r="AU21" s="248" t="str">
        <f t="shared" si="28"/>
        <v>NA</v>
      </c>
      <c r="AV21" s="249" t="str">
        <f t="shared" si="29"/>
        <v>NA</v>
      </c>
    </row>
    <row r="22" spans="1:48" ht="15" customHeight="1" x14ac:dyDescent="0.25">
      <c r="A22" s="175"/>
      <c r="B22" s="181">
        <v>114</v>
      </c>
      <c r="C22" s="155" t="str">
        <f>_xlfn.XLOOKUP(B22,LgProvEntOrgIDs[Advanced Network/Insurer Carrier Org ID],LgProvEntOrgIDs[Advanced Network/Insurance Carrier Overall])</f>
        <v>Community Health and Wellness Center of Greater Torrington</v>
      </c>
      <c r="D22" s="242">
        <f>SUMIFS(AN_TME_BY[[#All],[Member Months]],AN_TME_BY[[#All],[Insurance Category Code]],2,AN_TME_BY[[#All],[Advanced Network/Insurance Carrier Org ID]],B22)</f>
        <v>0</v>
      </c>
      <c r="E22" s="156" t="str">
        <f>IF(D22=0,"NA",SUMIFS(AN_TME_BY[[#All],[Claims: Hospital Inpatient]],AN_TME_BY[[#All],[Insurance Category Code]],2,AN_TME_BY[[#All],[Advanced Network/Insurance Carrier Org ID]],B22)/D22)</f>
        <v>NA</v>
      </c>
      <c r="F22" s="59" t="str">
        <f>IF(D22=0,"NA",SUMIFS(AN_TME_BY[[#All],[Claims: Hospital Outpatient]],AN_TME_BY[[#All],[Insurance Category Code]],2,AN_TME_BY[[#All],[Advanced Network/Insurance Carrier Org ID]],B22)/D22)</f>
        <v>NA</v>
      </c>
      <c r="G22" s="59" t="str">
        <f>IF(D22=0,"NA",SUMIFS(AN_TME_BY[[#All],[Claims: Professional, Primary Care]],AN_TME_BY[[#All],[Insurance Category Code]],2,AN_TME_BY[[#All],[Advanced Network/Insurance Carrier Org ID]],B22)/D22)</f>
        <v>NA</v>
      </c>
      <c r="H22" s="59" t="str">
        <f>IF(D22=0,"NA",SUMIFS(AN_TME_BY[[#All],[Claims: Professional, Primary Care (for Monitoring Purposes)]],AN_TME_BY[[#All],[Insurance Category Code]],2,AN_TME_BY[[#All],[Advanced Network/Insurance Carrier Org ID]],B22)/D22)</f>
        <v>NA</v>
      </c>
      <c r="I22" s="59" t="str">
        <f>IF(D22=0,"NA",SUMIFS(AN_TME_BY[[#All],[Claims: Professional, Specialty]],AN_TME_BY[[#All],[Insurance Category Code]],2,AN_TME_BY[[#All],[Advanced Network/Insurance Carrier Org ID]],B22)/D22)</f>
        <v>NA</v>
      </c>
      <c r="J22" s="59" t="str">
        <f>IF(D22=0,"NA",SUMIFS(AN_TME_BY[[#All],[Claims: Professional Other]],AN_TME_BY[[#All],[Insurance Category Code]],2,AN_TME_BY[[#All],[Advanced Network/Insurance Carrier Org ID]],B22)/D22)</f>
        <v>NA</v>
      </c>
      <c r="K22" s="59" t="str">
        <f>IF(D22=0,"NA",SUMIFS(AN_TME_BY[[#All],[Claims: Pharmacy]],AN_TME_BY[[#All],[Insurance Category Code]],2,AN_TME_BY[[#All],[Advanced Network/Insurance Carrier Org ID]],B22)/D22)</f>
        <v>NA</v>
      </c>
      <c r="L22" s="59" t="str">
        <f>IF(D22=0,"NA",SUMIFS(AN_TME_BY[[#All],[Claims: Long-Term Care]],AN_TME_BY[[#All],[Insurance Category Code]],2,AN_TME_BY[[#All],[Advanced Network/Insurance Carrier Org ID]],B22)/D22)</f>
        <v>NA</v>
      </c>
      <c r="M22" s="59" t="str">
        <f>IF(D22=0,"NA",SUMIFS(AN_TME_BY[[#All],[Claims: Other]],AN_TME_BY[[#All],[Insurance Category Code]],2,AN_TME_BY[[#All],[Advanced Network/Insurance Carrier Org ID]],B22)/D22)</f>
        <v>NA</v>
      </c>
      <c r="N22" s="158" t="str">
        <f>IF(D22=0,"NA",SUMIFS(AN_TME_BY[[#All],[TOTAL Non-Truncated Unadjusted Claims Expenses]],AN_TME_BY[[#All],[Insurance Category Code]],2,AN_TME_BY[[#All],[Advanced Network/Insurance Carrier Org ID]],B22)/D22)</f>
        <v>NA</v>
      </c>
      <c r="O22" s="158" t="str">
        <f>IF(D22=0,"NA",SUMIFS(AN_TME_BY[[#All],[TOTAL Truncated Unadjusted Claims Expenses (A21 -A19)]],AN_TME_BY[[#All],[Insurance Category Code]],2,AN_TME_BY[[#All],[Advanced Network/Insurance Carrier Org ID]],B22)/D22)</f>
        <v>NA</v>
      </c>
      <c r="P22" s="158" t="str">
        <f>IF(D22=0,"NA",SUMIFS(AN_TME_BY[[#All],[TOTAL Non-Claims Expenses]],AN_TME_BY[[#All],[Insurance Category Code]],2,AN_TME_BY[[#All],[Advanced Network/Insurance Carrier Org ID]],B22)/D22)</f>
        <v>NA</v>
      </c>
      <c r="Q22" s="158" t="str">
        <f>IF(D22=0,"NA",SUMIFS(AN_TME_BY[[#All],[TOTAL Non-Truncated Unadjusted Expenses (A21 + A23)]],AN_TME_BY[[#All],[Insurance Category Code]],2,AN_TME_BY[[#All],[Advanced Network/Insurance Carrier Org ID]],B22)/D22)</f>
        <v>NA</v>
      </c>
      <c r="R22" s="158" t="str">
        <f>IF(D22=0,"NA",SUMIFS(AN_TME_BY[[#All],[TOTAL Truncated Unadjusted Expenses (A22 + A23)]],AN_TME_BY[[#All],[Insurance Category Code]],2,AN_TME_BY[[#All],[Advanced Network/Insurance Carrier Org ID]],B22)/D22)</f>
        <v>NA</v>
      </c>
      <c r="S22" s="242">
        <f>SUMIFS(AN_TME_PY[[#All],[Member Months]],AN_TME_PY[[#All],[Insurance Category Code]],2,AN_TME_PY[[#All],[Advanced Network/Insurance Carrier Org ID]],B22)</f>
        <v>0</v>
      </c>
      <c r="T22" s="156" t="str">
        <f>IF(S22=0,"NA",SUMIFS(AN_TME_PY[[#All],[Claims: Hospital Inpatient]],AN_TME_PY[[#All],[Insurance Category Code]],2,AN_TME_PY[[#All],[Advanced Network/Insurance Carrier Org ID]],B22)/S22)</f>
        <v>NA</v>
      </c>
      <c r="U22" s="59" t="str">
        <f>IF(S22=0,"NA",SUMIFS(AN_TME_PY[[#All],[Claims: Hospital Outpatient]],AN_TME_PY[[#All],[Insurance Category Code]],2,AN_TME_PY[[#All],[Advanced Network/Insurance Carrier Org ID]],B22)/S22)</f>
        <v>NA</v>
      </c>
      <c r="V22" s="59" t="str">
        <f>IF(S22=0,"NA",SUMIFS(AN_TME_PY[[#All],[Claims: Professional, Primary Care]],AN_TME_PY[[#All],[Insurance Category Code]],2,AN_TME_PY[[#All],[Advanced Network/Insurance Carrier Org ID]],B22)/S22)</f>
        <v>NA</v>
      </c>
      <c r="W22" s="59" t="str">
        <f>IF(S22=0,"NA",SUMIFS(AN_TME_PY[[#All],[Claims: Professional, Primary Care (for Monitoring Purposes)]],AN_TME_PY[[#All],[Insurance Category Code]],2,AN_TME_PY[[#All],[Advanced Network/Insurance Carrier Org ID]],B22)/S22)</f>
        <v>NA</v>
      </c>
      <c r="X22" s="59" t="str">
        <f>IF(S22=0,"NA",SUMIFS(AN_TME_PY[[#All],[Claims: Professional, Specialty]],AN_TME_PY[[#All],[Insurance Category Code]],2,AN_TME_PY[[#All],[Advanced Network/Insurance Carrier Org ID]],B22)/S22)</f>
        <v>NA</v>
      </c>
      <c r="Y22" s="59" t="str">
        <f>IF(S22=0,"NA",SUMIFS(AN_TME_PY[[#All],[Claims: Professional Other]],AN_TME_PY[[#All],[Insurance Category Code]],2,AN_TME_PY[[#All],[Advanced Network/Insurance Carrier Org ID]],B22)/S22)</f>
        <v>NA</v>
      </c>
      <c r="Z22" s="59" t="str">
        <f>IF(S22=0,"NA",SUMIFS(AN_TME_PY[[#All],[Claims: Pharmacy]],AN_TME_PY[[#All],[Insurance Category Code]],2,AN_TME_PY[[#All],[Advanced Network/Insurance Carrier Org ID]],B22)/S22)</f>
        <v>NA</v>
      </c>
      <c r="AA22" s="59" t="str">
        <f>IF(S22=0,"NA",SUMIFS(AN_TME_PY[[#All],[Claims: Long-Term Care]],AN_TME_PY[[#All],[Insurance Category Code]],2,AN_TME_PY[[#All],[Advanced Network/Insurance Carrier Org ID]],B22)/S22)</f>
        <v>NA</v>
      </c>
      <c r="AB22" s="59" t="str">
        <f>IF(S22=0,"NA",SUMIFS(AN_TME_PY[[#All],[Claims: Other]],AN_TME_PY[[#All],[Insurance Category Code]],2,AN_TME_PY[[#All],[Advanced Network/Insurance Carrier Org ID]],B22)/S22)</f>
        <v>NA</v>
      </c>
      <c r="AC22" s="158" t="str">
        <f>IF(S22=0,"NA",SUMIFS(AN_TME_PY[[#All],[TOTAL Non-Truncated Unadjusted Claims Expenses]],AN_TME_PY[[#All],[Insurance Category Code]],2,AN_TME_PY[[#All],[Advanced Network/Insurance Carrier Org ID]],B22)/S22)</f>
        <v>NA</v>
      </c>
      <c r="AD22" s="158" t="str">
        <f>IF(S22=0,"NA",SUMIFS(AN_TME_PY[[#All],[TOTAL Truncated Unadjusted Claims Expenses (A21 -A19)]],AN_TME_PY[[#All],[Insurance Category Code]],2,AN_TME_PY[[#All],[Advanced Network/Insurance Carrier Org ID]],B22)/S22)</f>
        <v>NA</v>
      </c>
      <c r="AE22" s="158" t="str">
        <f>IF(S22=0,"NA",SUMIFS(AN_TME_PY[[#All],[TOTAL Non-Claims Expenses]],AN_TME_PY[[#All],[Insurance Category Code]],2,AN_TME_PY[[#All],[Advanced Network/Insurance Carrier Org ID]],B22)/S22)</f>
        <v>NA</v>
      </c>
      <c r="AF22" s="158" t="str">
        <f>IF(S22=0,"NA",SUMIFS(AN_TME_PY[[#All],[TOTAL Non-Truncated Unadjusted Expenses (A21 + A23)]],AN_TME_PY[[#All],[Insurance Category Code]],2,AN_TME_PY[[#All],[Advanced Network/Insurance Carrier Org ID]],B22)/S22)</f>
        <v>NA</v>
      </c>
      <c r="AG22" s="157" t="str">
        <f>IF(S22=0,"NA",SUMIFS(AN_TME_PY[[#All],[TOTAL Truncated Unadjusted Expenses (A22 + A23)]],AN_TME_PY[[#All],[Insurance Category Code]],2,AN_TME_PY[[#All],[Advanced Network/Insurance Carrier Org ID]],B22)/S22)</f>
        <v>NA</v>
      </c>
      <c r="AH22" s="245" t="str">
        <f t="shared" si="15"/>
        <v>NA</v>
      </c>
      <c r="AI22" s="246" t="str">
        <f t="shared" si="16"/>
        <v>NA</v>
      </c>
      <c r="AJ22" s="247" t="str">
        <f t="shared" si="17"/>
        <v>NA</v>
      </c>
      <c r="AK22" s="247" t="str">
        <f t="shared" si="18"/>
        <v>NA</v>
      </c>
      <c r="AL22" s="247" t="str">
        <f t="shared" si="19"/>
        <v>NA</v>
      </c>
      <c r="AM22" s="247" t="str">
        <f t="shared" si="20"/>
        <v>NA</v>
      </c>
      <c r="AN22" s="247" t="str">
        <f t="shared" si="21"/>
        <v>NA</v>
      </c>
      <c r="AO22" s="247" t="str">
        <f t="shared" si="22"/>
        <v>NA</v>
      </c>
      <c r="AP22" s="247" t="str">
        <f t="shared" si="23"/>
        <v>NA</v>
      </c>
      <c r="AQ22" s="247" t="str">
        <f t="shared" si="24"/>
        <v>NA</v>
      </c>
      <c r="AR22" s="248" t="str">
        <f t="shared" si="25"/>
        <v>NA</v>
      </c>
      <c r="AS22" s="248" t="str">
        <f t="shared" si="26"/>
        <v>NA</v>
      </c>
      <c r="AT22" s="248" t="str">
        <f t="shared" si="27"/>
        <v>NA</v>
      </c>
      <c r="AU22" s="248" t="str">
        <f t="shared" si="28"/>
        <v>NA</v>
      </c>
      <c r="AV22" s="249" t="str">
        <f t="shared" si="29"/>
        <v>NA</v>
      </c>
    </row>
    <row r="23" spans="1:48" ht="15" customHeight="1" x14ac:dyDescent="0.25">
      <c r="A23" s="175"/>
      <c r="B23" s="181">
        <v>115</v>
      </c>
      <c r="C23" s="155" t="str">
        <f>_xlfn.XLOOKUP(B23,LgProvEntOrgIDs[Advanced Network/Insurer Carrier Org ID],LgProvEntOrgIDs[Advanced Network/Insurance Carrier Overall])</f>
        <v>Community Health Center</v>
      </c>
      <c r="D23" s="242">
        <f>SUMIFS(AN_TME_BY[[#All],[Member Months]],AN_TME_BY[[#All],[Insurance Category Code]],2,AN_TME_BY[[#All],[Advanced Network/Insurance Carrier Org ID]],B23)</f>
        <v>0</v>
      </c>
      <c r="E23" s="156" t="str">
        <f>IF(D23=0,"NA",SUMIFS(AN_TME_BY[[#All],[Claims: Hospital Inpatient]],AN_TME_BY[[#All],[Insurance Category Code]],2,AN_TME_BY[[#All],[Advanced Network/Insurance Carrier Org ID]],B23)/D23)</f>
        <v>NA</v>
      </c>
      <c r="F23" s="59" t="str">
        <f>IF(D23=0,"NA",SUMIFS(AN_TME_BY[[#All],[Claims: Hospital Outpatient]],AN_TME_BY[[#All],[Insurance Category Code]],2,AN_TME_BY[[#All],[Advanced Network/Insurance Carrier Org ID]],B23)/D23)</f>
        <v>NA</v>
      </c>
      <c r="G23" s="59" t="str">
        <f>IF(D23=0,"NA",SUMIFS(AN_TME_BY[[#All],[Claims: Professional, Primary Care]],AN_TME_BY[[#All],[Insurance Category Code]],2,AN_TME_BY[[#All],[Advanced Network/Insurance Carrier Org ID]],B23)/D23)</f>
        <v>NA</v>
      </c>
      <c r="H23" s="59" t="str">
        <f>IF(D23=0,"NA",SUMIFS(AN_TME_BY[[#All],[Claims: Professional, Primary Care (for Monitoring Purposes)]],AN_TME_BY[[#All],[Insurance Category Code]],2,AN_TME_BY[[#All],[Advanced Network/Insurance Carrier Org ID]],B23)/D23)</f>
        <v>NA</v>
      </c>
      <c r="I23" s="59" t="str">
        <f>IF(D23=0,"NA",SUMIFS(AN_TME_BY[[#All],[Claims: Professional, Specialty]],AN_TME_BY[[#All],[Insurance Category Code]],2,AN_TME_BY[[#All],[Advanced Network/Insurance Carrier Org ID]],B23)/D23)</f>
        <v>NA</v>
      </c>
      <c r="J23" s="59" t="str">
        <f>IF(D23=0,"NA",SUMIFS(AN_TME_BY[[#All],[Claims: Professional Other]],AN_TME_BY[[#All],[Insurance Category Code]],2,AN_TME_BY[[#All],[Advanced Network/Insurance Carrier Org ID]],B23)/D23)</f>
        <v>NA</v>
      </c>
      <c r="K23" s="59" t="str">
        <f>IF(D23=0,"NA",SUMIFS(AN_TME_BY[[#All],[Claims: Pharmacy]],AN_TME_BY[[#All],[Insurance Category Code]],2,AN_TME_BY[[#All],[Advanced Network/Insurance Carrier Org ID]],B23)/D23)</f>
        <v>NA</v>
      </c>
      <c r="L23" s="59" t="str">
        <f>IF(D23=0,"NA",SUMIFS(AN_TME_BY[[#All],[Claims: Long-Term Care]],AN_TME_BY[[#All],[Insurance Category Code]],2,AN_TME_BY[[#All],[Advanced Network/Insurance Carrier Org ID]],B23)/D23)</f>
        <v>NA</v>
      </c>
      <c r="M23" s="59" t="str">
        <f>IF(D23=0,"NA",SUMIFS(AN_TME_BY[[#All],[Claims: Other]],AN_TME_BY[[#All],[Insurance Category Code]],2,AN_TME_BY[[#All],[Advanced Network/Insurance Carrier Org ID]],B23)/D23)</f>
        <v>NA</v>
      </c>
      <c r="N23" s="158" t="str">
        <f>IF(D23=0,"NA",SUMIFS(AN_TME_BY[[#All],[TOTAL Non-Truncated Unadjusted Claims Expenses]],AN_TME_BY[[#All],[Insurance Category Code]],2,AN_TME_BY[[#All],[Advanced Network/Insurance Carrier Org ID]],B23)/D23)</f>
        <v>NA</v>
      </c>
      <c r="O23" s="158" t="str">
        <f>IF(D23=0,"NA",SUMIFS(AN_TME_BY[[#All],[TOTAL Truncated Unadjusted Claims Expenses (A21 -A19)]],AN_TME_BY[[#All],[Insurance Category Code]],2,AN_TME_BY[[#All],[Advanced Network/Insurance Carrier Org ID]],B23)/D23)</f>
        <v>NA</v>
      </c>
      <c r="P23" s="158" t="str">
        <f>IF(D23=0,"NA",SUMIFS(AN_TME_BY[[#All],[TOTAL Non-Claims Expenses]],AN_TME_BY[[#All],[Insurance Category Code]],2,AN_TME_BY[[#All],[Advanced Network/Insurance Carrier Org ID]],B23)/D23)</f>
        <v>NA</v>
      </c>
      <c r="Q23" s="158" t="str">
        <f>IF(D23=0,"NA",SUMIFS(AN_TME_BY[[#All],[TOTAL Non-Truncated Unadjusted Expenses (A21 + A23)]],AN_TME_BY[[#All],[Insurance Category Code]],2,AN_TME_BY[[#All],[Advanced Network/Insurance Carrier Org ID]],B23)/D23)</f>
        <v>NA</v>
      </c>
      <c r="R23" s="158" t="str">
        <f>IF(D23=0,"NA",SUMIFS(AN_TME_BY[[#All],[TOTAL Truncated Unadjusted Expenses (A22 + A23)]],AN_TME_BY[[#All],[Insurance Category Code]],2,AN_TME_BY[[#All],[Advanced Network/Insurance Carrier Org ID]],B23)/D23)</f>
        <v>NA</v>
      </c>
      <c r="S23" s="242">
        <f>SUMIFS(AN_TME_PY[[#All],[Member Months]],AN_TME_PY[[#All],[Insurance Category Code]],2,AN_TME_PY[[#All],[Advanced Network/Insurance Carrier Org ID]],B23)</f>
        <v>0</v>
      </c>
      <c r="T23" s="156" t="str">
        <f>IF(S23=0,"NA",SUMIFS(AN_TME_PY[[#All],[Claims: Hospital Inpatient]],AN_TME_PY[[#All],[Insurance Category Code]],2,AN_TME_PY[[#All],[Advanced Network/Insurance Carrier Org ID]],B23)/S23)</f>
        <v>NA</v>
      </c>
      <c r="U23" s="59" t="str">
        <f>IF(S23=0,"NA",SUMIFS(AN_TME_PY[[#All],[Claims: Hospital Outpatient]],AN_TME_PY[[#All],[Insurance Category Code]],2,AN_TME_PY[[#All],[Advanced Network/Insurance Carrier Org ID]],B23)/S23)</f>
        <v>NA</v>
      </c>
      <c r="V23" s="59" t="str">
        <f>IF(S23=0,"NA",SUMIFS(AN_TME_PY[[#All],[Claims: Professional, Primary Care]],AN_TME_PY[[#All],[Insurance Category Code]],2,AN_TME_PY[[#All],[Advanced Network/Insurance Carrier Org ID]],B23)/S23)</f>
        <v>NA</v>
      </c>
      <c r="W23" s="59" t="str">
        <f>IF(S23=0,"NA",SUMIFS(AN_TME_PY[[#All],[Claims: Professional, Primary Care (for Monitoring Purposes)]],AN_TME_PY[[#All],[Insurance Category Code]],2,AN_TME_PY[[#All],[Advanced Network/Insurance Carrier Org ID]],B23)/S23)</f>
        <v>NA</v>
      </c>
      <c r="X23" s="59" t="str">
        <f>IF(S23=0,"NA",SUMIFS(AN_TME_PY[[#All],[Claims: Professional, Specialty]],AN_TME_PY[[#All],[Insurance Category Code]],2,AN_TME_PY[[#All],[Advanced Network/Insurance Carrier Org ID]],B23)/S23)</f>
        <v>NA</v>
      </c>
      <c r="Y23" s="59" t="str">
        <f>IF(S23=0,"NA",SUMIFS(AN_TME_PY[[#All],[Claims: Professional Other]],AN_TME_PY[[#All],[Insurance Category Code]],2,AN_TME_PY[[#All],[Advanced Network/Insurance Carrier Org ID]],B23)/S23)</f>
        <v>NA</v>
      </c>
      <c r="Z23" s="59" t="str">
        <f>IF(S23=0,"NA",SUMIFS(AN_TME_PY[[#All],[Claims: Pharmacy]],AN_TME_PY[[#All],[Insurance Category Code]],2,AN_TME_PY[[#All],[Advanced Network/Insurance Carrier Org ID]],B23)/S23)</f>
        <v>NA</v>
      </c>
      <c r="AA23" s="59" t="str">
        <f>IF(S23=0,"NA",SUMIFS(AN_TME_PY[[#All],[Claims: Long-Term Care]],AN_TME_PY[[#All],[Insurance Category Code]],2,AN_TME_PY[[#All],[Advanced Network/Insurance Carrier Org ID]],B23)/S23)</f>
        <v>NA</v>
      </c>
      <c r="AB23" s="59" t="str">
        <f>IF(S23=0,"NA",SUMIFS(AN_TME_PY[[#All],[Claims: Other]],AN_TME_PY[[#All],[Insurance Category Code]],2,AN_TME_PY[[#All],[Advanced Network/Insurance Carrier Org ID]],B23)/S23)</f>
        <v>NA</v>
      </c>
      <c r="AC23" s="158" t="str">
        <f>IF(S23=0,"NA",SUMIFS(AN_TME_PY[[#All],[TOTAL Non-Truncated Unadjusted Claims Expenses]],AN_TME_PY[[#All],[Insurance Category Code]],2,AN_TME_PY[[#All],[Advanced Network/Insurance Carrier Org ID]],B23)/S23)</f>
        <v>NA</v>
      </c>
      <c r="AD23" s="158" t="str">
        <f>IF(S23=0,"NA",SUMIFS(AN_TME_PY[[#All],[TOTAL Truncated Unadjusted Claims Expenses (A21 -A19)]],AN_TME_PY[[#All],[Insurance Category Code]],2,AN_TME_PY[[#All],[Advanced Network/Insurance Carrier Org ID]],B23)/S23)</f>
        <v>NA</v>
      </c>
      <c r="AE23" s="158" t="str">
        <f>IF(S23=0,"NA",SUMIFS(AN_TME_PY[[#All],[TOTAL Non-Claims Expenses]],AN_TME_PY[[#All],[Insurance Category Code]],2,AN_TME_PY[[#All],[Advanced Network/Insurance Carrier Org ID]],B23)/S23)</f>
        <v>NA</v>
      </c>
      <c r="AF23" s="158" t="str">
        <f>IF(S23=0,"NA",SUMIFS(AN_TME_PY[[#All],[TOTAL Non-Truncated Unadjusted Expenses (A21 + A23)]],AN_TME_PY[[#All],[Insurance Category Code]],2,AN_TME_PY[[#All],[Advanced Network/Insurance Carrier Org ID]],B23)/S23)</f>
        <v>NA</v>
      </c>
      <c r="AG23" s="157" t="str">
        <f>IF(S23=0,"NA",SUMIFS(AN_TME_PY[[#All],[TOTAL Truncated Unadjusted Expenses (A22 + A23)]],AN_TME_PY[[#All],[Insurance Category Code]],2,AN_TME_PY[[#All],[Advanced Network/Insurance Carrier Org ID]],B23)/S23)</f>
        <v>NA</v>
      </c>
      <c r="AH23" s="245" t="str">
        <f t="shared" si="15"/>
        <v>NA</v>
      </c>
      <c r="AI23" s="246" t="str">
        <f t="shared" si="16"/>
        <v>NA</v>
      </c>
      <c r="AJ23" s="247" t="str">
        <f t="shared" si="17"/>
        <v>NA</v>
      </c>
      <c r="AK23" s="247" t="str">
        <f t="shared" si="18"/>
        <v>NA</v>
      </c>
      <c r="AL23" s="247" t="str">
        <f t="shared" si="19"/>
        <v>NA</v>
      </c>
      <c r="AM23" s="247" t="str">
        <f t="shared" si="20"/>
        <v>NA</v>
      </c>
      <c r="AN23" s="247" t="str">
        <f t="shared" si="21"/>
        <v>NA</v>
      </c>
      <c r="AO23" s="247" t="str">
        <f t="shared" si="22"/>
        <v>NA</v>
      </c>
      <c r="AP23" s="247" t="str">
        <f t="shared" si="23"/>
        <v>NA</v>
      </c>
      <c r="AQ23" s="247" t="str">
        <f t="shared" si="24"/>
        <v>NA</v>
      </c>
      <c r="AR23" s="248" t="str">
        <f t="shared" si="25"/>
        <v>NA</v>
      </c>
      <c r="AS23" s="248" t="str">
        <f t="shared" si="26"/>
        <v>NA</v>
      </c>
      <c r="AT23" s="248" t="str">
        <f t="shared" si="27"/>
        <v>NA</v>
      </c>
      <c r="AU23" s="248" t="str">
        <f t="shared" si="28"/>
        <v>NA</v>
      </c>
      <c r="AV23" s="249" t="str">
        <f t="shared" si="29"/>
        <v>NA</v>
      </c>
    </row>
    <row r="24" spans="1:48" ht="15" customHeight="1" x14ac:dyDescent="0.25">
      <c r="A24" s="175"/>
      <c r="B24" s="181">
        <v>116</v>
      </c>
      <c r="C24" s="155" t="str">
        <f>_xlfn.XLOOKUP(B24,LgProvEntOrgIDs[Advanced Network/Insurer Carrier Org ID],LgProvEntOrgIDs[Advanced Network/Insurance Carrier Overall])</f>
        <v>Community Health Services</v>
      </c>
      <c r="D24" s="242">
        <f>SUMIFS(AN_TME_BY[[#All],[Member Months]],AN_TME_BY[[#All],[Insurance Category Code]],2,AN_TME_BY[[#All],[Advanced Network/Insurance Carrier Org ID]],B24)</f>
        <v>0</v>
      </c>
      <c r="E24" s="156" t="str">
        <f>IF(D24=0,"NA",SUMIFS(AN_TME_BY[[#All],[Claims: Hospital Inpatient]],AN_TME_BY[[#All],[Insurance Category Code]],2,AN_TME_BY[[#All],[Advanced Network/Insurance Carrier Org ID]],B24)/D24)</f>
        <v>NA</v>
      </c>
      <c r="F24" s="59" t="str">
        <f>IF(D24=0,"NA",SUMIFS(AN_TME_BY[[#All],[Claims: Hospital Outpatient]],AN_TME_BY[[#All],[Insurance Category Code]],2,AN_TME_BY[[#All],[Advanced Network/Insurance Carrier Org ID]],B24)/D24)</f>
        <v>NA</v>
      </c>
      <c r="G24" s="59" t="str">
        <f>IF(D24=0,"NA",SUMIFS(AN_TME_BY[[#All],[Claims: Professional, Primary Care]],AN_TME_BY[[#All],[Insurance Category Code]],2,AN_TME_BY[[#All],[Advanced Network/Insurance Carrier Org ID]],B24)/D24)</f>
        <v>NA</v>
      </c>
      <c r="H24" s="59" t="str">
        <f>IF(D24=0,"NA",SUMIFS(AN_TME_BY[[#All],[Claims: Professional, Primary Care (for Monitoring Purposes)]],AN_TME_BY[[#All],[Insurance Category Code]],2,AN_TME_BY[[#All],[Advanced Network/Insurance Carrier Org ID]],B24)/D24)</f>
        <v>NA</v>
      </c>
      <c r="I24" s="59" t="str">
        <f>IF(D24=0,"NA",SUMIFS(AN_TME_BY[[#All],[Claims: Professional, Specialty]],AN_TME_BY[[#All],[Insurance Category Code]],2,AN_TME_BY[[#All],[Advanced Network/Insurance Carrier Org ID]],B24)/D24)</f>
        <v>NA</v>
      </c>
      <c r="J24" s="59" t="str">
        <f>IF(D24=0,"NA",SUMIFS(AN_TME_BY[[#All],[Claims: Professional Other]],AN_TME_BY[[#All],[Insurance Category Code]],2,AN_TME_BY[[#All],[Advanced Network/Insurance Carrier Org ID]],B24)/D24)</f>
        <v>NA</v>
      </c>
      <c r="K24" s="59" t="str">
        <f>IF(D24=0,"NA",SUMIFS(AN_TME_BY[[#All],[Claims: Pharmacy]],AN_TME_BY[[#All],[Insurance Category Code]],2,AN_TME_BY[[#All],[Advanced Network/Insurance Carrier Org ID]],B24)/D24)</f>
        <v>NA</v>
      </c>
      <c r="L24" s="59" t="str">
        <f>IF(D24=0,"NA",SUMIFS(AN_TME_BY[[#All],[Claims: Long-Term Care]],AN_TME_BY[[#All],[Insurance Category Code]],2,AN_TME_BY[[#All],[Advanced Network/Insurance Carrier Org ID]],B24)/D24)</f>
        <v>NA</v>
      </c>
      <c r="M24" s="59" t="str">
        <f>IF(D24=0,"NA",SUMIFS(AN_TME_BY[[#All],[Claims: Other]],AN_TME_BY[[#All],[Insurance Category Code]],2,AN_TME_BY[[#All],[Advanced Network/Insurance Carrier Org ID]],B24)/D24)</f>
        <v>NA</v>
      </c>
      <c r="N24" s="158" t="str">
        <f>IF(D24=0,"NA",SUMIFS(AN_TME_BY[[#All],[TOTAL Non-Truncated Unadjusted Claims Expenses]],AN_TME_BY[[#All],[Insurance Category Code]],2,AN_TME_BY[[#All],[Advanced Network/Insurance Carrier Org ID]],B24)/D24)</f>
        <v>NA</v>
      </c>
      <c r="O24" s="158" t="str">
        <f>IF(D24=0,"NA",SUMIFS(AN_TME_BY[[#All],[TOTAL Truncated Unadjusted Claims Expenses (A21 -A19)]],AN_TME_BY[[#All],[Insurance Category Code]],2,AN_TME_BY[[#All],[Advanced Network/Insurance Carrier Org ID]],B24)/D24)</f>
        <v>NA</v>
      </c>
      <c r="P24" s="158" t="str">
        <f>IF(D24=0,"NA",SUMIFS(AN_TME_BY[[#All],[TOTAL Non-Claims Expenses]],AN_TME_BY[[#All],[Insurance Category Code]],2,AN_TME_BY[[#All],[Advanced Network/Insurance Carrier Org ID]],B24)/D24)</f>
        <v>NA</v>
      </c>
      <c r="Q24" s="158" t="str">
        <f>IF(D24=0,"NA",SUMIFS(AN_TME_BY[[#All],[TOTAL Non-Truncated Unadjusted Expenses (A21 + A23)]],AN_TME_BY[[#All],[Insurance Category Code]],2,AN_TME_BY[[#All],[Advanced Network/Insurance Carrier Org ID]],B24)/D24)</f>
        <v>NA</v>
      </c>
      <c r="R24" s="158" t="str">
        <f>IF(D24=0,"NA",SUMIFS(AN_TME_BY[[#All],[TOTAL Truncated Unadjusted Expenses (A22 + A23)]],AN_TME_BY[[#All],[Insurance Category Code]],2,AN_TME_BY[[#All],[Advanced Network/Insurance Carrier Org ID]],B24)/D24)</f>
        <v>NA</v>
      </c>
      <c r="S24" s="242">
        <f>SUMIFS(AN_TME_PY[[#All],[Member Months]],AN_TME_PY[[#All],[Insurance Category Code]],2,AN_TME_PY[[#All],[Advanced Network/Insurance Carrier Org ID]],B24)</f>
        <v>0</v>
      </c>
      <c r="T24" s="156" t="str">
        <f>IF(S24=0,"NA",SUMIFS(AN_TME_PY[[#All],[Claims: Hospital Inpatient]],AN_TME_PY[[#All],[Insurance Category Code]],2,AN_TME_PY[[#All],[Advanced Network/Insurance Carrier Org ID]],B24)/S24)</f>
        <v>NA</v>
      </c>
      <c r="U24" s="59" t="str">
        <f>IF(S24=0,"NA",SUMIFS(AN_TME_PY[[#All],[Claims: Hospital Outpatient]],AN_TME_PY[[#All],[Insurance Category Code]],2,AN_TME_PY[[#All],[Advanced Network/Insurance Carrier Org ID]],B24)/S24)</f>
        <v>NA</v>
      </c>
      <c r="V24" s="59" t="str">
        <f>IF(S24=0,"NA",SUMIFS(AN_TME_PY[[#All],[Claims: Professional, Primary Care]],AN_TME_PY[[#All],[Insurance Category Code]],2,AN_TME_PY[[#All],[Advanced Network/Insurance Carrier Org ID]],B24)/S24)</f>
        <v>NA</v>
      </c>
      <c r="W24" s="59" t="str">
        <f>IF(S24=0,"NA",SUMIFS(AN_TME_PY[[#All],[Claims: Professional, Primary Care (for Monitoring Purposes)]],AN_TME_PY[[#All],[Insurance Category Code]],2,AN_TME_PY[[#All],[Advanced Network/Insurance Carrier Org ID]],B24)/S24)</f>
        <v>NA</v>
      </c>
      <c r="X24" s="59" t="str">
        <f>IF(S24=0,"NA",SUMIFS(AN_TME_PY[[#All],[Claims: Professional, Specialty]],AN_TME_PY[[#All],[Insurance Category Code]],2,AN_TME_PY[[#All],[Advanced Network/Insurance Carrier Org ID]],B24)/S24)</f>
        <v>NA</v>
      </c>
      <c r="Y24" s="59" t="str">
        <f>IF(S24=0,"NA",SUMIFS(AN_TME_PY[[#All],[Claims: Professional Other]],AN_TME_PY[[#All],[Insurance Category Code]],2,AN_TME_PY[[#All],[Advanced Network/Insurance Carrier Org ID]],B24)/S24)</f>
        <v>NA</v>
      </c>
      <c r="Z24" s="59" t="str">
        <f>IF(S24=0,"NA",SUMIFS(AN_TME_PY[[#All],[Claims: Pharmacy]],AN_TME_PY[[#All],[Insurance Category Code]],2,AN_TME_PY[[#All],[Advanced Network/Insurance Carrier Org ID]],B24)/S24)</f>
        <v>NA</v>
      </c>
      <c r="AA24" s="59" t="str">
        <f>IF(S24=0,"NA",SUMIFS(AN_TME_PY[[#All],[Claims: Long-Term Care]],AN_TME_PY[[#All],[Insurance Category Code]],2,AN_TME_PY[[#All],[Advanced Network/Insurance Carrier Org ID]],B24)/S24)</f>
        <v>NA</v>
      </c>
      <c r="AB24" s="59" t="str">
        <f>IF(S24=0,"NA",SUMIFS(AN_TME_PY[[#All],[Claims: Other]],AN_TME_PY[[#All],[Insurance Category Code]],2,AN_TME_PY[[#All],[Advanced Network/Insurance Carrier Org ID]],B24)/S24)</f>
        <v>NA</v>
      </c>
      <c r="AC24" s="158" t="str">
        <f>IF(S24=0,"NA",SUMIFS(AN_TME_PY[[#All],[TOTAL Non-Truncated Unadjusted Claims Expenses]],AN_TME_PY[[#All],[Insurance Category Code]],2,AN_TME_PY[[#All],[Advanced Network/Insurance Carrier Org ID]],B24)/S24)</f>
        <v>NA</v>
      </c>
      <c r="AD24" s="158" t="str">
        <f>IF(S24=0,"NA",SUMIFS(AN_TME_PY[[#All],[TOTAL Truncated Unadjusted Claims Expenses (A21 -A19)]],AN_TME_PY[[#All],[Insurance Category Code]],2,AN_TME_PY[[#All],[Advanced Network/Insurance Carrier Org ID]],B24)/S24)</f>
        <v>NA</v>
      </c>
      <c r="AE24" s="158" t="str">
        <f>IF(S24=0,"NA",SUMIFS(AN_TME_PY[[#All],[TOTAL Non-Claims Expenses]],AN_TME_PY[[#All],[Insurance Category Code]],2,AN_TME_PY[[#All],[Advanced Network/Insurance Carrier Org ID]],B24)/S24)</f>
        <v>NA</v>
      </c>
      <c r="AF24" s="158" t="str">
        <f>IF(S24=0,"NA",SUMIFS(AN_TME_PY[[#All],[TOTAL Non-Truncated Unadjusted Expenses (A21 + A23)]],AN_TME_PY[[#All],[Insurance Category Code]],2,AN_TME_PY[[#All],[Advanced Network/Insurance Carrier Org ID]],B24)/S24)</f>
        <v>NA</v>
      </c>
      <c r="AG24" s="157" t="str">
        <f>IF(S24=0,"NA",SUMIFS(AN_TME_PY[[#All],[TOTAL Truncated Unadjusted Expenses (A22 + A23)]],AN_TME_PY[[#All],[Insurance Category Code]],2,AN_TME_PY[[#All],[Advanced Network/Insurance Carrier Org ID]],B24)/S24)</f>
        <v>NA</v>
      </c>
      <c r="AH24" s="245" t="str">
        <f t="shared" ref="AH24:AH39" si="30">IF(D24=0,"NA",S24/D24-1)</f>
        <v>NA</v>
      </c>
      <c r="AI24" s="246" t="str">
        <f t="shared" ref="AI24:AI39" si="31">IF(D24=0,"NA",T24/E24-1)</f>
        <v>NA</v>
      </c>
      <c r="AJ24" s="247" t="str">
        <f t="shared" ref="AJ24:AJ39" si="32">IF(D24=0,"NA",U24/F24-1)</f>
        <v>NA</v>
      </c>
      <c r="AK24" s="247" t="str">
        <f t="shared" ref="AK24:AK39" si="33">IF(D24=0,"NA",V24/G24-1)</f>
        <v>NA</v>
      </c>
      <c r="AL24" s="247" t="str">
        <f t="shared" ref="AL24:AL39" si="34">IF(D24=0,"NA",W24/H24-1)</f>
        <v>NA</v>
      </c>
      <c r="AM24" s="247" t="str">
        <f t="shared" ref="AM24:AM39" si="35">IF(D24=0,"NA",X24/I24-1)</f>
        <v>NA</v>
      </c>
      <c r="AN24" s="247" t="str">
        <f t="shared" ref="AN24:AN39" si="36">IF(D24=0,"NA",Y24/J24-1)</f>
        <v>NA</v>
      </c>
      <c r="AO24" s="247" t="str">
        <f t="shared" ref="AO24:AO39" si="37">IF(D24=0,"NA",Z24/K24-1)</f>
        <v>NA</v>
      </c>
      <c r="AP24" s="247" t="str">
        <f t="shared" ref="AP24:AP39" si="38">IF(D24=0,"NA",AA24/L24-1)</f>
        <v>NA</v>
      </c>
      <c r="AQ24" s="247" t="str">
        <f t="shared" ref="AQ24:AQ39" si="39">IF(D24=0,"NA",AB24/M24-1)</f>
        <v>NA</v>
      </c>
      <c r="AR24" s="248" t="str">
        <f t="shared" ref="AR24:AR39" si="40">IF(D24=0,"NA",AC24/N24-1)</f>
        <v>NA</v>
      </c>
      <c r="AS24" s="248" t="str">
        <f t="shared" ref="AS24:AS39" si="41">IF(D24=0,"NA",AD24/O24-1)</f>
        <v>NA</v>
      </c>
      <c r="AT24" s="248" t="str">
        <f t="shared" ref="AT24:AT39" si="42">IF(D24=0,"NA",AE24/P24-1)</f>
        <v>NA</v>
      </c>
      <c r="AU24" s="248" t="str">
        <f>IF(D24=0,"NA",AF24/Q24-1)</f>
        <v>NA</v>
      </c>
      <c r="AV24" s="249" t="str">
        <f t="shared" ref="AV24:AV39" si="43">IF(D24=0,"NA",AG24/R24-1)</f>
        <v>NA</v>
      </c>
    </row>
    <row r="25" spans="1:48" ht="15" customHeight="1" x14ac:dyDescent="0.25">
      <c r="A25" s="175"/>
      <c r="B25" s="181">
        <v>117</v>
      </c>
      <c r="C25" s="155" t="str">
        <f>_xlfn.XLOOKUP(B25,LgProvEntOrgIDs[Advanced Network/Insurer Carrier Org ID],LgProvEntOrgIDs[Advanced Network/Insurance Carrier Overall])</f>
        <v>Cornell Scott Hill Health Center</v>
      </c>
      <c r="D25" s="242">
        <f>SUMIFS(AN_TME_BY[[#All],[Member Months]],AN_TME_BY[[#All],[Insurance Category Code]],2,AN_TME_BY[[#All],[Advanced Network/Insurance Carrier Org ID]],B25)</f>
        <v>0</v>
      </c>
      <c r="E25" s="156" t="str">
        <f>IF(D25=0,"NA",SUMIFS(AN_TME_BY[[#All],[Claims: Hospital Inpatient]],AN_TME_BY[[#All],[Insurance Category Code]],2,AN_TME_BY[[#All],[Advanced Network/Insurance Carrier Org ID]],B25)/D25)</f>
        <v>NA</v>
      </c>
      <c r="F25" s="59" t="str">
        <f>IF(D25=0,"NA",SUMIFS(AN_TME_BY[[#All],[Claims: Hospital Outpatient]],AN_TME_BY[[#All],[Insurance Category Code]],2,AN_TME_BY[[#All],[Advanced Network/Insurance Carrier Org ID]],B25)/D25)</f>
        <v>NA</v>
      </c>
      <c r="G25" s="59" t="str">
        <f>IF(D25=0,"NA",SUMIFS(AN_TME_BY[[#All],[Claims: Professional, Primary Care]],AN_TME_BY[[#All],[Insurance Category Code]],2,AN_TME_BY[[#All],[Advanced Network/Insurance Carrier Org ID]],B25)/D25)</f>
        <v>NA</v>
      </c>
      <c r="H25" s="59" t="str">
        <f>IF(D25=0,"NA",SUMIFS(AN_TME_BY[[#All],[Claims: Professional, Primary Care (for Monitoring Purposes)]],AN_TME_BY[[#All],[Insurance Category Code]],2,AN_TME_BY[[#All],[Advanced Network/Insurance Carrier Org ID]],B25)/D25)</f>
        <v>NA</v>
      </c>
      <c r="I25" s="59" t="str">
        <f>IF(D25=0,"NA",SUMIFS(AN_TME_BY[[#All],[Claims: Professional, Specialty]],AN_TME_BY[[#All],[Insurance Category Code]],2,AN_TME_BY[[#All],[Advanced Network/Insurance Carrier Org ID]],B25)/D25)</f>
        <v>NA</v>
      </c>
      <c r="J25" s="59" t="str">
        <f>IF(D25=0,"NA",SUMIFS(AN_TME_BY[[#All],[Claims: Professional Other]],AN_TME_BY[[#All],[Insurance Category Code]],2,AN_TME_BY[[#All],[Advanced Network/Insurance Carrier Org ID]],B25)/D25)</f>
        <v>NA</v>
      </c>
      <c r="K25" s="59" t="str">
        <f>IF(D25=0,"NA",SUMIFS(AN_TME_BY[[#All],[Claims: Pharmacy]],AN_TME_BY[[#All],[Insurance Category Code]],2,AN_TME_BY[[#All],[Advanced Network/Insurance Carrier Org ID]],B25)/D25)</f>
        <v>NA</v>
      </c>
      <c r="L25" s="59" t="str">
        <f>IF(D25=0,"NA",SUMIFS(AN_TME_BY[[#All],[Claims: Long-Term Care]],AN_TME_BY[[#All],[Insurance Category Code]],2,AN_TME_BY[[#All],[Advanced Network/Insurance Carrier Org ID]],B25)/D25)</f>
        <v>NA</v>
      </c>
      <c r="M25" s="59" t="str">
        <f>IF(D25=0,"NA",SUMIFS(AN_TME_BY[[#All],[Claims: Other]],AN_TME_BY[[#All],[Insurance Category Code]],2,AN_TME_BY[[#All],[Advanced Network/Insurance Carrier Org ID]],B25)/D25)</f>
        <v>NA</v>
      </c>
      <c r="N25" s="158" t="str">
        <f>IF(D25=0,"NA",SUMIFS(AN_TME_BY[[#All],[TOTAL Non-Truncated Unadjusted Claims Expenses]],AN_TME_BY[[#All],[Insurance Category Code]],2,AN_TME_BY[[#All],[Advanced Network/Insurance Carrier Org ID]],B25)/D25)</f>
        <v>NA</v>
      </c>
      <c r="O25" s="158" t="str">
        <f>IF(D25=0,"NA",SUMIFS(AN_TME_BY[[#All],[TOTAL Truncated Unadjusted Claims Expenses (A21 -A19)]],AN_TME_BY[[#All],[Insurance Category Code]],2,AN_TME_BY[[#All],[Advanced Network/Insurance Carrier Org ID]],B25)/D25)</f>
        <v>NA</v>
      </c>
      <c r="P25" s="158" t="str">
        <f>IF(D25=0,"NA",SUMIFS(AN_TME_BY[[#All],[TOTAL Non-Claims Expenses]],AN_TME_BY[[#All],[Insurance Category Code]],2,AN_TME_BY[[#All],[Advanced Network/Insurance Carrier Org ID]],B25)/D25)</f>
        <v>NA</v>
      </c>
      <c r="Q25" s="158" t="str">
        <f>IF(D25=0,"NA",SUMIFS(AN_TME_BY[[#All],[TOTAL Non-Truncated Unadjusted Expenses (A21 + A23)]],AN_TME_BY[[#All],[Insurance Category Code]],2,AN_TME_BY[[#All],[Advanced Network/Insurance Carrier Org ID]],B25)/D25)</f>
        <v>NA</v>
      </c>
      <c r="R25" s="158" t="str">
        <f>IF(D25=0,"NA",SUMIFS(AN_TME_BY[[#All],[TOTAL Truncated Unadjusted Expenses (A22 + A23)]],AN_TME_BY[[#All],[Insurance Category Code]],2,AN_TME_BY[[#All],[Advanced Network/Insurance Carrier Org ID]],B25)/D25)</f>
        <v>NA</v>
      </c>
      <c r="S25" s="242">
        <f>SUMIFS(AN_TME_PY[[#All],[Member Months]],AN_TME_PY[[#All],[Insurance Category Code]],2,AN_TME_PY[[#All],[Advanced Network/Insurance Carrier Org ID]],B25)</f>
        <v>0</v>
      </c>
      <c r="T25" s="156" t="str">
        <f>IF(S25=0,"NA",SUMIFS(AN_TME_PY[[#All],[Claims: Hospital Inpatient]],AN_TME_PY[[#All],[Insurance Category Code]],2,AN_TME_PY[[#All],[Advanced Network/Insurance Carrier Org ID]],B25)/S25)</f>
        <v>NA</v>
      </c>
      <c r="U25" s="59" t="str">
        <f>IF(S25=0,"NA",SUMIFS(AN_TME_PY[[#All],[Claims: Hospital Outpatient]],AN_TME_PY[[#All],[Insurance Category Code]],2,AN_TME_PY[[#All],[Advanced Network/Insurance Carrier Org ID]],B25)/S25)</f>
        <v>NA</v>
      </c>
      <c r="V25" s="59" t="str">
        <f>IF(S25=0,"NA",SUMIFS(AN_TME_PY[[#All],[Claims: Professional, Primary Care]],AN_TME_PY[[#All],[Insurance Category Code]],2,AN_TME_PY[[#All],[Advanced Network/Insurance Carrier Org ID]],B25)/S25)</f>
        <v>NA</v>
      </c>
      <c r="W25" s="59" t="str">
        <f>IF(S25=0,"NA",SUMIFS(AN_TME_PY[[#All],[Claims: Professional, Primary Care (for Monitoring Purposes)]],AN_TME_PY[[#All],[Insurance Category Code]],2,AN_TME_PY[[#All],[Advanced Network/Insurance Carrier Org ID]],B25)/S25)</f>
        <v>NA</v>
      </c>
      <c r="X25" s="59" t="str">
        <f>IF(S25=0,"NA",SUMIFS(AN_TME_PY[[#All],[Claims: Professional, Specialty]],AN_TME_PY[[#All],[Insurance Category Code]],2,AN_TME_PY[[#All],[Advanced Network/Insurance Carrier Org ID]],B25)/S25)</f>
        <v>NA</v>
      </c>
      <c r="Y25" s="59" t="str">
        <f>IF(S25=0,"NA",SUMIFS(AN_TME_PY[[#All],[Claims: Professional Other]],AN_TME_PY[[#All],[Insurance Category Code]],2,AN_TME_PY[[#All],[Advanced Network/Insurance Carrier Org ID]],B25)/S25)</f>
        <v>NA</v>
      </c>
      <c r="Z25" s="59" t="str">
        <f>IF(S25=0,"NA",SUMIFS(AN_TME_PY[[#All],[Claims: Pharmacy]],AN_TME_PY[[#All],[Insurance Category Code]],2,AN_TME_PY[[#All],[Advanced Network/Insurance Carrier Org ID]],B25)/S25)</f>
        <v>NA</v>
      </c>
      <c r="AA25" s="59" t="str">
        <f>IF(S25=0,"NA",SUMIFS(AN_TME_PY[[#All],[Claims: Long-Term Care]],AN_TME_PY[[#All],[Insurance Category Code]],2,AN_TME_PY[[#All],[Advanced Network/Insurance Carrier Org ID]],B25)/S25)</f>
        <v>NA</v>
      </c>
      <c r="AB25" s="59" t="str">
        <f>IF(S25=0,"NA",SUMIFS(AN_TME_PY[[#All],[Claims: Other]],AN_TME_PY[[#All],[Insurance Category Code]],2,AN_TME_PY[[#All],[Advanced Network/Insurance Carrier Org ID]],B25)/S25)</f>
        <v>NA</v>
      </c>
      <c r="AC25" s="158" t="str">
        <f>IF(S25=0,"NA",SUMIFS(AN_TME_PY[[#All],[TOTAL Non-Truncated Unadjusted Claims Expenses]],AN_TME_PY[[#All],[Insurance Category Code]],2,AN_TME_PY[[#All],[Advanced Network/Insurance Carrier Org ID]],B25)/S25)</f>
        <v>NA</v>
      </c>
      <c r="AD25" s="158" t="str">
        <f>IF(S25=0,"NA",SUMIFS(AN_TME_PY[[#All],[TOTAL Truncated Unadjusted Claims Expenses (A21 -A19)]],AN_TME_PY[[#All],[Insurance Category Code]],2,AN_TME_PY[[#All],[Advanced Network/Insurance Carrier Org ID]],B25)/S25)</f>
        <v>NA</v>
      </c>
      <c r="AE25" s="158" t="str">
        <f>IF(S25=0,"NA",SUMIFS(AN_TME_PY[[#All],[TOTAL Non-Claims Expenses]],AN_TME_PY[[#All],[Insurance Category Code]],2,AN_TME_PY[[#All],[Advanced Network/Insurance Carrier Org ID]],B25)/S25)</f>
        <v>NA</v>
      </c>
      <c r="AF25" s="158" t="str">
        <f>IF(S25=0,"NA",SUMIFS(AN_TME_PY[[#All],[TOTAL Non-Truncated Unadjusted Expenses (A21 + A23)]],AN_TME_PY[[#All],[Insurance Category Code]],2,AN_TME_PY[[#All],[Advanced Network/Insurance Carrier Org ID]],B25)/S25)</f>
        <v>NA</v>
      </c>
      <c r="AG25" s="157" t="str">
        <f>IF(S25=0,"NA",SUMIFS(AN_TME_PY[[#All],[TOTAL Truncated Unadjusted Expenses (A22 + A23)]],AN_TME_PY[[#All],[Insurance Category Code]],2,AN_TME_PY[[#All],[Advanced Network/Insurance Carrier Org ID]],B25)/S25)</f>
        <v>NA</v>
      </c>
      <c r="AH25" s="245" t="str">
        <f t="shared" si="30"/>
        <v>NA</v>
      </c>
      <c r="AI25" s="246" t="str">
        <f t="shared" si="31"/>
        <v>NA</v>
      </c>
      <c r="AJ25" s="247" t="str">
        <f t="shared" si="32"/>
        <v>NA</v>
      </c>
      <c r="AK25" s="247" t="str">
        <f t="shared" si="33"/>
        <v>NA</v>
      </c>
      <c r="AL25" s="247" t="str">
        <f t="shared" si="34"/>
        <v>NA</v>
      </c>
      <c r="AM25" s="247" t="str">
        <f t="shared" si="35"/>
        <v>NA</v>
      </c>
      <c r="AN25" s="247" t="str">
        <f t="shared" si="36"/>
        <v>NA</v>
      </c>
      <c r="AO25" s="247" t="str">
        <f t="shared" si="37"/>
        <v>NA</v>
      </c>
      <c r="AP25" s="247" t="str">
        <f t="shared" si="38"/>
        <v>NA</v>
      </c>
      <c r="AQ25" s="247" t="str">
        <f t="shared" si="39"/>
        <v>NA</v>
      </c>
      <c r="AR25" s="248" t="str">
        <f t="shared" si="40"/>
        <v>NA</v>
      </c>
      <c r="AS25" s="248" t="str">
        <f t="shared" si="41"/>
        <v>NA</v>
      </c>
      <c r="AT25" s="248" t="str">
        <f t="shared" si="42"/>
        <v>NA</v>
      </c>
      <c r="AU25" s="248" t="str">
        <f t="shared" ref="AU25:AU39" si="44">IF(D25=0,"NA",AF25/Q25-1)</f>
        <v>NA</v>
      </c>
      <c r="AV25" s="249" t="str">
        <f t="shared" si="43"/>
        <v>NA</v>
      </c>
    </row>
    <row r="26" spans="1:48" ht="15" customHeight="1" x14ac:dyDescent="0.25">
      <c r="A26" s="175"/>
      <c r="B26" s="181">
        <v>118</v>
      </c>
      <c r="C26" s="155" t="str">
        <f>_xlfn.XLOOKUP(B26,LgProvEntOrgIDs[Advanced Network/Insurer Carrier Org ID],LgProvEntOrgIDs[Advanced Network/Insurance Carrier Overall])</f>
        <v>Fair Haven Community Health Center</v>
      </c>
      <c r="D26" s="242">
        <f>SUMIFS(AN_TME_BY[[#All],[Member Months]],AN_TME_BY[[#All],[Insurance Category Code]],2,AN_TME_BY[[#All],[Advanced Network/Insurance Carrier Org ID]],B26)</f>
        <v>0</v>
      </c>
      <c r="E26" s="156" t="str">
        <f>IF(D26=0,"NA",SUMIFS(AN_TME_BY[[#All],[Claims: Hospital Inpatient]],AN_TME_BY[[#All],[Insurance Category Code]],2,AN_TME_BY[[#All],[Advanced Network/Insurance Carrier Org ID]],B26)/D26)</f>
        <v>NA</v>
      </c>
      <c r="F26" s="59" t="str">
        <f>IF(D26=0,"NA",SUMIFS(AN_TME_BY[[#All],[Claims: Hospital Outpatient]],AN_TME_BY[[#All],[Insurance Category Code]],2,AN_TME_BY[[#All],[Advanced Network/Insurance Carrier Org ID]],B26)/D26)</f>
        <v>NA</v>
      </c>
      <c r="G26" s="59" t="str">
        <f>IF(D26=0,"NA",SUMIFS(AN_TME_BY[[#All],[Claims: Professional, Primary Care]],AN_TME_BY[[#All],[Insurance Category Code]],2,AN_TME_BY[[#All],[Advanced Network/Insurance Carrier Org ID]],B26)/D26)</f>
        <v>NA</v>
      </c>
      <c r="H26" s="59" t="str">
        <f>IF(D26=0,"NA",SUMIFS(AN_TME_BY[[#All],[Claims: Professional, Primary Care (for Monitoring Purposes)]],AN_TME_BY[[#All],[Insurance Category Code]],2,AN_TME_BY[[#All],[Advanced Network/Insurance Carrier Org ID]],B26)/D26)</f>
        <v>NA</v>
      </c>
      <c r="I26" s="59" t="str">
        <f>IF(D26=0,"NA",SUMIFS(AN_TME_BY[[#All],[Claims: Professional, Specialty]],AN_TME_BY[[#All],[Insurance Category Code]],2,AN_TME_BY[[#All],[Advanced Network/Insurance Carrier Org ID]],B26)/D26)</f>
        <v>NA</v>
      </c>
      <c r="J26" s="59" t="str">
        <f>IF(D26=0,"NA",SUMIFS(AN_TME_BY[[#All],[Claims: Professional Other]],AN_TME_BY[[#All],[Insurance Category Code]],2,AN_TME_BY[[#All],[Advanced Network/Insurance Carrier Org ID]],B26)/D26)</f>
        <v>NA</v>
      </c>
      <c r="K26" s="59" t="str">
        <f>IF(D26=0,"NA",SUMIFS(AN_TME_BY[[#All],[Claims: Pharmacy]],AN_TME_BY[[#All],[Insurance Category Code]],2,AN_TME_BY[[#All],[Advanced Network/Insurance Carrier Org ID]],B26)/D26)</f>
        <v>NA</v>
      </c>
      <c r="L26" s="59" t="str">
        <f>IF(D26=0,"NA",SUMIFS(AN_TME_BY[[#All],[Claims: Long-Term Care]],AN_TME_BY[[#All],[Insurance Category Code]],2,AN_TME_BY[[#All],[Advanced Network/Insurance Carrier Org ID]],B26)/D26)</f>
        <v>NA</v>
      </c>
      <c r="M26" s="59" t="str">
        <f>IF(D26=0,"NA",SUMIFS(AN_TME_BY[[#All],[Claims: Other]],AN_TME_BY[[#All],[Insurance Category Code]],2,AN_TME_BY[[#All],[Advanced Network/Insurance Carrier Org ID]],B26)/D26)</f>
        <v>NA</v>
      </c>
      <c r="N26" s="158" t="str">
        <f>IF(D26=0,"NA",SUMIFS(AN_TME_BY[[#All],[TOTAL Non-Truncated Unadjusted Claims Expenses]],AN_TME_BY[[#All],[Insurance Category Code]],2,AN_TME_BY[[#All],[Advanced Network/Insurance Carrier Org ID]],B26)/D26)</f>
        <v>NA</v>
      </c>
      <c r="O26" s="158" t="str">
        <f>IF(D26=0,"NA",SUMIFS(AN_TME_BY[[#All],[TOTAL Truncated Unadjusted Claims Expenses (A21 -A19)]],AN_TME_BY[[#All],[Insurance Category Code]],2,AN_TME_BY[[#All],[Advanced Network/Insurance Carrier Org ID]],B26)/D26)</f>
        <v>NA</v>
      </c>
      <c r="P26" s="158" t="str">
        <f>IF(D26=0,"NA",SUMIFS(AN_TME_BY[[#All],[TOTAL Non-Claims Expenses]],AN_TME_BY[[#All],[Insurance Category Code]],2,AN_TME_BY[[#All],[Advanced Network/Insurance Carrier Org ID]],B26)/D26)</f>
        <v>NA</v>
      </c>
      <c r="Q26" s="158" t="str">
        <f>IF(D26=0,"NA",SUMIFS(AN_TME_BY[[#All],[TOTAL Non-Truncated Unadjusted Expenses (A21 + A23)]],AN_TME_BY[[#All],[Insurance Category Code]],2,AN_TME_BY[[#All],[Advanced Network/Insurance Carrier Org ID]],B26)/D26)</f>
        <v>NA</v>
      </c>
      <c r="R26" s="158" t="str">
        <f>IF(D26=0,"NA",SUMIFS(AN_TME_BY[[#All],[TOTAL Truncated Unadjusted Expenses (A22 + A23)]],AN_TME_BY[[#All],[Insurance Category Code]],2,AN_TME_BY[[#All],[Advanced Network/Insurance Carrier Org ID]],B26)/D26)</f>
        <v>NA</v>
      </c>
      <c r="S26" s="242">
        <f>SUMIFS(AN_TME_PY[[#All],[Member Months]],AN_TME_PY[[#All],[Insurance Category Code]],2,AN_TME_PY[[#All],[Advanced Network/Insurance Carrier Org ID]],B26)</f>
        <v>0</v>
      </c>
      <c r="T26" s="156" t="str">
        <f>IF(S26=0,"NA",SUMIFS(AN_TME_PY[[#All],[Claims: Hospital Inpatient]],AN_TME_PY[[#All],[Insurance Category Code]],2,AN_TME_PY[[#All],[Advanced Network/Insurance Carrier Org ID]],B26)/S26)</f>
        <v>NA</v>
      </c>
      <c r="U26" s="59" t="str">
        <f>IF(S26=0,"NA",SUMIFS(AN_TME_PY[[#All],[Claims: Hospital Outpatient]],AN_TME_PY[[#All],[Insurance Category Code]],2,AN_TME_PY[[#All],[Advanced Network/Insurance Carrier Org ID]],B26)/S26)</f>
        <v>NA</v>
      </c>
      <c r="V26" s="59" t="str">
        <f>IF(S26=0,"NA",SUMIFS(AN_TME_PY[[#All],[Claims: Professional, Primary Care]],AN_TME_PY[[#All],[Insurance Category Code]],2,AN_TME_PY[[#All],[Advanced Network/Insurance Carrier Org ID]],B26)/S26)</f>
        <v>NA</v>
      </c>
      <c r="W26" s="59" t="str">
        <f>IF(S26=0,"NA",SUMIFS(AN_TME_PY[[#All],[Claims: Professional, Primary Care (for Monitoring Purposes)]],AN_TME_PY[[#All],[Insurance Category Code]],2,AN_TME_PY[[#All],[Advanced Network/Insurance Carrier Org ID]],B26)/S26)</f>
        <v>NA</v>
      </c>
      <c r="X26" s="59" t="str">
        <f>IF(S26=0,"NA",SUMIFS(AN_TME_PY[[#All],[Claims: Professional, Specialty]],AN_TME_PY[[#All],[Insurance Category Code]],2,AN_TME_PY[[#All],[Advanced Network/Insurance Carrier Org ID]],B26)/S26)</f>
        <v>NA</v>
      </c>
      <c r="Y26" s="59" t="str">
        <f>IF(S26=0,"NA",SUMIFS(AN_TME_PY[[#All],[Claims: Professional Other]],AN_TME_PY[[#All],[Insurance Category Code]],2,AN_TME_PY[[#All],[Advanced Network/Insurance Carrier Org ID]],B26)/S26)</f>
        <v>NA</v>
      </c>
      <c r="Z26" s="59" t="str">
        <f>IF(S26=0,"NA",SUMIFS(AN_TME_PY[[#All],[Claims: Pharmacy]],AN_TME_PY[[#All],[Insurance Category Code]],2,AN_TME_PY[[#All],[Advanced Network/Insurance Carrier Org ID]],B26)/S26)</f>
        <v>NA</v>
      </c>
      <c r="AA26" s="59" t="str">
        <f>IF(S26=0,"NA",SUMIFS(AN_TME_PY[[#All],[Claims: Long-Term Care]],AN_TME_PY[[#All],[Insurance Category Code]],2,AN_TME_PY[[#All],[Advanced Network/Insurance Carrier Org ID]],B26)/S26)</f>
        <v>NA</v>
      </c>
      <c r="AB26" s="59" t="str">
        <f>IF(S26=0,"NA",SUMIFS(AN_TME_PY[[#All],[Claims: Other]],AN_TME_PY[[#All],[Insurance Category Code]],2,AN_TME_PY[[#All],[Advanced Network/Insurance Carrier Org ID]],B26)/S26)</f>
        <v>NA</v>
      </c>
      <c r="AC26" s="158" t="str">
        <f>IF(S26=0,"NA",SUMIFS(AN_TME_PY[[#All],[TOTAL Non-Truncated Unadjusted Claims Expenses]],AN_TME_PY[[#All],[Insurance Category Code]],2,AN_TME_PY[[#All],[Advanced Network/Insurance Carrier Org ID]],B26)/S26)</f>
        <v>NA</v>
      </c>
      <c r="AD26" s="158" t="str">
        <f>IF(S26=0,"NA",SUMIFS(AN_TME_PY[[#All],[TOTAL Truncated Unadjusted Claims Expenses (A21 -A19)]],AN_TME_PY[[#All],[Insurance Category Code]],2,AN_TME_PY[[#All],[Advanced Network/Insurance Carrier Org ID]],B26)/S26)</f>
        <v>NA</v>
      </c>
      <c r="AE26" s="158" t="str">
        <f>IF(S26=0,"NA",SUMIFS(AN_TME_PY[[#All],[TOTAL Non-Claims Expenses]],AN_TME_PY[[#All],[Insurance Category Code]],2,AN_TME_PY[[#All],[Advanced Network/Insurance Carrier Org ID]],B26)/S26)</f>
        <v>NA</v>
      </c>
      <c r="AF26" s="158" t="str">
        <f>IF(S26=0,"NA",SUMIFS(AN_TME_PY[[#All],[TOTAL Non-Truncated Unadjusted Expenses (A21 + A23)]],AN_TME_PY[[#All],[Insurance Category Code]],2,AN_TME_PY[[#All],[Advanced Network/Insurance Carrier Org ID]],B26)/S26)</f>
        <v>NA</v>
      </c>
      <c r="AG26" s="157" t="str">
        <f>IF(S26=0,"NA",SUMIFS(AN_TME_PY[[#All],[TOTAL Truncated Unadjusted Expenses (A22 + A23)]],AN_TME_PY[[#All],[Insurance Category Code]],2,AN_TME_PY[[#All],[Advanced Network/Insurance Carrier Org ID]],B26)/S26)</f>
        <v>NA</v>
      </c>
      <c r="AH26" s="245" t="str">
        <f t="shared" si="30"/>
        <v>NA</v>
      </c>
      <c r="AI26" s="246" t="str">
        <f t="shared" si="31"/>
        <v>NA</v>
      </c>
      <c r="AJ26" s="247" t="str">
        <f t="shared" si="32"/>
        <v>NA</v>
      </c>
      <c r="AK26" s="247" t="str">
        <f t="shared" si="33"/>
        <v>NA</v>
      </c>
      <c r="AL26" s="247" t="str">
        <f t="shared" si="34"/>
        <v>NA</v>
      </c>
      <c r="AM26" s="247" t="str">
        <f t="shared" si="35"/>
        <v>NA</v>
      </c>
      <c r="AN26" s="247" t="str">
        <f t="shared" si="36"/>
        <v>NA</v>
      </c>
      <c r="AO26" s="247" t="str">
        <f t="shared" si="37"/>
        <v>NA</v>
      </c>
      <c r="AP26" s="247" t="str">
        <f t="shared" si="38"/>
        <v>NA</v>
      </c>
      <c r="AQ26" s="247" t="str">
        <f t="shared" si="39"/>
        <v>NA</v>
      </c>
      <c r="AR26" s="248" t="str">
        <f t="shared" si="40"/>
        <v>NA</v>
      </c>
      <c r="AS26" s="248" t="str">
        <f t="shared" si="41"/>
        <v>NA</v>
      </c>
      <c r="AT26" s="248" t="str">
        <f t="shared" si="42"/>
        <v>NA</v>
      </c>
      <c r="AU26" s="248" t="str">
        <f t="shared" si="44"/>
        <v>NA</v>
      </c>
      <c r="AV26" s="249" t="str">
        <f t="shared" si="43"/>
        <v>NA</v>
      </c>
    </row>
    <row r="27" spans="1:48" ht="15" customHeight="1" x14ac:dyDescent="0.25">
      <c r="A27" s="175"/>
      <c r="B27" s="181">
        <v>119</v>
      </c>
      <c r="C27" s="155" t="str">
        <f>_xlfn.XLOOKUP(B27,LgProvEntOrgIDs[Advanced Network/Insurer Carrier Org ID],LgProvEntOrgIDs[Advanced Network/Insurance Carrier Overall])</f>
        <v>Family Centers</v>
      </c>
      <c r="D27" s="242">
        <f>SUMIFS(AN_TME_BY[[#All],[Member Months]],AN_TME_BY[[#All],[Insurance Category Code]],2,AN_TME_BY[[#All],[Advanced Network/Insurance Carrier Org ID]],B27)</f>
        <v>0</v>
      </c>
      <c r="E27" s="156" t="str">
        <f>IF(D27=0,"NA",SUMIFS(AN_TME_BY[[#All],[Claims: Hospital Inpatient]],AN_TME_BY[[#All],[Insurance Category Code]],2,AN_TME_BY[[#All],[Advanced Network/Insurance Carrier Org ID]],B27)/D27)</f>
        <v>NA</v>
      </c>
      <c r="F27" s="59" t="str">
        <f>IF(D27=0,"NA",SUMIFS(AN_TME_BY[[#All],[Claims: Hospital Outpatient]],AN_TME_BY[[#All],[Insurance Category Code]],2,AN_TME_BY[[#All],[Advanced Network/Insurance Carrier Org ID]],B27)/D27)</f>
        <v>NA</v>
      </c>
      <c r="G27" s="59" t="str">
        <f>IF(D27=0,"NA",SUMIFS(AN_TME_BY[[#All],[Claims: Professional, Primary Care]],AN_TME_BY[[#All],[Insurance Category Code]],2,AN_TME_BY[[#All],[Advanced Network/Insurance Carrier Org ID]],B27)/D27)</f>
        <v>NA</v>
      </c>
      <c r="H27" s="59" t="str">
        <f>IF(D27=0,"NA",SUMIFS(AN_TME_BY[[#All],[Claims: Professional, Primary Care (for Monitoring Purposes)]],AN_TME_BY[[#All],[Insurance Category Code]],2,AN_TME_BY[[#All],[Advanced Network/Insurance Carrier Org ID]],B27)/D27)</f>
        <v>NA</v>
      </c>
      <c r="I27" s="59" t="str">
        <f>IF(D27=0,"NA",SUMIFS(AN_TME_BY[[#All],[Claims: Professional, Specialty]],AN_TME_BY[[#All],[Insurance Category Code]],2,AN_TME_BY[[#All],[Advanced Network/Insurance Carrier Org ID]],B27)/D27)</f>
        <v>NA</v>
      </c>
      <c r="J27" s="59" t="str">
        <f>IF(D27=0,"NA",SUMIFS(AN_TME_BY[[#All],[Claims: Professional Other]],AN_TME_BY[[#All],[Insurance Category Code]],2,AN_TME_BY[[#All],[Advanced Network/Insurance Carrier Org ID]],B27)/D27)</f>
        <v>NA</v>
      </c>
      <c r="K27" s="59" t="str">
        <f>IF(D27=0,"NA",SUMIFS(AN_TME_BY[[#All],[Claims: Pharmacy]],AN_TME_BY[[#All],[Insurance Category Code]],2,AN_TME_BY[[#All],[Advanced Network/Insurance Carrier Org ID]],B27)/D27)</f>
        <v>NA</v>
      </c>
      <c r="L27" s="59" t="str">
        <f>IF(D27=0,"NA",SUMIFS(AN_TME_BY[[#All],[Claims: Long-Term Care]],AN_TME_BY[[#All],[Insurance Category Code]],2,AN_TME_BY[[#All],[Advanced Network/Insurance Carrier Org ID]],B27)/D27)</f>
        <v>NA</v>
      </c>
      <c r="M27" s="59" t="str">
        <f>IF(D27=0,"NA",SUMIFS(AN_TME_BY[[#All],[Claims: Other]],AN_TME_BY[[#All],[Insurance Category Code]],2,AN_TME_BY[[#All],[Advanced Network/Insurance Carrier Org ID]],B27)/D27)</f>
        <v>NA</v>
      </c>
      <c r="N27" s="158" t="str">
        <f>IF(D27=0,"NA",SUMIFS(AN_TME_BY[[#All],[TOTAL Non-Truncated Unadjusted Claims Expenses]],AN_TME_BY[[#All],[Insurance Category Code]],2,AN_TME_BY[[#All],[Advanced Network/Insurance Carrier Org ID]],B27)/D27)</f>
        <v>NA</v>
      </c>
      <c r="O27" s="158" t="str">
        <f>IF(D27=0,"NA",SUMIFS(AN_TME_BY[[#All],[TOTAL Truncated Unadjusted Claims Expenses (A21 -A19)]],AN_TME_BY[[#All],[Insurance Category Code]],2,AN_TME_BY[[#All],[Advanced Network/Insurance Carrier Org ID]],B27)/D27)</f>
        <v>NA</v>
      </c>
      <c r="P27" s="158" t="str">
        <f>IF(D27=0,"NA",SUMIFS(AN_TME_BY[[#All],[TOTAL Non-Claims Expenses]],AN_TME_BY[[#All],[Insurance Category Code]],2,AN_TME_BY[[#All],[Advanced Network/Insurance Carrier Org ID]],B27)/D27)</f>
        <v>NA</v>
      </c>
      <c r="Q27" s="158" t="str">
        <f>IF(D27=0,"NA",SUMIFS(AN_TME_BY[[#All],[TOTAL Non-Truncated Unadjusted Expenses (A21 + A23)]],AN_TME_BY[[#All],[Insurance Category Code]],2,AN_TME_BY[[#All],[Advanced Network/Insurance Carrier Org ID]],B27)/D27)</f>
        <v>NA</v>
      </c>
      <c r="R27" s="158" t="str">
        <f>IF(D27=0,"NA",SUMIFS(AN_TME_BY[[#All],[TOTAL Truncated Unadjusted Expenses (A22 + A23)]],AN_TME_BY[[#All],[Insurance Category Code]],2,AN_TME_BY[[#All],[Advanced Network/Insurance Carrier Org ID]],B27)/D27)</f>
        <v>NA</v>
      </c>
      <c r="S27" s="242">
        <f>SUMIFS(AN_TME_PY[[#All],[Member Months]],AN_TME_PY[[#All],[Insurance Category Code]],2,AN_TME_PY[[#All],[Advanced Network/Insurance Carrier Org ID]],B27)</f>
        <v>0</v>
      </c>
      <c r="T27" s="156" t="str">
        <f>IF(S27=0,"NA",SUMIFS(AN_TME_PY[[#All],[Claims: Hospital Inpatient]],AN_TME_PY[[#All],[Insurance Category Code]],2,AN_TME_PY[[#All],[Advanced Network/Insurance Carrier Org ID]],B27)/S27)</f>
        <v>NA</v>
      </c>
      <c r="U27" s="59" t="str">
        <f>IF(S27=0,"NA",SUMIFS(AN_TME_PY[[#All],[Claims: Hospital Outpatient]],AN_TME_PY[[#All],[Insurance Category Code]],2,AN_TME_PY[[#All],[Advanced Network/Insurance Carrier Org ID]],B27)/S27)</f>
        <v>NA</v>
      </c>
      <c r="V27" s="59" t="str">
        <f>IF(S27=0,"NA",SUMIFS(AN_TME_PY[[#All],[Claims: Professional, Primary Care]],AN_TME_PY[[#All],[Insurance Category Code]],2,AN_TME_PY[[#All],[Advanced Network/Insurance Carrier Org ID]],B27)/S27)</f>
        <v>NA</v>
      </c>
      <c r="W27" s="59" t="str">
        <f>IF(S27=0,"NA",SUMIFS(AN_TME_PY[[#All],[Claims: Professional, Primary Care (for Monitoring Purposes)]],AN_TME_PY[[#All],[Insurance Category Code]],2,AN_TME_PY[[#All],[Advanced Network/Insurance Carrier Org ID]],B27)/S27)</f>
        <v>NA</v>
      </c>
      <c r="X27" s="59" t="str">
        <f>IF(S27=0,"NA",SUMIFS(AN_TME_PY[[#All],[Claims: Professional, Specialty]],AN_TME_PY[[#All],[Insurance Category Code]],2,AN_TME_PY[[#All],[Advanced Network/Insurance Carrier Org ID]],B27)/S27)</f>
        <v>NA</v>
      </c>
      <c r="Y27" s="59" t="str">
        <f>IF(S27=0,"NA",SUMIFS(AN_TME_PY[[#All],[Claims: Professional Other]],AN_TME_PY[[#All],[Insurance Category Code]],2,AN_TME_PY[[#All],[Advanced Network/Insurance Carrier Org ID]],B27)/S27)</f>
        <v>NA</v>
      </c>
      <c r="Z27" s="59" t="str">
        <f>IF(S27=0,"NA",SUMIFS(AN_TME_PY[[#All],[Claims: Pharmacy]],AN_TME_PY[[#All],[Insurance Category Code]],2,AN_TME_PY[[#All],[Advanced Network/Insurance Carrier Org ID]],B27)/S27)</f>
        <v>NA</v>
      </c>
      <c r="AA27" s="59" t="str">
        <f>IF(S27=0,"NA",SUMIFS(AN_TME_PY[[#All],[Claims: Long-Term Care]],AN_TME_PY[[#All],[Insurance Category Code]],2,AN_TME_PY[[#All],[Advanced Network/Insurance Carrier Org ID]],B27)/S27)</f>
        <v>NA</v>
      </c>
      <c r="AB27" s="59" t="str">
        <f>IF(S27=0,"NA",SUMIFS(AN_TME_PY[[#All],[Claims: Other]],AN_TME_PY[[#All],[Insurance Category Code]],2,AN_TME_PY[[#All],[Advanced Network/Insurance Carrier Org ID]],B27)/S27)</f>
        <v>NA</v>
      </c>
      <c r="AC27" s="158" t="str">
        <f>IF(S27=0,"NA",SUMIFS(AN_TME_PY[[#All],[TOTAL Non-Truncated Unadjusted Claims Expenses]],AN_TME_PY[[#All],[Insurance Category Code]],2,AN_TME_PY[[#All],[Advanced Network/Insurance Carrier Org ID]],B27)/S27)</f>
        <v>NA</v>
      </c>
      <c r="AD27" s="158" t="str">
        <f>IF(S27=0,"NA",SUMIFS(AN_TME_PY[[#All],[TOTAL Truncated Unadjusted Claims Expenses (A21 -A19)]],AN_TME_PY[[#All],[Insurance Category Code]],2,AN_TME_PY[[#All],[Advanced Network/Insurance Carrier Org ID]],B27)/S27)</f>
        <v>NA</v>
      </c>
      <c r="AE27" s="158" t="str">
        <f>IF(S27=0,"NA",SUMIFS(AN_TME_PY[[#All],[TOTAL Non-Claims Expenses]],AN_TME_PY[[#All],[Insurance Category Code]],2,AN_TME_PY[[#All],[Advanced Network/Insurance Carrier Org ID]],B27)/S27)</f>
        <v>NA</v>
      </c>
      <c r="AF27" s="158" t="str">
        <f>IF(S27=0,"NA",SUMIFS(AN_TME_PY[[#All],[TOTAL Non-Truncated Unadjusted Expenses (A21 + A23)]],AN_TME_PY[[#All],[Insurance Category Code]],2,AN_TME_PY[[#All],[Advanced Network/Insurance Carrier Org ID]],B27)/S27)</f>
        <v>NA</v>
      </c>
      <c r="AG27" s="157" t="str">
        <f>IF(S27=0,"NA",SUMIFS(AN_TME_PY[[#All],[TOTAL Truncated Unadjusted Expenses (A22 + A23)]],AN_TME_PY[[#All],[Insurance Category Code]],2,AN_TME_PY[[#All],[Advanced Network/Insurance Carrier Org ID]],B27)/S27)</f>
        <v>NA</v>
      </c>
      <c r="AH27" s="245" t="str">
        <f t="shared" si="30"/>
        <v>NA</v>
      </c>
      <c r="AI27" s="246" t="str">
        <f t="shared" si="31"/>
        <v>NA</v>
      </c>
      <c r="AJ27" s="247" t="str">
        <f t="shared" si="32"/>
        <v>NA</v>
      </c>
      <c r="AK27" s="247" t="str">
        <f t="shared" si="33"/>
        <v>NA</v>
      </c>
      <c r="AL27" s="247" t="str">
        <f t="shared" si="34"/>
        <v>NA</v>
      </c>
      <c r="AM27" s="247" t="str">
        <f t="shared" si="35"/>
        <v>NA</v>
      </c>
      <c r="AN27" s="247" t="str">
        <f t="shared" si="36"/>
        <v>NA</v>
      </c>
      <c r="AO27" s="247" t="str">
        <f t="shared" si="37"/>
        <v>NA</v>
      </c>
      <c r="AP27" s="247" t="str">
        <f t="shared" si="38"/>
        <v>NA</v>
      </c>
      <c r="AQ27" s="247" t="str">
        <f t="shared" si="39"/>
        <v>NA</v>
      </c>
      <c r="AR27" s="248" t="str">
        <f t="shared" si="40"/>
        <v>NA</v>
      </c>
      <c r="AS27" s="248" t="str">
        <f t="shared" si="41"/>
        <v>NA</v>
      </c>
      <c r="AT27" s="248" t="str">
        <f t="shared" si="42"/>
        <v>NA</v>
      </c>
      <c r="AU27" s="248" t="str">
        <f t="shared" si="44"/>
        <v>NA</v>
      </c>
      <c r="AV27" s="249" t="str">
        <f t="shared" si="43"/>
        <v>NA</v>
      </c>
    </row>
    <row r="28" spans="1:48" ht="15" customHeight="1" x14ac:dyDescent="0.25">
      <c r="A28" s="175"/>
      <c r="B28" s="181">
        <v>120</v>
      </c>
      <c r="C28" s="155" t="str">
        <f>_xlfn.XLOOKUP(B28,LgProvEntOrgIDs[Advanced Network/Insurer Carrier Org ID],LgProvEntOrgIDs[Advanced Network/Insurance Carrier Overall])</f>
        <v>First Choice Community Health Centers</v>
      </c>
      <c r="D28" s="242">
        <f>SUMIFS(AN_TME_BY[[#All],[Member Months]],AN_TME_BY[[#All],[Insurance Category Code]],2,AN_TME_BY[[#All],[Advanced Network/Insurance Carrier Org ID]],B28)</f>
        <v>0</v>
      </c>
      <c r="E28" s="156" t="str">
        <f>IF(D28=0,"NA",SUMIFS(AN_TME_BY[[#All],[Claims: Hospital Inpatient]],AN_TME_BY[[#All],[Insurance Category Code]],2,AN_TME_BY[[#All],[Advanced Network/Insurance Carrier Org ID]],B28)/D28)</f>
        <v>NA</v>
      </c>
      <c r="F28" s="59" t="str">
        <f>IF(D28=0,"NA",SUMIFS(AN_TME_BY[[#All],[Claims: Hospital Outpatient]],AN_TME_BY[[#All],[Insurance Category Code]],2,AN_TME_BY[[#All],[Advanced Network/Insurance Carrier Org ID]],B28)/D28)</f>
        <v>NA</v>
      </c>
      <c r="G28" s="59" t="str">
        <f>IF(D28=0,"NA",SUMIFS(AN_TME_BY[[#All],[Claims: Professional, Primary Care]],AN_TME_BY[[#All],[Insurance Category Code]],2,AN_TME_BY[[#All],[Advanced Network/Insurance Carrier Org ID]],B28)/D28)</f>
        <v>NA</v>
      </c>
      <c r="H28" s="59" t="str">
        <f>IF(D28=0,"NA",SUMIFS(AN_TME_BY[[#All],[Claims: Professional, Primary Care (for Monitoring Purposes)]],AN_TME_BY[[#All],[Insurance Category Code]],2,AN_TME_BY[[#All],[Advanced Network/Insurance Carrier Org ID]],B28)/D28)</f>
        <v>NA</v>
      </c>
      <c r="I28" s="59" t="str">
        <f>IF(D28=0,"NA",SUMIFS(AN_TME_BY[[#All],[Claims: Professional, Specialty]],AN_TME_BY[[#All],[Insurance Category Code]],2,AN_TME_BY[[#All],[Advanced Network/Insurance Carrier Org ID]],B28)/D28)</f>
        <v>NA</v>
      </c>
      <c r="J28" s="59" t="str">
        <f>IF(D28=0,"NA",SUMIFS(AN_TME_BY[[#All],[Claims: Professional Other]],AN_TME_BY[[#All],[Insurance Category Code]],2,AN_TME_BY[[#All],[Advanced Network/Insurance Carrier Org ID]],B28)/D28)</f>
        <v>NA</v>
      </c>
      <c r="K28" s="59" t="str">
        <f>IF(D28=0,"NA",SUMIFS(AN_TME_BY[[#All],[Claims: Pharmacy]],AN_TME_BY[[#All],[Insurance Category Code]],2,AN_TME_BY[[#All],[Advanced Network/Insurance Carrier Org ID]],B28)/D28)</f>
        <v>NA</v>
      </c>
      <c r="L28" s="59" t="str">
        <f>IF(D28=0,"NA",SUMIFS(AN_TME_BY[[#All],[Claims: Long-Term Care]],AN_TME_BY[[#All],[Insurance Category Code]],2,AN_TME_BY[[#All],[Advanced Network/Insurance Carrier Org ID]],B28)/D28)</f>
        <v>NA</v>
      </c>
      <c r="M28" s="59" t="str">
        <f>IF(D28=0,"NA",SUMIFS(AN_TME_BY[[#All],[Claims: Other]],AN_TME_BY[[#All],[Insurance Category Code]],2,AN_TME_BY[[#All],[Advanced Network/Insurance Carrier Org ID]],B28)/D28)</f>
        <v>NA</v>
      </c>
      <c r="N28" s="158" t="str">
        <f>IF(D28=0,"NA",SUMIFS(AN_TME_BY[[#All],[TOTAL Non-Truncated Unadjusted Claims Expenses]],AN_TME_BY[[#All],[Insurance Category Code]],2,AN_TME_BY[[#All],[Advanced Network/Insurance Carrier Org ID]],B28)/D28)</f>
        <v>NA</v>
      </c>
      <c r="O28" s="158" t="str">
        <f>IF(D28=0,"NA",SUMIFS(AN_TME_BY[[#All],[TOTAL Truncated Unadjusted Claims Expenses (A21 -A19)]],AN_TME_BY[[#All],[Insurance Category Code]],2,AN_TME_BY[[#All],[Advanced Network/Insurance Carrier Org ID]],B28)/D28)</f>
        <v>NA</v>
      </c>
      <c r="P28" s="158" t="str">
        <f>IF(D28=0,"NA",SUMIFS(AN_TME_BY[[#All],[TOTAL Non-Claims Expenses]],AN_TME_BY[[#All],[Insurance Category Code]],2,AN_TME_BY[[#All],[Advanced Network/Insurance Carrier Org ID]],B28)/D28)</f>
        <v>NA</v>
      </c>
      <c r="Q28" s="158" t="str">
        <f>IF(D28=0,"NA",SUMIFS(AN_TME_BY[[#All],[TOTAL Non-Truncated Unadjusted Expenses (A21 + A23)]],AN_TME_BY[[#All],[Insurance Category Code]],2,AN_TME_BY[[#All],[Advanced Network/Insurance Carrier Org ID]],B28)/D28)</f>
        <v>NA</v>
      </c>
      <c r="R28" s="158" t="str">
        <f>IF(D28=0,"NA",SUMIFS(AN_TME_BY[[#All],[TOTAL Truncated Unadjusted Expenses (A22 + A23)]],AN_TME_BY[[#All],[Insurance Category Code]],2,AN_TME_BY[[#All],[Advanced Network/Insurance Carrier Org ID]],B28)/D28)</f>
        <v>NA</v>
      </c>
      <c r="S28" s="242">
        <f>SUMIFS(AN_TME_PY[[#All],[Member Months]],AN_TME_PY[[#All],[Insurance Category Code]],2,AN_TME_PY[[#All],[Advanced Network/Insurance Carrier Org ID]],B28)</f>
        <v>0</v>
      </c>
      <c r="T28" s="156" t="str">
        <f>IF(S28=0,"NA",SUMIFS(AN_TME_PY[[#All],[Claims: Hospital Inpatient]],AN_TME_PY[[#All],[Insurance Category Code]],2,AN_TME_PY[[#All],[Advanced Network/Insurance Carrier Org ID]],B28)/S28)</f>
        <v>NA</v>
      </c>
      <c r="U28" s="59" t="str">
        <f>IF(S28=0,"NA",SUMIFS(AN_TME_PY[[#All],[Claims: Hospital Outpatient]],AN_TME_PY[[#All],[Insurance Category Code]],2,AN_TME_PY[[#All],[Advanced Network/Insurance Carrier Org ID]],B28)/S28)</f>
        <v>NA</v>
      </c>
      <c r="V28" s="59" t="str">
        <f>IF(S28=0,"NA",SUMIFS(AN_TME_PY[[#All],[Claims: Professional, Primary Care]],AN_TME_PY[[#All],[Insurance Category Code]],2,AN_TME_PY[[#All],[Advanced Network/Insurance Carrier Org ID]],B28)/S28)</f>
        <v>NA</v>
      </c>
      <c r="W28" s="59" t="str">
        <f>IF(S28=0,"NA",SUMIFS(AN_TME_PY[[#All],[Claims: Professional, Primary Care (for Monitoring Purposes)]],AN_TME_PY[[#All],[Insurance Category Code]],2,AN_TME_PY[[#All],[Advanced Network/Insurance Carrier Org ID]],B28)/S28)</f>
        <v>NA</v>
      </c>
      <c r="X28" s="59" t="str">
        <f>IF(S28=0,"NA",SUMIFS(AN_TME_PY[[#All],[Claims: Professional, Specialty]],AN_TME_PY[[#All],[Insurance Category Code]],2,AN_TME_PY[[#All],[Advanced Network/Insurance Carrier Org ID]],B28)/S28)</f>
        <v>NA</v>
      </c>
      <c r="Y28" s="59" t="str">
        <f>IF(S28=0,"NA",SUMIFS(AN_TME_PY[[#All],[Claims: Professional Other]],AN_TME_PY[[#All],[Insurance Category Code]],2,AN_TME_PY[[#All],[Advanced Network/Insurance Carrier Org ID]],B28)/S28)</f>
        <v>NA</v>
      </c>
      <c r="Z28" s="59" t="str">
        <f>IF(S28=0,"NA",SUMIFS(AN_TME_PY[[#All],[Claims: Pharmacy]],AN_TME_PY[[#All],[Insurance Category Code]],2,AN_TME_PY[[#All],[Advanced Network/Insurance Carrier Org ID]],B28)/S28)</f>
        <v>NA</v>
      </c>
      <c r="AA28" s="59" t="str">
        <f>IF(S28=0,"NA",SUMIFS(AN_TME_PY[[#All],[Claims: Long-Term Care]],AN_TME_PY[[#All],[Insurance Category Code]],2,AN_TME_PY[[#All],[Advanced Network/Insurance Carrier Org ID]],B28)/S28)</f>
        <v>NA</v>
      </c>
      <c r="AB28" s="59" t="str">
        <f>IF(S28=0,"NA",SUMIFS(AN_TME_PY[[#All],[Claims: Other]],AN_TME_PY[[#All],[Insurance Category Code]],2,AN_TME_PY[[#All],[Advanced Network/Insurance Carrier Org ID]],B28)/S28)</f>
        <v>NA</v>
      </c>
      <c r="AC28" s="158" t="str">
        <f>IF(S28=0,"NA",SUMIFS(AN_TME_PY[[#All],[TOTAL Non-Truncated Unadjusted Claims Expenses]],AN_TME_PY[[#All],[Insurance Category Code]],2,AN_TME_PY[[#All],[Advanced Network/Insurance Carrier Org ID]],B28)/S28)</f>
        <v>NA</v>
      </c>
      <c r="AD28" s="158" t="str">
        <f>IF(S28=0,"NA",SUMIFS(AN_TME_PY[[#All],[TOTAL Truncated Unadjusted Claims Expenses (A21 -A19)]],AN_TME_PY[[#All],[Insurance Category Code]],2,AN_TME_PY[[#All],[Advanced Network/Insurance Carrier Org ID]],B28)/S28)</f>
        <v>NA</v>
      </c>
      <c r="AE28" s="158" t="str">
        <f>IF(S28=0,"NA",SUMIFS(AN_TME_PY[[#All],[TOTAL Non-Claims Expenses]],AN_TME_PY[[#All],[Insurance Category Code]],2,AN_TME_PY[[#All],[Advanced Network/Insurance Carrier Org ID]],B28)/S28)</f>
        <v>NA</v>
      </c>
      <c r="AF28" s="158" t="str">
        <f>IF(S28=0,"NA",SUMIFS(AN_TME_PY[[#All],[TOTAL Non-Truncated Unadjusted Expenses (A21 + A23)]],AN_TME_PY[[#All],[Insurance Category Code]],2,AN_TME_PY[[#All],[Advanced Network/Insurance Carrier Org ID]],B28)/S28)</f>
        <v>NA</v>
      </c>
      <c r="AG28" s="157" t="str">
        <f>IF(S28=0,"NA",SUMIFS(AN_TME_PY[[#All],[TOTAL Truncated Unadjusted Expenses (A22 + A23)]],AN_TME_PY[[#All],[Insurance Category Code]],2,AN_TME_PY[[#All],[Advanced Network/Insurance Carrier Org ID]],B28)/S28)</f>
        <v>NA</v>
      </c>
      <c r="AH28" s="245" t="str">
        <f t="shared" si="30"/>
        <v>NA</v>
      </c>
      <c r="AI28" s="246" t="str">
        <f t="shared" si="31"/>
        <v>NA</v>
      </c>
      <c r="AJ28" s="247" t="str">
        <f t="shared" si="32"/>
        <v>NA</v>
      </c>
      <c r="AK28" s="247" t="str">
        <f t="shared" si="33"/>
        <v>NA</v>
      </c>
      <c r="AL28" s="247" t="str">
        <f t="shared" si="34"/>
        <v>NA</v>
      </c>
      <c r="AM28" s="247" t="str">
        <f t="shared" si="35"/>
        <v>NA</v>
      </c>
      <c r="AN28" s="247" t="str">
        <f t="shared" si="36"/>
        <v>NA</v>
      </c>
      <c r="AO28" s="247" t="str">
        <f t="shared" si="37"/>
        <v>NA</v>
      </c>
      <c r="AP28" s="247" t="str">
        <f t="shared" si="38"/>
        <v>NA</v>
      </c>
      <c r="AQ28" s="247" t="str">
        <f t="shared" si="39"/>
        <v>NA</v>
      </c>
      <c r="AR28" s="248" t="str">
        <f t="shared" si="40"/>
        <v>NA</v>
      </c>
      <c r="AS28" s="248" t="str">
        <f t="shared" si="41"/>
        <v>NA</v>
      </c>
      <c r="AT28" s="248" t="str">
        <f t="shared" si="42"/>
        <v>NA</v>
      </c>
      <c r="AU28" s="248" t="str">
        <f t="shared" si="44"/>
        <v>NA</v>
      </c>
      <c r="AV28" s="249" t="str">
        <f t="shared" si="43"/>
        <v>NA</v>
      </c>
    </row>
    <row r="29" spans="1:48" ht="15" customHeight="1" x14ac:dyDescent="0.25">
      <c r="A29" s="175"/>
      <c r="B29" s="181">
        <v>121</v>
      </c>
      <c r="C29" s="155" t="str">
        <f>_xlfn.XLOOKUP(B29,LgProvEntOrgIDs[Advanced Network/Insurer Carrier Org ID],LgProvEntOrgIDs[Advanced Network/Insurance Carrier Overall])</f>
        <v>Generations Family Health Center</v>
      </c>
      <c r="D29" s="242">
        <f>SUMIFS(AN_TME_BY[[#All],[Member Months]],AN_TME_BY[[#All],[Insurance Category Code]],2,AN_TME_BY[[#All],[Advanced Network/Insurance Carrier Org ID]],B29)</f>
        <v>0</v>
      </c>
      <c r="E29" s="156" t="str">
        <f>IF(D29=0,"NA",SUMIFS(AN_TME_BY[[#All],[Claims: Hospital Inpatient]],AN_TME_BY[[#All],[Insurance Category Code]],2,AN_TME_BY[[#All],[Advanced Network/Insurance Carrier Org ID]],B29)/D29)</f>
        <v>NA</v>
      </c>
      <c r="F29" s="59" t="str">
        <f>IF(D29=0,"NA",SUMIFS(AN_TME_BY[[#All],[Claims: Hospital Outpatient]],AN_TME_BY[[#All],[Insurance Category Code]],2,AN_TME_BY[[#All],[Advanced Network/Insurance Carrier Org ID]],B29)/D29)</f>
        <v>NA</v>
      </c>
      <c r="G29" s="59" t="str">
        <f>IF(D29=0,"NA",SUMIFS(AN_TME_BY[[#All],[Claims: Professional, Primary Care]],AN_TME_BY[[#All],[Insurance Category Code]],2,AN_TME_BY[[#All],[Advanced Network/Insurance Carrier Org ID]],B29)/D29)</f>
        <v>NA</v>
      </c>
      <c r="H29" s="59" t="str">
        <f>IF(D29=0,"NA",SUMIFS(AN_TME_BY[[#All],[Claims: Professional, Primary Care (for Monitoring Purposes)]],AN_TME_BY[[#All],[Insurance Category Code]],2,AN_TME_BY[[#All],[Advanced Network/Insurance Carrier Org ID]],B29)/D29)</f>
        <v>NA</v>
      </c>
      <c r="I29" s="59" t="str">
        <f>IF(D29=0,"NA",SUMIFS(AN_TME_BY[[#All],[Claims: Professional, Specialty]],AN_TME_BY[[#All],[Insurance Category Code]],2,AN_TME_BY[[#All],[Advanced Network/Insurance Carrier Org ID]],B29)/D29)</f>
        <v>NA</v>
      </c>
      <c r="J29" s="59" t="str">
        <f>IF(D29=0,"NA",SUMIFS(AN_TME_BY[[#All],[Claims: Professional Other]],AN_TME_BY[[#All],[Insurance Category Code]],2,AN_TME_BY[[#All],[Advanced Network/Insurance Carrier Org ID]],B29)/D29)</f>
        <v>NA</v>
      </c>
      <c r="K29" s="59" t="str">
        <f>IF(D29=0,"NA",SUMIFS(AN_TME_BY[[#All],[Claims: Pharmacy]],AN_TME_BY[[#All],[Insurance Category Code]],2,AN_TME_BY[[#All],[Advanced Network/Insurance Carrier Org ID]],B29)/D29)</f>
        <v>NA</v>
      </c>
      <c r="L29" s="59" t="str">
        <f>IF(D29=0,"NA",SUMIFS(AN_TME_BY[[#All],[Claims: Long-Term Care]],AN_TME_BY[[#All],[Insurance Category Code]],2,AN_TME_BY[[#All],[Advanced Network/Insurance Carrier Org ID]],B29)/D29)</f>
        <v>NA</v>
      </c>
      <c r="M29" s="59" t="str">
        <f>IF(D29=0,"NA",SUMIFS(AN_TME_BY[[#All],[Claims: Other]],AN_TME_BY[[#All],[Insurance Category Code]],2,AN_TME_BY[[#All],[Advanced Network/Insurance Carrier Org ID]],B29)/D29)</f>
        <v>NA</v>
      </c>
      <c r="N29" s="158" t="str">
        <f>IF(D29=0,"NA",SUMIFS(AN_TME_BY[[#All],[TOTAL Non-Truncated Unadjusted Claims Expenses]],AN_TME_BY[[#All],[Insurance Category Code]],2,AN_TME_BY[[#All],[Advanced Network/Insurance Carrier Org ID]],B29)/D29)</f>
        <v>NA</v>
      </c>
      <c r="O29" s="158" t="str">
        <f>IF(D29=0,"NA",SUMIFS(AN_TME_BY[[#All],[TOTAL Truncated Unadjusted Claims Expenses (A21 -A19)]],AN_TME_BY[[#All],[Insurance Category Code]],2,AN_TME_BY[[#All],[Advanced Network/Insurance Carrier Org ID]],B29)/D29)</f>
        <v>NA</v>
      </c>
      <c r="P29" s="158" t="str">
        <f>IF(D29=0,"NA",SUMIFS(AN_TME_BY[[#All],[TOTAL Non-Claims Expenses]],AN_TME_BY[[#All],[Insurance Category Code]],2,AN_TME_BY[[#All],[Advanced Network/Insurance Carrier Org ID]],B29)/D29)</f>
        <v>NA</v>
      </c>
      <c r="Q29" s="158" t="str">
        <f>IF(D29=0,"NA",SUMIFS(AN_TME_BY[[#All],[TOTAL Non-Truncated Unadjusted Expenses (A21 + A23)]],AN_TME_BY[[#All],[Insurance Category Code]],2,AN_TME_BY[[#All],[Advanced Network/Insurance Carrier Org ID]],B29)/D29)</f>
        <v>NA</v>
      </c>
      <c r="R29" s="158" t="str">
        <f>IF(D29=0,"NA",SUMIFS(AN_TME_BY[[#All],[TOTAL Truncated Unadjusted Expenses (A22 + A23)]],AN_TME_BY[[#All],[Insurance Category Code]],2,AN_TME_BY[[#All],[Advanced Network/Insurance Carrier Org ID]],B29)/D29)</f>
        <v>NA</v>
      </c>
      <c r="S29" s="242">
        <f>SUMIFS(AN_TME_PY[[#All],[Member Months]],AN_TME_PY[[#All],[Insurance Category Code]],2,AN_TME_PY[[#All],[Advanced Network/Insurance Carrier Org ID]],B29)</f>
        <v>0</v>
      </c>
      <c r="T29" s="156" t="str">
        <f>IF(S29=0,"NA",SUMIFS(AN_TME_PY[[#All],[Claims: Hospital Inpatient]],AN_TME_PY[[#All],[Insurance Category Code]],2,AN_TME_PY[[#All],[Advanced Network/Insurance Carrier Org ID]],B29)/S29)</f>
        <v>NA</v>
      </c>
      <c r="U29" s="59" t="str">
        <f>IF(S29=0,"NA",SUMIFS(AN_TME_PY[[#All],[Claims: Hospital Outpatient]],AN_TME_PY[[#All],[Insurance Category Code]],2,AN_TME_PY[[#All],[Advanced Network/Insurance Carrier Org ID]],B29)/S29)</f>
        <v>NA</v>
      </c>
      <c r="V29" s="59" t="str">
        <f>IF(S29=0,"NA",SUMIFS(AN_TME_PY[[#All],[Claims: Professional, Primary Care]],AN_TME_PY[[#All],[Insurance Category Code]],2,AN_TME_PY[[#All],[Advanced Network/Insurance Carrier Org ID]],B29)/S29)</f>
        <v>NA</v>
      </c>
      <c r="W29" s="59" t="str">
        <f>IF(S29=0,"NA",SUMIFS(AN_TME_PY[[#All],[Claims: Professional, Primary Care (for Monitoring Purposes)]],AN_TME_PY[[#All],[Insurance Category Code]],2,AN_TME_PY[[#All],[Advanced Network/Insurance Carrier Org ID]],B29)/S29)</f>
        <v>NA</v>
      </c>
      <c r="X29" s="59" t="str">
        <f>IF(S29=0,"NA",SUMIFS(AN_TME_PY[[#All],[Claims: Professional, Specialty]],AN_TME_PY[[#All],[Insurance Category Code]],2,AN_TME_PY[[#All],[Advanced Network/Insurance Carrier Org ID]],B29)/S29)</f>
        <v>NA</v>
      </c>
      <c r="Y29" s="59" t="str">
        <f>IF(S29=0,"NA",SUMIFS(AN_TME_PY[[#All],[Claims: Professional Other]],AN_TME_PY[[#All],[Insurance Category Code]],2,AN_TME_PY[[#All],[Advanced Network/Insurance Carrier Org ID]],B29)/S29)</f>
        <v>NA</v>
      </c>
      <c r="Z29" s="59" t="str">
        <f>IF(S29=0,"NA",SUMIFS(AN_TME_PY[[#All],[Claims: Pharmacy]],AN_TME_PY[[#All],[Insurance Category Code]],2,AN_TME_PY[[#All],[Advanced Network/Insurance Carrier Org ID]],B29)/S29)</f>
        <v>NA</v>
      </c>
      <c r="AA29" s="59" t="str">
        <f>IF(S29=0,"NA",SUMIFS(AN_TME_PY[[#All],[Claims: Long-Term Care]],AN_TME_PY[[#All],[Insurance Category Code]],2,AN_TME_PY[[#All],[Advanced Network/Insurance Carrier Org ID]],B29)/S29)</f>
        <v>NA</v>
      </c>
      <c r="AB29" s="59" t="str">
        <f>IF(S29=0,"NA",SUMIFS(AN_TME_PY[[#All],[Claims: Other]],AN_TME_PY[[#All],[Insurance Category Code]],2,AN_TME_PY[[#All],[Advanced Network/Insurance Carrier Org ID]],B29)/S29)</f>
        <v>NA</v>
      </c>
      <c r="AC29" s="158" t="str">
        <f>IF(S29=0,"NA",SUMIFS(AN_TME_PY[[#All],[TOTAL Non-Truncated Unadjusted Claims Expenses]],AN_TME_PY[[#All],[Insurance Category Code]],2,AN_TME_PY[[#All],[Advanced Network/Insurance Carrier Org ID]],B29)/S29)</f>
        <v>NA</v>
      </c>
      <c r="AD29" s="158" t="str">
        <f>IF(S29=0,"NA",SUMIFS(AN_TME_PY[[#All],[TOTAL Truncated Unadjusted Claims Expenses (A21 -A19)]],AN_TME_PY[[#All],[Insurance Category Code]],2,AN_TME_PY[[#All],[Advanced Network/Insurance Carrier Org ID]],B29)/S29)</f>
        <v>NA</v>
      </c>
      <c r="AE29" s="158" t="str">
        <f>IF(S29=0,"NA",SUMIFS(AN_TME_PY[[#All],[TOTAL Non-Claims Expenses]],AN_TME_PY[[#All],[Insurance Category Code]],2,AN_TME_PY[[#All],[Advanced Network/Insurance Carrier Org ID]],B29)/S29)</f>
        <v>NA</v>
      </c>
      <c r="AF29" s="158" t="str">
        <f>IF(S29=0,"NA",SUMIFS(AN_TME_PY[[#All],[TOTAL Non-Truncated Unadjusted Expenses (A21 + A23)]],AN_TME_PY[[#All],[Insurance Category Code]],2,AN_TME_PY[[#All],[Advanced Network/Insurance Carrier Org ID]],B29)/S29)</f>
        <v>NA</v>
      </c>
      <c r="AG29" s="157" t="str">
        <f>IF(S29=0,"NA",SUMIFS(AN_TME_PY[[#All],[TOTAL Truncated Unadjusted Expenses (A22 + A23)]],AN_TME_PY[[#All],[Insurance Category Code]],2,AN_TME_PY[[#All],[Advanced Network/Insurance Carrier Org ID]],B29)/S29)</f>
        <v>NA</v>
      </c>
      <c r="AH29" s="245" t="str">
        <f t="shared" si="30"/>
        <v>NA</v>
      </c>
      <c r="AI29" s="246" t="str">
        <f t="shared" si="31"/>
        <v>NA</v>
      </c>
      <c r="AJ29" s="247" t="str">
        <f t="shared" si="32"/>
        <v>NA</v>
      </c>
      <c r="AK29" s="247" t="str">
        <f t="shared" si="33"/>
        <v>NA</v>
      </c>
      <c r="AL29" s="247" t="str">
        <f t="shared" si="34"/>
        <v>NA</v>
      </c>
      <c r="AM29" s="247" t="str">
        <f t="shared" si="35"/>
        <v>NA</v>
      </c>
      <c r="AN29" s="247" t="str">
        <f t="shared" si="36"/>
        <v>NA</v>
      </c>
      <c r="AO29" s="247" t="str">
        <f t="shared" si="37"/>
        <v>NA</v>
      </c>
      <c r="AP29" s="247" t="str">
        <f t="shared" si="38"/>
        <v>NA</v>
      </c>
      <c r="AQ29" s="247" t="str">
        <f t="shared" si="39"/>
        <v>NA</v>
      </c>
      <c r="AR29" s="248" t="str">
        <f t="shared" si="40"/>
        <v>NA</v>
      </c>
      <c r="AS29" s="248" t="str">
        <f t="shared" si="41"/>
        <v>NA</v>
      </c>
      <c r="AT29" s="248" t="str">
        <f t="shared" si="42"/>
        <v>NA</v>
      </c>
      <c r="AU29" s="248" t="str">
        <f t="shared" si="44"/>
        <v>NA</v>
      </c>
      <c r="AV29" s="249" t="str">
        <f t="shared" si="43"/>
        <v>NA</v>
      </c>
    </row>
    <row r="30" spans="1:48" ht="15" customHeight="1" x14ac:dyDescent="0.25">
      <c r="A30" s="175"/>
      <c r="B30" s="181">
        <v>122</v>
      </c>
      <c r="C30" s="155" t="str">
        <f>_xlfn.XLOOKUP(B30,LgProvEntOrgIDs[Advanced Network/Insurer Carrier Org ID],LgProvEntOrgIDs[Advanced Network/Insurance Carrier Overall])</f>
        <v>Norwalk Community Health Center</v>
      </c>
      <c r="D30" s="242">
        <f>SUMIFS(AN_TME_BY[[#All],[Member Months]],AN_TME_BY[[#All],[Insurance Category Code]],2,AN_TME_BY[[#All],[Advanced Network/Insurance Carrier Org ID]],B30)</f>
        <v>0</v>
      </c>
      <c r="E30" s="156" t="str">
        <f>IF(D30=0,"NA",SUMIFS(AN_TME_BY[[#All],[Claims: Hospital Inpatient]],AN_TME_BY[[#All],[Insurance Category Code]],2,AN_TME_BY[[#All],[Advanced Network/Insurance Carrier Org ID]],B30)/D30)</f>
        <v>NA</v>
      </c>
      <c r="F30" s="59" t="str">
        <f>IF(D30=0,"NA",SUMIFS(AN_TME_BY[[#All],[Claims: Hospital Outpatient]],AN_TME_BY[[#All],[Insurance Category Code]],2,AN_TME_BY[[#All],[Advanced Network/Insurance Carrier Org ID]],B30)/D30)</f>
        <v>NA</v>
      </c>
      <c r="G30" s="59" t="str">
        <f>IF(D30=0,"NA",SUMIFS(AN_TME_BY[[#All],[Claims: Professional, Primary Care]],AN_TME_BY[[#All],[Insurance Category Code]],2,AN_TME_BY[[#All],[Advanced Network/Insurance Carrier Org ID]],B30)/D30)</f>
        <v>NA</v>
      </c>
      <c r="H30" s="59" t="str">
        <f>IF(D30=0,"NA",SUMIFS(AN_TME_BY[[#All],[Claims: Professional, Primary Care (for Monitoring Purposes)]],AN_TME_BY[[#All],[Insurance Category Code]],2,AN_TME_BY[[#All],[Advanced Network/Insurance Carrier Org ID]],B30)/D30)</f>
        <v>NA</v>
      </c>
      <c r="I30" s="59" t="str">
        <f>IF(D30=0,"NA",SUMIFS(AN_TME_BY[[#All],[Claims: Professional, Specialty]],AN_TME_BY[[#All],[Insurance Category Code]],2,AN_TME_BY[[#All],[Advanced Network/Insurance Carrier Org ID]],B30)/D30)</f>
        <v>NA</v>
      </c>
      <c r="J30" s="59" t="str">
        <f>IF(D30=0,"NA",SUMIFS(AN_TME_BY[[#All],[Claims: Professional Other]],AN_TME_BY[[#All],[Insurance Category Code]],2,AN_TME_BY[[#All],[Advanced Network/Insurance Carrier Org ID]],B30)/D30)</f>
        <v>NA</v>
      </c>
      <c r="K30" s="59" t="str">
        <f>IF(D30=0,"NA",SUMIFS(AN_TME_BY[[#All],[Claims: Pharmacy]],AN_TME_BY[[#All],[Insurance Category Code]],2,AN_TME_BY[[#All],[Advanced Network/Insurance Carrier Org ID]],B30)/D30)</f>
        <v>NA</v>
      </c>
      <c r="L30" s="59" t="str">
        <f>IF(D30=0,"NA",SUMIFS(AN_TME_BY[[#All],[Claims: Long-Term Care]],AN_TME_BY[[#All],[Insurance Category Code]],2,AN_TME_BY[[#All],[Advanced Network/Insurance Carrier Org ID]],B30)/D30)</f>
        <v>NA</v>
      </c>
      <c r="M30" s="59" t="str">
        <f>IF(D30=0,"NA",SUMIFS(AN_TME_BY[[#All],[Claims: Other]],AN_TME_BY[[#All],[Insurance Category Code]],2,AN_TME_BY[[#All],[Advanced Network/Insurance Carrier Org ID]],B30)/D30)</f>
        <v>NA</v>
      </c>
      <c r="N30" s="158" t="str">
        <f>IF(D30=0,"NA",SUMIFS(AN_TME_BY[[#All],[TOTAL Non-Truncated Unadjusted Claims Expenses]],AN_TME_BY[[#All],[Insurance Category Code]],2,AN_TME_BY[[#All],[Advanced Network/Insurance Carrier Org ID]],B30)/D30)</f>
        <v>NA</v>
      </c>
      <c r="O30" s="158" t="str">
        <f>IF(D30=0,"NA",SUMIFS(AN_TME_BY[[#All],[TOTAL Truncated Unadjusted Claims Expenses (A21 -A19)]],AN_TME_BY[[#All],[Insurance Category Code]],2,AN_TME_BY[[#All],[Advanced Network/Insurance Carrier Org ID]],B30)/D30)</f>
        <v>NA</v>
      </c>
      <c r="P30" s="158" t="str">
        <f>IF(D30=0,"NA",SUMIFS(AN_TME_BY[[#All],[TOTAL Non-Claims Expenses]],AN_TME_BY[[#All],[Insurance Category Code]],2,AN_TME_BY[[#All],[Advanced Network/Insurance Carrier Org ID]],B30)/D30)</f>
        <v>NA</v>
      </c>
      <c r="Q30" s="158" t="str">
        <f>IF(D30=0,"NA",SUMIFS(AN_TME_BY[[#All],[TOTAL Non-Truncated Unadjusted Expenses (A21 + A23)]],AN_TME_BY[[#All],[Insurance Category Code]],2,AN_TME_BY[[#All],[Advanced Network/Insurance Carrier Org ID]],B30)/D30)</f>
        <v>NA</v>
      </c>
      <c r="R30" s="158" t="str">
        <f>IF(D30=0,"NA",SUMIFS(AN_TME_BY[[#All],[TOTAL Truncated Unadjusted Expenses (A22 + A23)]],AN_TME_BY[[#All],[Insurance Category Code]],2,AN_TME_BY[[#All],[Advanced Network/Insurance Carrier Org ID]],B30)/D30)</f>
        <v>NA</v>
      </c>
      <c r="S30" s="242">
        <f>SUMIFS(AN_TME_PY[[#All],[Member Months]],AN_TME_PY[[#All],[Insurance Category Code]],2,AN_TME_PY[[#All],[Advanced Network/Insurance Carrier Org ID]],B30)</f>
        <v>0</v>
      </c>
      <c r="T30" s="156" t="str">
        <f>IF(S30=0,"NA",SUMIFS(AN_TME_PY[[#All],[Claims: Hospital Inpatient]],AN_TME_PY[[#All],[Insurance Category Code]],2,AN_TME_PY[[#All],[Advanced Network/Insurance Carrier Org ID]],B30)/S30)</f>
        <v>NA</v>
      </c>
      <c r="U30" s="59" t="str">
        <f>IF(S30=0,"NA",SUMIFS(AN_TME_PY[[#All],[Claims: Hospital Outpatient]],AN_TME_PY[[#All],[Insurance Category Code]],2,AN_TME_PY[[#All],[Advanced Network/Insurance Carrier Org ID]],B30)/S30)</f>
        <v>NA</v>
      </c>
      <c r="V30" s="59" t="str">
        <f>IF(S30=0,"NA",SUMIFS(AN_TME_PY[[#All],[Claims: Professional, Primary Care]],AN_TME_PY[[#All],[Insurance Category Code]],2,AN_TME_PY[[#All],[Advanced Network/Insurance Carrier Org ID]],B30)/S30)</f>
        <v>NA</v>
      </c>
      <c r="W30" s="59" t="str">
        <f>IF(S30=0,"NA",SUMIFS(AN_TME_PY[[#All],[Claims: Professional, Primary Care (for Monitoring Purposes)]],AN_TME_PY[[#All],[Insurance Category Code]],2,AN_TME_PY[[#All],[Advanced Network/Insurance Carrier Org ID]],B30)/S30)</f>
        <v>NA</v>
      </c>
      <c r="X30" s="59" t="str">
        <f>IF(S30=0,"NA",SUMIFS(AN_TME_PY[[#All],[Claims: Professional, Specialty]],AN_TME_PY[[#All],[Insurance Category Code]],2,AN_TME_PY[[#All],[Advanced Network/Insurance Carrier Org ID]],B30)/S30)</f>
        <v>NA</v>
      </c>
      <c r="Y30" s="59" t="str">
        <f>IF(S30=0,"NA",SUMIFS(AN_TME_PY[[#All],[Claims: Professional Other]],AN_TME_PY[[#All],[Insurance Category Code]],2,AN_TME_PY[[#All],[Advanced Network/Insurance Carrier Org ID]],B30)/S30)</f>
        <v>NA</v>
      </c>
      <c r="Z30" s="59" t="str">
        <f>IF(S30=0,"NA",SUMIFS(AN_TME_PY[[#All],[Claims: Pharmacy]],AN_TME_PY[[#All],[Insurance Category Code]],2,AN_TME_PY[[#All],[Advanced Network/Insurance Carrier Org ID]],B30)/S30)</f>
        <v>NA</v>
      </c>
      <c r="AA30" s="59" t="str">
        <f>IF(S30=0,"NA",SUMIFS(AN_TME_PY[[#All],[Claims: Long-Term Care]],AN_TME_PY[[#All],[Insurance Category Code]],2,AN_TME_PY[[#All],[Advanced Network/Insurance Carrier Org ID]],B30)/S30)</f>
        <v>NA</v>
      </c>
      <c r="AB30" s="59" t="str">
        <f>IF(S30=0,"NA",SUMIFS(AN_TME_PY[[#All],[Claims: Other]],AN_TME_PY[[#All],[Insurance Category Code]],2,AN_TME_PY[[#All],[Advanced Network/Insurance Carrier Org ID]],B30)/S30)</f>
        <v>NA</v>
      </c>
      <c r="AC30" s="158" t="str">
        <f>IF(S30=0,"NA",SUMIFS(AN_TME_PY[[#All],[TOTAL Non-Truncated Unadjusted Claims Expenses]],AN_TME_PY[[#All],[Insurance Category Code]],2,AN_TME_PY[[#All],[Advanced Network/Insurance Carrier Org ID]],B30)/S30)</f>
        <v>NA</v>
      </c>
      <c r="AD30" s="158" t="str">
        <f>IF(S30=0,"NA",SUMIFS(AN_TME_PY[[#All],[TOTAL Truncated Unadjusted Claims Expenses (A21 -A19)]],AN_TME_PY[[#All],[Insurance Category Code]],2,AN_TME_PY[[#All],[Advanced Network/Insurance Carrier Org ID]],B30)/S30)</f>
        <v>NA</v>
      </c>
      <c r="AE30" s="158" t="str">
        <f>IF(S30=0,"NA",SUMIFS(AN_TME_PY[[#All],[TOTAL Non-Claims Expenses]],AN_TME_PY[[#All],[Insurance Category Code]],2,AN_TME_PY[[#All],[Advanced Network/Insurance Carrier Org ID]],B30)/S30)</f>
        <v>NA</v>
      </c>
      <c r="AF30" s="158" t="str">
        <f>IF(S30=0,"NA",SUMIFS(AN_TME_PY[[#All],[TOTAL Non-Truncated Unadjusted Expenses (A21 + A23)]],AN_TME_PY[[#All],[Insurance Category Code]],2,AN_TME_PY[[#All],[Advanced Network/Insurance Carrier Org ID]],B30)/S30)</f>
        <v>NA</v>
      </c>
      <c r="AG30" s="157" t="str">
        <f>IF(S30=0,"NA",SUMIFS(AN_TME_PY[[#All],[TOTAL Truncated Unadjusted Expenses (A22 + A23)]],AN_TME_PY[[#All],[Insurance Category Code]],2,AN_TME_PY[[#All],[Advanced Network/Insurance Carrier Org ID]],B30)/S30)</f>
        <v>NA</v>
      </c>
      <c r="AH30" s="245" t="str">
        <f t="shared" si="30"/>
        <v>NA</v>
      </c>
      <c r="AI30" s="246" t="str">
        <f t="shared" si="31"/>
        <v>NA</v>
      </c>
      <c r="AJ30" s="247" t="str">
        <f t="shared" si="32"/>
        <v>NA</v>
      </c>
      <c r="AK30" s="247" t="str">
        <f t="shared" si="33"/>
        <v>NA</v>
      </c>
      <c r="AL30" s="247" t="str">
        <f t="shared" si="34"/>
        <v>NA</v>
      </c>
      <c r="AM30" s="247" t="str">
        <f t="shared" si="35"/>
        <v>NA</v>
      </c>
      <c r="AN30" s="247" t="str">
        <f t="shared" si="36"/>
        <v>NA</v>
      </c>
      <c r="AO30" s="247" t="str">
        <f t="shared" si="37"/>
        <v>NA</v>
      </c>
      <c r="AP30" s="247" t="str">
        <f t="shared" si="38"/>
        <v>NA</v>
      </c>
      <c r="AQ30" s="247" t="str">
        <f t="shared" si="39"/>
        <v>NA</v>
      </c>
      <c r="AR30" s="248" t="str">
        <f t="shared" si="40"/>
        <v>NA</v>
      </c>
      <c r="AS30" s="248" t="str">
        <f t="shared" si="41"/>
        <v>NA</v>
      </c>
      <c r="AT30" s="248" t="str">
        <f t="shared" si="42"/>
        <v>NA</v>
      </c>
      <c r="AU30" s="248" t="str">
        <f t="shared" si="44"/>
        <v>NA</v>
      </c>
      <c r="AV30" s="249" t="str">
        <f t="shared" si="43"/>
        <v>NA</v>
      </c>
    </row>
    <row r="31" spans="1:48" ht="15" customHeight="1" x14ac:dyDescent="0.25">
      <c r="A31" s="175"/>
      <c r="B31" s="181">
        <v>123</v>
      </c>
      <c r="C31" s="155" t="str">
        <f>_xlfn.XLOOKUP(B31,LgProvEntOrgIDs[Advanced Network/Insurer Carrier Org ID],LgProvEntOrgIDs[Advanced Network/Insurance Carrier Overall])</f>
        <v>Optimus Health Care, Inc.</v>
      </c>
      <c r="D31" s="242">
        <f>SUMIFS(AN_TME_BY[[#All],[Member Months]],AN_TME_BY[[#All],[Insurance Category Code]],2,AN_TME_BY[[#All],[Advanced Network/Insurance Carrier Org ID]],B31)</f>
        <v>0</v>
      </c>
      <c r="E31" s="156" t="str">
        <f>IF(D31=0,"NA",SUMIFS(AN_TME_BY[[#All],[Claims: Hospital Inpatient]],AN_TME_BY[[#All],[Insurance Category Code]],2,AN_TME_BY[[#All],[Advanced Network/Insurance Carrier Org ID]],B31)/D31)</f>
        <v>NA</v>
      </c>
      <c r="F31" s="59" t="str">
        <f>IF(D31=0,"NA",SUMIFS(AN_TME_BY[[#All],[Claims: Hospital Outpatient]],AN_TME_BY[[#All],[Insurance Category Code]],2,AN_TME_BY[[#All],[Advanced Network/Insurance Carrier Org ID]],B31)/D31)</f>
        <v>NA</v>
      </c>
      <c r="G31" s="59" t="str">
        <f>IF(D31=0,"NA",SUMIFS(AN_TME_BY[[#All],[Claims: Professional, Primary Care]],AN_TME_BY[[#All],[Insurance Category Code]],2,AN_TME_BY[[#All],[Advanced Network/Insurance Carrier Org ID]],B31)/D31)</f>
        <v>NA</v>
      </c>
      <c r="H31" s="59" t="str">
        <f>IF(D31=0,"NA",SUMIFS(AN_TME_BY[[#All],[Claims: Professional, Primary Care (for Monitoring Purposes)]],AN_TME_BY[[#All],[Insurance Category Code]],2,AN_TME_BY[[#All],[Advanced Network/Insurance Carrier Org ID]],B31)/D31)</f>
        <v>NA</v>
      </c>
      <c r="I31" s="59" t="str">
        <f>IF(D31=0,"NA",SUMIFS(AN_TME_BY[[#All],[Claims: Professional, Specialty]],AN_TME_BY[[#All],[Insurance Category Code]],2,AN_TME_BY[[#All],[Advanced Network/Insurance Carrier Org ID]],B31)/D31)</f>
        <v>NA</v>
      </c>
      <c r="J31" s="59" t="str">
        <f>IF(D31=0,"NA",SUMIFS(AN_TME_BY[[#All],[Claims: Professional Other]],AN_TME_BY[[#All],[Insurance Category Code]],2,AN_TME_BY[[#All],[Advanced Network/Insurance Carrier Org ID]],B31)/D31)</f>
        <v>NA</v>
      </c>
      <c r="K31" s="59" t="str">
        <f>IF(D31=0,"NA",SUMIFS(AN_TME_BY[[#All],[Claims: Pharmacy]],AN_TME_BY[[#All],[Insurance Category Code]],2,AN_TME_BY[[#All],[Advanced Network/Insurance Carrier Org ID]],B31)/D31)</f>
        <v>NA</v>
      </c>
      <c r="L31" s="59" t="str">
        <f>IF(D31=0,"NA",SUMIFS(AN_TME_BY[[#All],[Claims: Long-Term Care]],AN_TME_BY[[#All],[Insurance Category Code]],2,AN_TME_BY[[#All],[Advanced Network/Insurance Carrier Org ID]],B31)/D31)</f>
        <v>NA</v>
      </c>
      <c r="M31" s="59" t="str">
        <f>IF(D31=0,"NA",SUMIFS(AN_TME_BY[[#All],[Claims: Other]],AN_TME_BY[[#All],[Insurance Category Code]],2,AN_TME_BY[[#All],[Advanced Network/Insurance Carrier Org ID]],B31)/D31)</f>
        <v>NA</v>
      </c>
      <c r="N31" s="158" t="str">
        <f>IF(D31=0,"NA",SUMIFS(AN_TME_BY[[#All],[TOTAL Non-Truncated Unadjusted Claims Expenses]],AN_TME_BY[[#All],[Insurance Category Code]],2,AN_TME_BY[[#All],[Advanced Network/Insurance Carrier Org ID]],B31)/D31)</f>
        <v>NA</v>
      </c>
      <c r="O31" s="158" t="str">
        <f>IF(D31=0,"NA",SUMIFS(AN_TME_BY[[#All],[TOTAL Truncated Unadjusted Claims Expenses (A21 -A19)]],AN_TME_BY[[#All],[Insurance Category Code]],2,AN_TME_BY[[#All],[Advanced Network/Insurance Carrier Org ID]],B31)/D31)</f>
        <v>NA</v>
      </c>
      <c r="P31" s="158" t="str">
        <f>IF(D31=0,"NA",SUMIFS(AN_TME_BY[[#All],[TOTAL Non-Claims Expenses]],AN_TME_BY[[#All],[Insurance Category Code]],2,AN_TME_BY[[#All],[Advanced Network/Insurance Carrier Org ID]],B31)/D31)</f>
        <v>NA</v>
      </c>
      <c r="Q31" s="158" t="str">
        <f>IF(D31=0,"NA",SUMIFS(AN_TME_BY[[#All],[TOTAL Non-Truncated Unadjusted Expenses (A21 + A23)]],AN_TME_BY[[#All],[Insurance Category Code]],2,AN_TME_BY[[#All],[Advanced Network/Insurance Carrier Org ID]],B31)/D31)</f>
        <v>NA</v>
      </c>
      <c r="R31" s="158" t="str">
        <f>IF(D31=0,"NA",SUMIFS(AN_TME_BY[[#All],[TOTAL Truncated Unadjusted Expenses (A22 + A23)]],AN_TME_BY[[#All],[Insurance Category Code]],2,AN_TME_BY[[#All],[Advanced Network/Insurance Carrier Org ID]],B31)/D31)</f>
        <v>NA</v>
      </c>
      <c r="S31" s="242">
        <f>SUMIFS(AN_TME_PY[[#All],[Member Months]],AN_TME_PY[[#All],[Insurance Category Code]],2,AN_TME_PY[[#All],[Advanced Network/Insurance Carrier Org ID]],B31)</f>
        <v>0</v>
      </c>
      <c r="T31" s="156" t="str">
        <f>IF(S31=0,"NA",SUMIFS(AN_TME_PY[[#All],[Claims: Hospital Inpatient]],AN_TME_PY[[#All],[Insurance Category Code]],2,AN_TME_PY[[#All],[Advanced Network/Insurance Carrier Org ID]],B31)/S31)</f>
        <v>NA</v>
      </c>
      <c r="U31" s="59" t="str">
        <f>IF(S31=0,"NA",SUMIFS(AN_TME_PY[[#All],[Claims: Hospital Outpatient]],AN_TME_PY[[#All],[Insurance Category Code]],2,AN_TME_PY[[#All],[Advanced Network/Insurance Carrier Org ID]],B31)/S31)</f>
        <v>NA</v>
      </c>
      <c r="V31" s="59" t="str">
        <f>IF(S31=0,"NA",SUMIFS(AN_TME_PY[[#All],[Claims: Professional, Primary Care]],AN_TME_PY[[#All],[Insurance Category Code]],2,AN_TME_PY[[#All],[Advanced Network/Insurance Carrier Org ID]],B31)/S31)</f>
        <v>NA</v>
      </c>
      <c r="W31" s="59" t="str">
        <f>IF(S31=0,"NA",SUMIFS(AN_TME_PY[[#All],[Claims: Professional, Primary Care (for Monitoring Purposes)]],AN_TME_PY[[#All],[Insurance Category Code]],2,AN_TME_PY[[#All],[Advanced Network/Insurance Carrier Org ID]],B31)/S31)</f>
        <v>NA</v>
      </c>
      <c r="X31" s="59" t="str">
        <f>IF(S31=0,"NA",SUMIFS(AN_TME_PY[[#All],[Claims: Professional, Specialty]],AN_TME_PY[[#All],[Insurance Category Code]],2,AN_TME_PY[[#All],[Advanced Network/Insurance Carrier Org ID]],B31)/S31)</f>
        <v>NA</v>
      </c>
      <c r="Y31" s="59" t="str">
        <f>IF(S31=0,"NA",SUMIFS(AN_TME_PY[[#All],[Claims: Professional Other]],AN_TME_PY[[#All],[Insurance Category Code]],2,AN_TME_PY[[#All],[Advanced Network/Insurance Carrier Org ID]],B31)/S31)</f>
        <v>NA</v>
      </c>
      <c r="Z31" s="59" t="str">
        <f>IF(S31=0,"NA",SUMIFS(AN_TME_PY[[#All],[Claims: Pharmacy]],AN_TME_PY[[#All],[Insurance Category Code]],2,AN_TME_PY[[#All],[Advanced Network/Insurance Carrier Org ID]],B31)/S31)</f>
        <v>NA</v>
      </c>
      <c r="AA31" s="59" t="str">
        <f>IF(S31=0,"NA",SUMIFS(AN_TME_PY[[#All],[Claims: Long-Term Care]],AN_TME_PY[[#All],[Insurance Category Code]],2,AN_TME_PY[[#All],[Advanced Network/Insurance Carrier Org ID]],B31)/S31)</f>
        <v>NA</v>
      </c>
      <c r="AB31" s="59" t="str">
        <f>IF(S31=0,"NA",SUMIFS(AN_TME_PY[[#All],[Claims: Other]],AN_TME_PY[[#All],[Insurance Category Code]],2,AN_TME_PY[[#All],[Advanced Network/Insurance Carrier Org ID]],B31)/S31)</f>
        <v>NA</v>
      </c>
      <c r="AC31" s="158" t="str">
        <f>IF(S31=0,"NA",SUMIFS(AN_TME_PY[[#All],[TOTAL Non-Truncated Unadjusted Claims Expenses]],AN_TME_PY[[#All],[Insurance Category Code]],2,AN_TME_PY[[#All],[Advanced Network/Insurance Carrier Org ID]],B31)/S31)</f>
        <v>NA</v>
      </c>
      <c r="AD31" s="158" t="str">
        <f>IF(S31=0,"NA",SUMIFS(AN_TME_PY[[#All],[TOTAL Truncated Unadjusted Claims Expenses (A21 -A19)]],AN_TME_PY[[#All],[Insurance Category Code]],2,AN_TME_PY[[#All],[Advanced Network/Insurance Carrier Org ID]],B31)/S31)</f>
        <v>NA</v>
      </c>
      <c r="AE31" s="158" t="str">
        <f>IF(S31=0,"NA",SUMIFS(AN_TME_PY[[#All],[TOTAL Non-Claims Expenses]],AN_TME_PY[[#All],[Insurance Category Code]],2,AN_TME_PY[[#All],[Advanced Network/Insurance Carrier Org ID]],B31)/S31)</f>
        <v>NA</v>
      </c>
      <c r="AF31" s="158" t="str">
        <f>IF(S31=0,"NA",SUMIFS(AN_TME_PY[[#All],[TOTAL Non-Truncated Unadjusted Expenses (A21 + A23)]],AN_TME_PY[[#All],[Insurance Category Code]],2,AN_TME_PY[[#All],[Advanced Network/Insurance Carrier Org ID]],B31)/S31)</f>
        <v>NA</v>
      </c>
      <c r="AG31" s="157" t="str">
        <f>IF(S31=0,"NA",SUMIFS(AN_TME_PY[[#All],[TOTAL Truncated Unadjusted Expenses (A22 + A23)]],AN_TME_PY[[#All],[Insurance Category Code]],2,AN_TME_PY[[#All],[Advanced Network/Insurance Carrier Org ID]],B31)/S31)</f>
        <v>NA</v>
      </c>
      <c r="AH31" s="245" t="str">
        <f t="shared" si="30"/>
        <v>NA</v>
      </c>
      <c r="AI31" s="246" t="str">
        <f t="shared" si="31"/>
        <v>NA</v>
      </c>
      <c r="AJ31" s="247" t="str">
        <f t="shared" si="32"/>
        <v>NA</v>
      </c>
      <c r="AK31" s="247" t="str">
        <f t="shared" si="33"/>
        <v>NA</v>
      </c>
      <c r="AL31" s="247" t="str">
        <f t="shared" si="34"/>
        <v>NA</v>
      </c>
      <c r="AM31" s="247" t="str">
        <f t="shared" si="35"/>
        <v>NA</v>
      </c>
      <c r="AN31" s="247" t="str">
        <f t="shared" si="36"/>
        <v>NA</v>
      </c>
      <c r="AO31" s="247" t="str">
        <f t="shared" si="37"/>
        <v>NA</v>
      </c>
      <c r="AP31" s="247" t="str">
        <f t="shared" si="38"/>
        <v>NA</v>
      </c>
      <c r="AQ31" s="247" t="str">
        <f t="shared" si="39"/>
        <v>NA</v>
      </c>
      <c r="AR31" s="248" t="str">
        <f t="shared" si="40"/>
        <v>NA</v>
      </c>
      <c r="AS31" s="248" t="str">
        <f t="shared" si="41"/>
        <v>NA</v>
      </c>
      <c r="AT31" s="248" t="str">
        <f t="shared" si="42"/>
        <v>NA</v>
      </c>
      <c r="AU31" s="248" t="str">
        <f t="shared" si="44"/>
        <v>NA</v>
      </c>
      <c r="AV31" s="249" t="str">
        <f t="shared" si="43"/>
        <v>NA</v>
      </c>
    </row>
    <row r="32" spans="1:48" ht="15" customHeight="1" x14ac:dyDescent="0.25">
      <c r="A32" s="175"/>
      <c r="B32" s="181">
        <v>124</v>
      </c>
      <c r="C32" s="155" t="str">
        <f>_xlfn.XLOOKUP(B32,LgProvEntOrgIDs[Advanced Network/Insurer Carrier Org ID],LgProvEntOrgIDs[Advanced Network/Insurance Carrier Overall])</f>
        <v>Southwest Community Health Center, Inc.</v>
      </c>
      <c r="D32" s="242">
        <f>SUMIFS(AN_TME_BY[[#All],[Member Months]],AN_TME_BY[[#All],[Insurance Category Code]],2,AN_TME_BY[[#All],[Advanced Network/Insurance Carrier Org ID]],B32)</f>
        <v>0</v>
      </c>
      <c r="E32" s="156" t="str">
        <f>IF(D32=0,"NA",SUMIFS(AN_TME_BY[[#All],[Claims: Hospital Inpatient]],AN_TME_BY[[#All],[Insurance Category Code]],2,AN_TME_BY[[#All],[Advanced Network/Insurance Carrier Org ID]],B32)/D32)</f>
        <v>NA</v>
      </c>
      <c r="F32" s="59" t="str">
        <f>IF(D32=0,"NA",SUMIFS(AN_TME_BY[[#All],[Claims: Hospital Outpatient]],AN_TME_BY[[#All],[Insurance Category Code]],2,AN_TME_BY[[#All],[Advanced Network/Insurance Carrier Org ID]],B32)/D32)</f>
        <v>NA</v>
      </c>
      <c r="G32" s="59" t="str">
        <f>IF(D32=0,"NA",SUMIFS(AN_TME_BY[[#All],[Claims: Professional, Primary Care]],AN_TME_BY[[#All],[Insurance Category Code]],2,AN_TME_BY[[#All],[Advanced Network/Insurance Carrier Org ID]],B32)/D32)</f>
        <v>NA</v>
      </c>
      <c r="H32" s="59" t="str">
        <f>IF(D32=0,"NA",SUMIFS(AN_TME_BY[[#All],[Claims: Professional, Primary Care (for Monitoring Purposes)]],AN_TME_BY[[#All],[Insurance Category Code]],2,AN_TME_BY[[#All],[Advanced Network/Insurance Carrier Org ID]],B32)/D32)</f>
        <v>NA</v>
      </c>
      <c r="I32" s="59" t="str">
        <f>IF(D32=0,"NA",SUMIFS(AN_TME_BY[[#All],[Claims: Professional, Specialty]],AN_TME_BY[[#All],[Insurance Category Code]],2,AN_TME_BY[[#All],[Advanced Network/Insurance Carrier Org ID]],B32)/D32)</f>
        <v>NA</v>
      </c>
      <c r="J32" s="59" t="str">
        <f>IF(D32=0,"NA",SUMIFS(AN_TME_BY[[#All],[Claims: Professional Other]],AN_TME_BY[[#All],[Insurance Category Code]],2,AN_TME_BY[[#All],[Advanced Network/Insurance Carrier Org ID]],B32)/D32)</f>
        <v>NA</v>
      </c>
      <c r="K32" s="59" t="str">
        <f>IF(D32=0,"NA",SUMIFS(AN_TME_BY[[#All],[Claims: Pharmacy]],AN_TME_BY[[#All],[Insurance Category Code]],2,AN_TME_BY[[#All],[Advanced Network/Insurance Carrier Org ID]],B32)/D32)</f>
        <v>NA</v>
      </c>
      <c r="L32" s="59" t="str">
        <f>IF(D32=0,"NA",SUMIFS(AN_TME_BY[[#All],[Claims: Long-Term Care]],AN_TME_BY[[#All],[Insurance Category Code]],2,AN_TME_BY[[#All],[Advanced Network/Insurance Carrier Org ID]],B32)/D32)</f>
        <v>NA</v>
      </c>
      <c r="M32" s="59" t="str">
        <f>IF(D32=0,"NA",SUMIFS(AN_TME_BY[[#All],[Claims: Other]],AN_TME_BY[[#All],[Insurance Category Code]],2,AN_TME_BY[[#All],[Advanced Network/Insurance Carrier Org ID]],B32)/D32)</f>
        <v>NA</v>
      </c>
      <c r="N32" s="158" t="str">
        <f>IF(D32=0,"NA",SUMIFS(AN_TME_BY[[#All],[TOTAL Non-Truncated Unadjusted Claims Expenses]],AN_TME_BY[[#All],[Insurance Category Code]],2,AN_TME_BY[[#All],[Advanced Network/Insurance Carrier Org ID]],B32)/D32)</f>
        <v>NA</v>
      </c>
      <c r="O32" s="158" t="str">
        <f>IF(D32=0,"NA",SUMIFS(AN_TME_BY[[#All],[TOTAL Truncated Unadjusted Claims Expenses (A21 -A19)]],AN_TME_BY[[#All],[Insurance Category Code]],2,AN_TME_BY[[#All],[Advanced Network/Insurance Carrier Org ID]],B32)/D32)</f>
        <v>NA</v>
      </c>
      <c r="P32" s="158" t="str">
        <f>IF(D32=0,"NA",SUMIFS(AN_TME_BY[[#All],[TOTAL Non-Claims Expenses]],AN_TME_BY[[#All],[Insurance Category Code]],2,AN_TME_BY[[#All],[Advanced Network/Insurance Carrier Org ID]],B32)/D32)</f>
        <v>NA</v>
      </c>
      <c r="Q32" s="158" t="str">
        <f>IF(D32=0,"NA",SUMIFS(AN_TME_BY[[#All],[TOTAL Non-Truncated Unadjusted Expenses (A21 + A23)]],AN_TME_BY[[#All],[Insurance Category Code]],2,AN_TME_BY[[#All],[Advanced Network/Insurance Carrier Org ID]],B32)/D32)</f>
        <v>NA</v>
      </c>
      <c r="R32" s="158" t="str">
        <f>IF(D32=0,"NA",SUMIFS(AN_TME_BY[[#All],[TOTAL Truncated Unadjusted Expenses (A22 + A23)]],AN_TME_BY[[#All],[Insurance Category Code]],2,AN_TME_BY[[#All],[Advanced Network/Insurance Carrier Org ID]],B32)/D32)</f>
        <v>NA</v>
      </c>
      <c r="S32" s="242">
        <f>SUMIFS(AN_TME_PY[[#All],[Member Months]],AN_TME_PY[[#All],[Insurance Category Code]],2,AN_TME_PY[[#All],[Advanced Network/Insurance Carrier Org ID]],B32)</f>
        <v>0</v>
      </c>
      <c r="T32" s="156" t="str">
        <f>IF(S32=0,"NA",SUMIFS(AN_TME_PY[[#All],[Claims: Hospital Inpatient]],AN_TME_PY[[#All],[Insurance Category Code]],2,AN_TME_PY[[#All],[Advanced Network/Insurance Carrier Org ID]],B32)/S32)</f>
        <v>NA</v>
      </c>
      <c r="U32" s="59" t="str">
        <f>IF(S32=0,"NA",SUMIFS(AN_TME_PY[[#All],[Claims: Hospital Outpatient]],AN_TME_PY[[#All],[Insurance Category Code]],2,AN_TME_PY[[#All],[Advanced Network/Insurance Carrier Org ID]],B32)/S32)</f>
        <v>NA</v>
      </c>
      <c r="V32" s="59" t="str">
        <f>IF(S32=0,"NA",SUMIFS(AN_TME_PY[[#All],[Claims: Professional, Primary Care]],AN_TME_PY[[#All],[Insurance Category Code]],2,AN_TME_PY[[#All],[Advanced Network/Insurance Carrier Org ID]],B32)/S32)</f>
        <v>NA</v>
      </c>
      <c r="W32" s="59" t="str">
        <f>IF(S32=0,"NA",SUMIFS(AN_TME_PY[[#All],[Claims: Professional, Primary Care (for Monitoring Purposes)]],AN_TME_PY[[#All],[Insurance Category Code]],2,AN_TME_PY[[#All],[Advanced Network/Insurance Carrier Org ID]],B32)/S32)</f>
        <v>NA</v>
      </c>
      <c r="X32" s="59" t="str">
        <f>IF(S32=0,"NA",SUMIFS(AN_TME_PY[[#All],[Claims: Professional, Specialty]],AN_TME_PY[[#All],[Insurance Category Code]],2,AN_TME_PY[[#All],[Advanced Network/Insurance Carrier Org ID]],B32)/S32)</f>
        <v>NA</v>
      </c>
      <c r="Y32" s="59" t="str">
        <f>IF(S32=0,"NA",SUMIFS(AN_TME_PY[[#All],[Claims: Professional Other]],AN_TME_PY[[#All],[Insurance Category Code]],2,AN_TME_PY[[#All],[Advanced Network/Insurance Carrier Org ID]],B32)/S32)</f>
        <v>NA</v>
      </c>
      <c r="Z32" s="59" t="str">
        <f>IF(S32=0,"NA",SUMIFS(AN_TME_PY[[#All],[Claims: Pharmacy]],AN_TME_PY[[#All],[Insurance Category Code]],2,AN_TME_PY[[#All],[Advanced Network/Insurance Carrier Org ID]],B32)/S32)</f>
        <v>NA</v>
      </c>
      <c r="AA32" s="59" t="str">
        <f>IF(S32=0,"NA",SUMIFS(AN_TME_PY[[#All],[Claims: Long-Term Care]],AN_TME_PY[[#All],[Insurance Category Code]],2,AN_TME_PY[[#All],[Advanced Network/Insurance Carrier Org ID]],B32)/S32)</f>
        <v>NA</v>
      </c>
      <c r="AB32" s="59" t="str">
        <f>IF(S32=0,"NA",SUMIFS(AN_TME_PY[[#All],[Claims: Other]],AN_TME_PY[[#All],[Insurance Category Code]],2,AN_TME_PY[[#All],[Advanced Network/Insurance Carrier Org ID]],B32)/S32)</f>
        <v>NA</v>
      </c>
      <c r="AC32" s="158" t="str">
        <f>IF(S32=0,"NA",SUMIFS(AN_TME_PY[[#All],[TOTAL Non-Truncated Unadjusted Claims Expenses]],AN_TME_PY[[#All],[Insurance Category Code]],2,AN_TME_PY[[#All],[Advanced Network/Insurance Carrier Org ID]],B32)/S32)</f>
        <v>NA</v>
      </c>
      <c r="AD32" s="158" t="str">
        <f>IF(S32=0,"NA",SUMIFS(AN_TME_PY[[#All],[TOTAL Truncated Unadjusted Claims Expenses (A21 -A19)]],AN_TME_PY[[#All],[Insurance Category Code]],2,AN_TME_PY[[#All],[Advanced Network/Insurance Carrier Org ID]],B32)/S32)</f>
        <v>NA</v>
      </c>
      <c r="AE32" s="158" t="str">
        <f>IF(S32=0,"NA",SUMIFS(AN_TME_PY[[#All],[TOTAL Non-Claims Expenses]],AN_TME_PY[[#All],[Insurance Category Code]],2,AN_TME_PY[[#All],[Advanced Network/Insurance Carrier Org ID]],B32)/S32)</f>
        <v>NA</v>
      </c>
      <c r="AF32" s="158" t="str">
        <f>IF(S32=0,"NA",SUMIFS(AN_TME_PY[[#All],[TOTAL Non-Truncated Unadjusted Expenses (A21 + A23)]],AN_TME_PY[[#All],[Insurance Category Code]],2,AN_TME_PY[[#All],[Advanced Network/Insurance Carrier Org ID]],B32)/S32)</f>
        <v>NA</v>
      </c>
      <c r="AG32" s="157" t="str">
        <f>IF(S32=0,"NA",SUMIFS(AN_TME_PY[[#All],[TOTAL Truncated Unadjusted Expenses (A22 + A23)]],AN_TME_PY[[#All],[Insurance Category Code]],2,AN_TME_PY[[#All],[Advanced Network/Insurance Carrier Org ID]],B32)/S32)</f>
        <v>NA</v>
      </c>
      <c r="AH32" s="245" t="str">
        <f t="shared" si="30"/>
        <v>NA</v>
      </c>
      <c r="AI32" s="246" t="str">
        <f t="shared" si="31"/>
        <v>NA</v>
      </c>
      <c r="AJ32" s="247" t="str">
        <f t="shared" si="32"/>
        <v>NA</v>
      </c>
      <c r="AK32" s="247" t="str">
        <f t="shared" si="33"/>
        <v>NA</v>
      </c>
      <c r="AL32" s="247" t="str">
        <f t="shared" si="34"/>
        <v>NA</v>
      </c>
      <c r="AM32" s="247" t="str">
        <f t="shared" si="35"/>
        <v>NA</v>
      </c>
      <c r="AN32" s="247" t="str">
        <f t="shared" si="36"/>
        <v>NA</v>
      </c>
      <c r="AO32" s="247" t="str">
        <f t="shared" si="37"/>
        <v>NA</v>
      </c>
      <c r="AP32" s="247" t="str">
        <f t="shared" si="38"/>
        <v>NA</v>
      </c>
      <c r="AQ32" s="247" t="str">
        <f t="shared" si="39"/>
        <v>NA</v>
      </c>
      <c r="AR32" s="248" t="str">
        <f t="shared" si="40"/>
        <v>NA</v>
      </c>
      <c r="AS32" s="248" t="str">
        <f t="shared" si="41"/>
        <v>NA</v>
      </c>
      <c r="AT32" s="248" t="str">
        <f t="shared" si="42"/>
        <v>NA</v>
      </c>
      <c r="AU32" s="248" t="str">
        <f t="shared" si="44"/>
        <v>NA</v>
      </c>
      <c r="AV32" s="249" t="str">
        <f t="shared" si="43"/>
        <v>NA</v>
      </c>
    </row>
    <row r="33" spans="1:48" ht="15" customHeight="1" x14ac:dyDescent="0.25">
      <c r="A33" s="175"/>
      <c r="B33" s="181">
        <v>125</v>
      </c>
      <c r="C33" s="155" t="str">
        <f>_xlfn.XLOOKUP(B33,LgProvEntOrgIDs[Advanced Network/Insurer Carrier Org ID],LgProvEntOrgIDs[Advanced Network/Insurance Carrier Overall])</f>
        <v>Stamford Health Medical Group</v>
      </c>
      <c r="D33" s="242">
        <f>SUMIFS(AN_TME_BY[[#All],[Member Months]],AN_TME_BY[[#All],[Insurance Category Code]],2,AN_TME_BY[[#All],[Advanced Network/Insurance Carrier Org ID]],B33)</f>
        <v>0</v>
      </c>
      <c r="E33" s="156" t="str">
        <f>IF(D33=0,"NA",SUMIFS(AN_TME_BY[[#All],[Claims: Hospital Inpatient]],AN_TME_BY[[#All],[Insurance Category Code]],2,AN_TME_BY[[#All],[Advanced Network/Insurance Carrier Org ID]],B33)/D33)</f>
        <v>NA</v>
      </c>
      <c r="F33" s="59" t="str">
        <f>IF(D33=0,"NA",SUMIFS(AN_TME_BY[[#All],[Claims: Hospital Outpatient]],AN_TME_BY[[#All],[Insurance Category Code]],2,AN_TME_BY[[#All],[Advanced Network/Insurance Carrier Org ID]],B33)/D33)</f>
        <v>NA</v>
      </c>
      <c r="G33" s="59" t="str">
        <f>IF(D33=0,"NA",SUMIFS(AN_TME_BY[[#All],[Claims: Professional, Primary Care]],AN_TME_BY[[#All],[Insurance Category Code]],2,AN_TME_BY[[#All],[Advanced Network/Insurance Carrier Org ID]],B33)/D33)</f>
        <v>NA</v>
      </c>
      <c r="H33" s="59" t="str">
        <f>IF(D33=0,"NA",SUMIFS(AN_TME_BY[[#All],[Claims: Professional, Primary Care (for Monitoring Purposes)]],AN_TME_BY[[#All],[Insurance Category Code]],2,AN_TME_BY[[#All],[Advanced Network/Insurance Carrier Org ID]],B33)/D33)</f>
        <v>NA</v>
      </c>
      <c r="I33" s="59" t="str">
        <f>IF(D33=0,"NA",SUMIFS(AN_TME_BY[[#All],[Claims: Professional, Specialty]],AN_TME_BY[[#All],[Insurance Category Code]],2,AN_TME_BY[[#All],[Advanced Network/Insurance Carrier Org ID]],B33)/D33)</f>
        <v>NA</v>
      </c>
      <c r="J33" s="59" t="str">
        <f>IF(D33=0,"NA",SUMIFS(AN_TME_BY[[#All],[Claims: Professional Other]],AN_TME_BY[[#All],[Insurance Category Code]],2,AN_TME_BY[[#All],[Advanced Network/Insurance Carrier Org ID]],B33)/D33)</f>
        <v>NA</v>
      </c>
      <c r="K33" s="59" t="str">
        <f>IF(D33=0,"NA",SUMIFS(AN_TME_BY[[#All],[Claims: Pharmacy]],AN_TME_BY[[#All],[Insurance Category Code]],2,AN_TME_BY[[#All],[Advanced Network/Insurance Carrier Org ID]],B33)/D33)</f>
        <v>NA</v>
      </c>
      <c r="L33" s="59" t="str">
        <f>IF(D33=0,"NA",SUMIFS(AN_TME_BY[[#All],[Claims: Long-Term Care]],AN_TME_BY[[#All],[Insurance Category Code]],2,AN_TME_BY[[#All],[Advanced Network/Insurance Carrier Org ID]],B33)/D33)</f>
        <v>NA</v>
      </c>
      <c r="M33" s="59" t="str">
        <f>IF(D33=0,"NA",SUMIFS(AN_TME_BY[[#All],[Claims: Other]],AN_TME_BY[[#All],[Insurance Category Code]],2,AN_TME_BY[[#All],[Advanced Network/Insurance Carrier Org ID]],B33)/D33)</f>
        <v>NA</v>
      </c>
      <c r="N33" s="158" t="str">
        <f>IF(D33=0,"NA",SUMIFS(AN_TME_BY[[#All],[TOTAL Non-Truncated Unadjusted Claims Expenses]],AN_TME_BY[[#All],[Insurance Category Code]],2,AN_TME_BY[[#All],[Advanced Network/Insurance Carrier Org ID]],B33)/D33)</f>
        <v>NA</v>
      </c>
      <c r="O33" s="158" t="str">
        <f>IF(D33=0,"NA",SUMIFS(AN_TME_BY[[#All],[TOTAL Truncated Unadjusted Claims Expenses (A21 -A19)]],AN_TME_BY[[#All],[Insurance Category Code]],2,AN_TME_BY[[#All],[Advanced Network/Insurance Carrier Org ID]],B33)/D33)</f>
        <v>NA</v>
      </c>
      <c r="P33" s="158" t="str">
        <f>IF(D33=0,"NA",SUMIFS(AN_TME_BY[[#All],[TOTAL Non-Claims Expenses]],AN_TME_BY[[#All],[Insurance Category Code]],2,AN_TME_BY[[#All],[Advanced Network/Insurance Carrier Org ID]],B33)/D33)</f>
        <v>NA</v>
      </c>
      <c r="Q33" s="158" t="str">
        <f>IF(D33=0,"NA",SUMIFS(AN_TME_BY[[#All],[TOTAL Non-Truncated Unadjusted Expenses (A21 + A23)]],AN_TME_BY[[#All],[Insurance Category Code]],2,AN_TME_BY[[#All],[Advanced Network/Insurance Carrier Org ID]],B33)/D33)</f>
        <v>NA</v>
      </c>
      <c r="R33" s="158" t="str">
        <f>IF(D33=0,"NA",SUMIFS(AN_TME_BY[[#All],[TOTAL Truncated Unadjusted Expenses (A22 + A23)]],AN_TME_BY[[#All],[Insurance Category Code]],2,AN_TME_BY[[#All],[Advanced Network/Insurance Carrier Org ID]],B33)/D33)</f>
        <v>NA</v>
      </c>
      <c r="S33" s="242">
        <f>SUMIFS(AN_TME_PY[[#All],[Member Months]],AN_TME_PY[[#All],[Insurance Category Code]],2,AN_TME_PY[[#All],[Advanced Network/Insurance Carrier Org ID]],B33)</f>
        <v>0</v>
      </c>
      <c r="T33" s="156" t="str">
        <f>IF(S33=0,"NA",SUMIFS(AN_TME_PY[[#All],[Claims: Hospital Inpatient]],AN_TME_PY[[#All],[Insurance Category Code]],2,AN_TME_PY[[#All],[Advanced Network/Insurance Carrier Org ID]],B33)/S33)</f>
        <v>NA</v>
      </c>
      <c r="U33" s="59" t="str">
        <f>IF(S33=0,"NA",SUMIFS(AN_TME_PY[[#All],[Claims: Hospital Outpatient]],AN_TME_PY[[#All],[Insurance Category Code]],2,AN_TME_PY[[#All],[Advanced Network/Insurance Carrier Org ID]],B33)/S33)</f>
        <v>NA</v>
      </c>
      <c r="V33" s="59" t="str">
        <f>IF(S33=0,"NA",SUMIFS(AN_TME_PY[[#All],[Claims: Professional, Primary Care]],AN_TME_PY[[#All],[Insurance Category Code]],2,AN_TME_PY[[#All],[Advanced Network/Insurance Carrier Org ID]],B33)/S33)</f>
        <v>NA</v>
      </c>
      <c r="W33" s="59" t="str">
        <f>IF(S33=0,"NA",SUMIFS(AN_TME_PY[[#All],[Claims: Professional, Primary Care (for Monitoring Purposes)]],AN_TME_PY[[#All],[Insurance Category Code]],2,AN_TME_PY[[#All],[Advanced Network/Insurance Carrier Org ID]],B33)/S33)</f>
        <v>NA</v>
      </c>
      <c r="X33" s="59" t="str">
        <f>IF(S33=0,"NA",SUMIFS(AN_TME_PY[[#All],[Claims: Professional, Specialty]],AN_TME_PY[[#All],[Insurance Category Code]],2,AN_TME_PY[[#All],[Advanced Network/Insurance Carrier Org ID]],B33)/S33)</f>
        <v>NA</v>
      </c>
      <c r="Y33" s="59" t="str">
        <f>IF(S33=0,"NA",SUMIFS(AN_TME_PY[[#All],[Claims: Professional Other]],AN_TME_PY[[#All],[Insurance Category Code]],2,AN_TME_PY[[#All],[Advanced Network/Insurance Carrier Org ID]],B33)/S33)</f>
        <v>NA</v>
      </c>
      <c r="Z33" s="59" t="str">
        <f>IF(S33=0,"NA",SUMIFS(AN_TME_PY[[#All],[Claims: Pharmacy]],AN_TME_PY[[#All],[Insurance Category Code]],2,AN_TME_PY[[#All],[Advanced Network/Insurance Carrier Org ID]],B33)/S33)</f>
        <v>NA</v>
      </c>
      <c r="AA33" s="59" t="str">
        <f>IF(S33=0,"NA",SUMIFS(AN_TME_PY[[#All],[Claims: Long-Term Care]],AN_TME_PY[[#All],[Insurance Category Code]],2,AN_TME_PY[[#All],[Advanced Network/Insurance Carrier Org ID]],B33)/S33)</f>
        <v>NA</v>
      </c>
      <c r="AB33" s="59" t="str">
        <f>IF(S33=0,"NA",SUMIFS(AN_TME_PY[[#All],[Claims: Other]],AN_TME_PY[[#All],[Insurance Category Code]],2,AN_TME_PY[[#All],[Advanced Network/Insurance Carrier Org ID]],B33)/S33)</f>
        <v>NA</v>
      </c>
      <c r="AC33" s="158" t="str">
        <f>IF(S33=0,"NA",SUMIFS(AN_TME_PY[[#All],[TOTAL Non-Truncated Unadjusted Claims Expenses]],AN_TME_PY[[#All],[Insurance Category Code]],2,AN_TME_PY[[#All],[Advanced Network/Insurance Carrier Org ID]],B33)/S33)</f>
        <v>NA</v>
      </c>
      <c r="AD33" s="158" t="str">
        <f>IF(S33=0,"NA",SUMIFS(AN_TME_PY[[#All],[TOTAL Truncated Unadjusted Claims Expenses (A21 -A19)]],AN_TME_PY[[#All],[Insurance Category Code]],2,AN_TME_PY[[#All],[Advanced Network/Insurance Carrier Org ID]],B33)/S33)</f>
        <v>NA</v>
      </c>
      <c r="AE33" s="158" t="str">
        <f>IF(S33=0,"NA",SUMIFS(AN_TME_PY[[#All],[TOTAL Non-Claims Expenses]],AN_TME_PY[[#All],[Insurance Category Code]],2,AN_TME_PY[[#All],[Advanced Network/Insurance Carrier Org ID]],B33)/S33)</f>
        <v>NA</v>
      </c>
      <c r="AF33" s="158" t="str">
        <f>IF(S33=0,"NA",SUMIFS(AN_TME_PY[[#All],[TOTAL Non-Truncated Unadjusted Expenses (A21 + A23)]],AN_TME_PY[[#All],[Insurance Category Code]],2,AN_TME_PY[[#All],[Advanced Network/Insurance Carrier Org ID]],B33)/S33)</f>
        <v>NA</v>
      </c>
      <c r="AG33" s="157" t="str">
        <f>IF(S33=0,"NA",SUMIFS(AN_TME_PY[[#All],[TOTAL Truncated Unadjusted Expenses (A22 + A23)]],AN_TME_PY[[#All],[Insurance Category Code]],2,AN_TME_PY[[#All],[Advanced Network/Insurance Carrier Org ID]],B33)/S33)</f>
        <v>NA</v>
      </c>
      <c r="AH33" s="245" t="str">
        <f t="shared" si="30"/>
        <v>NA</v>
      </c>
      <c r="AI33" s="246" t="str">
        <f t="shared" si="31"/>
        <v>NA</v>
      </c>
      <c r="AJ33" s="247" t="str">
        <f t="shared" si="32"/>
        <v>NA</v>
      </c>
      <c r="AK33" s="247" t="str">
        <f t="shared" si="33"/>
        <v>NA</v>
      </c>
      <c r="AL33" s="247" t="str">
        <f t="shared" si="34"/>
        <v>NA</v>
      </c>
      <c r="AM33" s="247" t="str">
        <f t="shared" si="35"/>
        <v>NA</v>
      </c>
      <c r="AN33" s="247" t="str">
        <f t="shared" si="36"/>
        <v>NA</v>
      </c>
      <c r="AO33" s="247" t="str">
        <f t="shared" si="37"/>
        <v>NA</v>
      </c>
      <c r="AP33" s="247" t="str">
        <f t="shared" si="38"/>
        <v>NA</v>
      </c>
      <c r="AQ33" s="247" t="str">
        <f t="shared" si="39"/>
        <v>NA</v>
      </c>
      <c r="AR33" s="248" t="str">
        <f t="shared" si="40"/>
        <v>NA</v>
      </c>
      <c r="AS33" s="248" t="str">
        <f t="shared" si="41"/>
        <v>NA</v>
      </c>
      <c r="AT33" s="248" t="str">
        <f t="shared" si="42"/>
        <v>NA</v>
      </c>
      <c r="AU33" s="248" t="str">
        <f t="shared" si="44"/>
        <v>NA</v>
      </c>
      <c r="AV33" s="249" t="str">
        <f t="shared" si="43"/>
        <v>NA</v>
      </c>
    </row>
    <row r="34" spans="1:48" ht="15" customHeight="1" x14ac:dyDescent="0.25">
      <c r="A34" s="175"/>
      <c r="B34" s="181">
        <v>126</v>
      </c>
      <c r="C34" s="155" t="str">
        <f>_xlfn.XLOOKUP(B34,LgProvEntOrgIDs[Advanced Network/Insurer Carrier Org ID],LgProvEntOrgIDs[Advanced Network/Insurance Carrier Overall])</f>
        <v>Starling Physicians</v>
      </c>
      <c r="D34" s="242">
        <f>SUMIFS(AN_TME_BY[[#All],[Member Months]],AN_TME_BY[[#All],[Insurance Category Code]],2,AN_TME_BY[[#All],[Advanced Network/Insurance Carrier Org ID]],B34)</f>
        <v>0</v>
      </c>
      <c r="E34" s="156" t="str">
        <f>IF(D34=0,"NA",SUMIFS(AN_TME_BY[[#All],[Claims: Hospital Inpatient]],AN_TME_BY[[#All],[Insurance Category Code]],2,AN_TME_BY[[#All],[Advanced Network/Insurance Carrier Org ID]],B34)/D34)</f>
        <v>NA</v>
      </c>
      <c r="F34" s="59" t="str">
        <f>IF(D34=0,"NA",SUMIFS(AN_TME_BY[[#All],[Claims: Hospital Outpatient]],AN_TME_BY[[#All],[Insurance Category Code]],2,AN_TME_BY[[#All],[Advanced Network/Insurance Carrier Org ID]],B34)/D34)</f>
        <v>NA</v>
      </c>
      <c r="G34" s="59" t="str">
        <f>IF(D34=0,"NA",SUMIFS(AN_TME_BY[[#All],[Claims: Professional, Primary Care]],AN_TME_BY[[#All],[Insurance Category Code]],2,AN_TME_BY[[#All],[Advanced Network/Insurance Carrier Org ID]],B34)/D34)</f>
        <v>NA</v>
      </c>
      <c r="H34" s="59" t="str">
        <f>IF(D34=0,"NA",SUMIFS(AN_TME_BY[[#All],[Claims: Professional, Primary Care (for Monitoring Purposes)]],AN_TME_BY[[#All],[Insurance Category Code]],2,AN_TME_BY[[#All],[Advanced Network/Insurance Carrier Org ID]],B34)/D34)</f>
        <v>NA</v>
      </c>
      <c r="I34" s="59" t="str">
        <f>IF(D34=0,"NA",SUMIFS(AN_TME_BY[[#All],[Claims: Professional, Specialty]],AN_TME_BY[[#All],[Insurance Category Code]],2,AN_TME_BY[[#All],[Advanced Network/Insurance Carrier Org ID]],B34)/D34)</f>
        <v>NA</v>
      </c>
      <c r="J34" s="59" t="str">
        <f>IF(D34=0,"NA",SUMIFS(AN_TME_BY[[#All],[Claims: Professional Other]],AN_TME_BY[[#All],[Insurance Category Code]],2,AN_TME_BY[[#All],[Advanced Network/Insurance Carrier Org ID]],B34)/D34)</f>
        <v>NA</v>
      </c>
      <c r="K34" s="59" t="str">
        <f>IF(D34=0,"NA",SUMIFS(AN_TME_BY[[#All],[Claims: Pharmacy]],AN_TME_BY[[#All],[Insurance Category Code]],2,AN_TME_BY[[#All],[Advanced Network/Insurance Carrier Org ID]],B34)/D34)</f>
        <v>NA</v>
      </c>
      <c r="L34" s="59" t="str">
        <f>IF(D34=0,"NA",SUMIFS(AN_TME_BY[[#All],[Claims: Long-Term Care]],AN_TME_BY[[#All],[Insurance Category Code]],2,AN_TME_BY[[#All],[Advanced Network/Insurance Carrier Org ID]],B34)/D34)</f>
        <v>NA</v>
      </c>
      <c r="M34" s="59" t="str">
        <f>IF(D34=0,"NA",SUMIFS(AN_TME_BY[[#All],[Claims: Other]],AN_TME_BY[[#All],[Insurance Category Code]],2,AN_TME_BY[[#All],[Advanced Network/Insurance Carrier Org ID]],B34)/D34)</f>
        <v>NA</v>
      </c>
      <c r="N34" s="158" t="str">
        <f>IF(D34=0,"NA",SUMIFS(AN_TME_BY[[#All],[TOTAL Non-Truncated Unadjusted Claims Expenses]],AN_TME_BY[[#All],[Insurance Category Code]],2,AN_TME_BY[[#All],[Advanced Network/Insurance Carrier Org ID]],B34)/D34)</f>
        <v>NA</v>
      </c>
      <c r="O34" s="158" t="str">
        <f>IF(D34=0,"NA",SUMIFS(AN_TME_BY[[#All],[TOTAL Truncated Unadjusted Claims Expenses (A21 -A19)]],AN_TME_BY[[#All],[Insurance Category Code]],2,AN_TME_BY[[#All],[Advanced Network/Insurance Carrier Org ID]],B34)/D34)</f>
        <v>NA</v>
      </c>
      <c r="P34" s="158" t="str">
        <f>IF(D34=0,"NA",SUMIFS(AN_TME_BY[[#All],[TOTAL Non-Claims Expenses]],AN_TME_BY[[#All],[Insurance Category Code]],2,AN_TME_BY[[#All],[Advanced Network/Insurance Carrier Org ID]],B34)/D34)</f>
        <v>NA</v>
      </c>
      <c r="Q34" s="158" t="str">
        <f>IF(D34=0,"NA",SUMIFS(AN_TME_BY[[#All],[TOTAL Non-Truncated Unadjusted Expenses (A21 + A23)]],AN_TME_BY[[#All],[Insurance Category Code]],2,AN_TME_BY[[#All],[Advanced Network/Insurance Carrier Org ID]],B34)/D34)</f>
        <v>NA</v>
      </c>
      <c r="R34" s="158" t="str">
        <f>IF(D34=0,"NA",SUMIFS(AN_TME_BY[[#All],[TOTAL Truncated Unadjusted Expenses (A22 + A23)]],AN_TME_BY[[#All],[Insurance Category Code]],2,AN_TME_BY[[#All],[Advanced Network/Insurance Carrier Org ID]],B34)/D34)</f>
        <v>NA</v>
      </c>
      <c r="S34" s="242">
        <f>SUMIFS(AN_TME_PY[[#All],[Member Months]],AN_TME_PY[[#All],[Insurance Category Code]],2,AN_TME_PY[[#All],[Advanced Network/Insurance Carrier Org ID]],B34)</f>
        <v>0</v>
      </c>
      <c r="T34" s="156" t="str">
        <f>IF(S34=0,"NA",SUMIFS(AN_TME_PY[[#All],[Claims: Hospital Inpatient]],AN_TME_PY[[#All],[Insurance Category Code]],2,AN_TME_PY[[#All],[Advanced Network/Insurance Carrier Org ID]],B34)/S34)</f>
        <v>NA</v>
      </c>
      <c r="U34" s="59" t="str">
        <f>IF(S34=0,"NA",SUMIFS(AN_TME_PY[[#All],[Claims: Hospital Outpatient]],AN_TME_PY[[#All],[Insurance Category Code]],2,AN_TME_PY[[#All],[Advanced Network/Insurance Carrier Org ID]],B34)/S34)</f>
        <v>NA</v>
      </c>
      <c r="V34" s="59" t="str">
        <f>IF(S34=0,"NA",SUMIFS(AN_TME_PY[[#All],[Claims: Professional, Primary Care]],AN_TME_PY[[#All],[Insurance Category Code]],2,AN_TME_PY[[#All],[Advanced Network/Insurance Carrier Org ID]],B34)/S34)</f>
        <v>NA</v>
      </c>
      <c r="W34" s="59" t="str">
        <f>IF(S34=0,"NA",SUMIFS(AN_TME_PY[[#All],[Claims: Professional, Primary Care (for Monitoring Purposes)]],AN_TME_PY[[#All],[Insurance Category Code]],2,AN_TME_PY[[#All],[Advanced Network/Insurance Carrier Org ID]],B34)/S34)</f>
        <v>NA</v>
      </c>
      <c r="X34" s="59" t="str">
        <f>IF(S34=0,"NA",SUMIFS(AN_TME_PY[[#All],[Claims: Professional, Specialty]],AN_TME_PY[[#All],[Insurance Category Code]],2,AN_TME_PY[[#All],[Advanced Network/Insurance Carrier Org ID]],B34)/S34)</f>
        <v>NA</v>
      </c>
      <c r="Y34" s="59" t="str">
        <f>IF(S34=0,"NA",SUMIFS(AN_TME_PY[[#All],[Claims: Professional Other]],AN_TME_PY[[#All],[Insurance Category Code]],2,AN_TME_PY[[#All],[Advanced Network/Insurance Carrier Org ID]],B34)/S34)</f>
        <v>NA</v>
      </c>
      <c r="Z34" s="59" t="str">
        <f>IF(S34=0,"NA",SUMIFS(AN_TME_PY[[#All],[Claims: Pharmacy]],AN_TME_PY[[#All],[Insurance Category Code]],2,AN_TME_PY[[#All],[Advanced Network/Insurance Carrier Org ID]],B34)/S34)</f>
        <v>NA</v>
      </c>
      <c r="AA34" s="59" t="str">
        <f>IF(S34=0,"NA",SUMIFS(AN_TME_PY[[#All],[Claims: Long-Term Care]],AN_TME_PY[[#All],[Insurance Category Code]],2,AN_TME_PY[[#All],[Advanced Network/Insurance Carrier Org ID]],B34)/S34)</f>
        <v>NA</v>
      </c>
      <c r="AB34" s="59" t="str">
        <f>IF(S34=0,"NA",SUMIFS(AN_TME_PY[[#All],[Claims: Other]],AN_TME_PY[[#All],[Insurance Category Code]],2,AN_TME_PY[[#All],[Advanced Network/Insurance Carrier Org ID]],B34)/S34)</f>
        <v>NA</v>
      </c>
      <c r="AC34" s="158" t="str">
        <f>IF(S34=0,"NA",SUMIFS(AN_TME_PY[[#All],[TOTAL Non-Truncated Unadjusted Claims Expenses]],AN_TME_PY[[#All],[Insurance Category Code]],2,AN_TME_PY[[#All],[Advanced Network/Insurance Carrier Org ID]],B34)/S34)</f>
        <v>NA</v>
      </c>
      <c r="AD34" s="158" t="str">
        <f>IF(S34=0,"NA",SUMIFS(AN_TME_PY[[#All],[TOTAL Truncated Unadjusted Claims Expenses (A21 -A19)]],AN_TME_PY[[#All],[Insurance Category Code]],2,AN_TME_PY[[#All],[Advanced Network/Insurance Carrier Org ID]],B34)/S34)</f>
        <v>NA</v>
      </c>
      <c r="AE34" s="158" t="str">
        <f>IF(S34=0,"NA",SUMIFS(AN_TME_PY[[#All],[TOTAL Non-Claims Expenses]],AN_TME_PY[[#All],[Insurance Category Code]],2,AN_TME_PY[[#All],[Advanced Network/Insurance Carrier Org ID]],B34)/S34)</f>
        <v>NA</v>
      </c>
      <c r="AF34" s="158" t="str">
        <f>IF(S34=0,"NA",SUMIFS(AN_TME_PY[[#All],[TOTAL Non-Truncated Unadjusted Expenses (A21 + A23)]],AN_TME_PY[[#All],[Insurance Category Code]],2,AN_TME_PY[[#All],[Advanced Network/Insurance Carrier Org ID]],B34)/S34)</f>
        <v>NA</v>
      </c>
      <c r="AG34" s="157" t="str">
        <f>IF(S34=0,"NA",SUMIFS(AN_TME_PY[[#All],[TOTAL Truncated Unadjusted Expenses (A22 + A23)]],AN_TME_PY[[#All],[Insurance Category Code]],2,AN_TME_PY[[#All],[Advanced Network/Insurance Carrier Org ID]],B34)/S34)</f>
        <v>NA</v>
      </c>
      <c r="AH34" s="245" t="str">
        <f t="shared" si="30"/>
        <v>NA</v>
      </c>
      <c r="AI34" s="246" t="str">
        <f t="shared" si="31"/>
        <v>NA</v>
      </c>
      <c r="AJ34" s="247" t="str">
        <f t="shared" si="32"/>
        <v>NA</v>
      </c>
      <c r="AK34" s="247" t="str">
        <f t="shared" si="33"/>
        <v>NA</v>
      </c>
      <c r="AL34" s="247" t="str">
        <f t="shared" si="34"/>
        <v>NA</v>
      </c>
      <c r="AM34" s="247" t="str">
        <f t="shared" si="35"/>
        <v>NA</v>
      </c>
      <c r="AN34" s="247" t="str">
        <f t="shared" si="36"/>
        <v>NA</v>
      </c>
      <c r="AO34" s="247" t="str">
        <f t="shared" si="37"/>
        <v>NA</v>
      </c>
      <c r="AP34" s="247" t="str">
        <f t="shared" si="38"/>
        <v>NA</v>
      </c>
      <c r="AQ34" s="247" t="str">
        <f t="shared" si="39"/>
        <v>NA</v>
      </c>
      <c r="AR34" s="248" t="str">
        <f t="shared" si="40"/>
        <v>NA</v>
      </c>
      <c r="AS34" s="248" t="str">
        <f t="shared" si="41"/>
        <v>NA</v>
      </c>
      <c r="AT34" s="248" t="str">
        <f t="shared" si="42"/>
        <v>NA</v>
      </c>
      <c r="AU34" s="248" t="str">
        <f t="shared" si="44"/>
        <v>NA</v>
      </c>
      <c r="AV34" s="249" t="str">
        <f t="shared" si="43"/>
        <v>NA</v>
      </c>
    </row>
    <row r="35" spans="1:48" ht="15" customHeight="1" x14ac:dyDescent="0.25">
      <c r="A35" s="175"/>
      <c r="B35" s="181">
        <v>127</v>
      </c>
      <c r="C35" s="155" t="str">
        <f>_xlfn.XLOOKUP(B35,LgProvEntOrgIDs[Advanced Network/Insurer Carrier Org ID],LgProvEntOrgIDs[Advanced Network/Insurance Carrier Overall])</f>
        <v>UConn Medical Group</v>
      </c>
      <c r="D35" s="242">
        <f>SUMIFS(AN_TME_BY[[#All],[Member Months]],AN_TME_BY[[#All],[Insurance Category Code]],2,AN_TME_BY[[#All],[Advanced Network/Insurance Carrier Org ID]],B35)</f>
        <v>0</v>
      </c>
      <c r="E35" s="156" t="str">
        <f>IF(D35=0,"NA",SUMIFS(AN_TME_BY[[#All],[Claims: Hospital Inpatient]],AN_TME_BY[[#All],[Insurance Category Code]],2,AN_TME_BY[[#All],[Advanced Network/Insurance Carrier Org ID]],B35)/D35)</f>
        <v>NA</v>
      </c>
      <c r="F35" s="59" t="str">
        <f>IF(D35=0,"NA",SUMIFS(AN_TME_BY[[#All],[Claims: Hospital Outpatient]],AN_TME_BY[[#All],[Insurance Category Code]],2,AN_TME_BY[[#All],[Advanced Network/Insurance Carrier Org ID]],B35)/D35)</f>
        <v>NA</v>
      </c>
      <c r="G35" s="59" t="str">
        <f>IF(D35=0,"NA",SUMIFS(AN_TME_BY[[#All],[Claims: Professional, Primary Care]],AN_TME_BY[[#All],[Insurance Category Code]],2,AN_TME_BY[[#All],[Advanced Network/Insurance Carrier Org ID]],B35)/D35)</f>
        <v>NA</v>
      </c>
      <c r="H35" s="59" t="str">
        <f>IF(D35=0,"NA",SUMIFS(AN_TME_BY[[#All],[Claims: Professional, Primary Care (for Monitoring Purposes)]],AN_TME_BY[[#All],[Insurance Category Code]],2,AN_TME_BY[[#All],[Advanced Network/Insurance Carrier Org ID]],B35)/D35)</f>
        <v>NA</v>
      </c>
      <c r="I35" s="59" t="str">
        <f>IF(D35=0,"NA",SUMIFS(AN_TME_BY[[#All],[Claims: Professional, Specialty]],AN_TME_BY[[#All],[Insurance Category Code]],2,AN_TME_BY[[#All],[Advanced Network/Insurance Carrier Org ID]],B35)/D35)</f>
        <v>NA</v>
      </c>
      <c r="J35" s="59" t="str">
        <f>IF(D35=0,"NA",SUMIFS(AN_TME_BY[[#All],[Claims: Professional Other]],AN_TME_BY[[#All],[Insurance Category Code]],2,AN_TME_BY[[#All],[Advanced Network/Insurance Carrier Org ID]],B35)/D35)</f>
        <v>NA</v>
      </c>
      <c r="K35" s="59" t="str">
        <f>IF(D35=0,"NA",SUMIFS(AN_TME_BY[[#All],[Claims: Pharmacy]],AN_TME_BY[[#All],[Insurance Category Code]],2,AN_TME_BY[[#All],[Advanced Network/Insurance Carrier Org ID]],B35)/D35)</f>
        <v>NA</v>
      </c>
      <c r="L35" s="59" t="str">
        <f>IF(D35=0,"NA",SUMIFS(AN_TME_BY[[#All],[Claims: Long-Term Care]],AN_TME_BY[[#All],[Insurance Category Code]],2,AN_TME_BY[[#All],[Advanced Network/Insurance Carrier Org ID]],B35)/D35)</f>
        <v>NA</v>
      </c>
      <c r="M35" s="59" t="str">
        <f>IF(D35=0,"NA",SUMIFS(AN_TME_BY[[#All],[Claims: Other]],AN_TME_BY[[#All],[Insurance Category Code]],2,AN_TME_BY[[#All],[Advanced Network/Insurance Carrier Org ID]],B35)/D35)</f>
        <v>NA</v>
      </c>
      <c r="N35" s="158" t="str">
        <f>IF(D35=0,"NA",SUMIFS(AN_TME_BY[[#All],[TOTAL Non-Truncated Unadjusted Claims Expenses]],AN_TME_BY[[#All],[Insurance Category Code]],2,AN_TME_BY[[#All],[Advanced Network/Insurance Carrier Org ID]],B35)/D35)</f>
        <v>NA</v>
      </c>
      <c r="O35" s="158" t="str">
        <f>IF(D35=0,"NA",SUMIFS(AN_TME_BY[[#All],[TOTAL Truncated Unadjusted Claims Expenses (A21 -A19)]],AN_TME_BY[[#All],[Insurance Category Code]],2,AN_TME_BY[[#All],[Advanced Network/Insurance Carrier Org ID]],B35)/D35)</f>
        <v>NA</v>
      </c>
      <c r="P35" s="158" t="str">
        <f>IF(D35=0,"NA",SUMIFS(AN_TME_BY[[#All],[TOTAL Non-Claims Expenses]],AN_TME_BY[[#All],[Insurance Category Code]],2,AN_TME_BY[[#All],[Advanced Network/Insurance Carrier Org ID]],B35)/D35)</f>
        <v>NA</v>
      </c>
      <c r="Q35" s="158" t="str">
        <f>IF(D35=0,"NA",SUMIFS(AN_TME_BY[[#All],[TOTAL Non-Truncated Unadjusted Expenses (A21 + A23)]],AN_TME_BY[[#All],[Insurance Category Code]],2,AN_TME_BY[[#All],[Advanced Network/Insurance Carrier Org ID]],B35)/D35)</f>
        <v>NA</v>
      </c>
      <c r="R35" s="158" t="str">
        <f>IF(D35=0,"NA",SUMIFS(AN_TME_BY[[#All],[TOTAL Truncated Unadjusted Expenses (A22 + A23)]],AN_TME_BY[[#All],[Insurance Category Code]],2,AN_TME_BY[[#All],[Advanced Network/Insurance Carrier Org ID]],B35)/D35)</f>
        <v>NA</v>
      </c>
      <c r="S35" s="242">
        <f>SUMIFS(AN_TME_PY[[#All],[Member Months]],AN_TME_PY[[#All],[Insurance Category Code]],2,AN_TME_PY[[#All],[Advanced Network/Insurance Carrier Org ID]],B35)</f>
        <v>0</v>
      </c>
      <c r="T35" s="156" t="str">
        <f>IF(S35=0,"NA",SUMIFS(AN_TME_PY[[#All],[Claims: Hospital Inpatient]],AN_TME_PY[[#All],[Insurance Category Code]],2,AN_TME_PY[[#All],[Advanced Network/Insurance Carrier Org ID]],B35)/S35)</f>
        <v>NA</v>
      </c>
      <c r="U35" s="59" t="str">
        <f>IF(S35=0,"NA",SUMIFS(AN_TME_PY[[#All],[Claims: Hospital Outpatient]],AN_TME_PY[[#All],[Insurance Category Code]],2,AN_TME_PY[[#All],[Advanced Network/Insurance Carrier Org ID]],B35)/S35)</f>
        <v>NA</v>
      </c>
      <c r="V35" s="59" t="str">
        <f>IF(S35=0,"NA",SUMIFS(AN_TME_PY[[#All],[Claims: Professional, Primary Care]],AN_TME_PY[[#All],[Insurance Category Code]],2,AN_TME_PY[[#All],[Advanced Network/Insurance Carrier Org ID]],B35)/S35)</f>
        <v>NA</v>
      </c>
      <c r="W35" s="59" t="str">
        <f>IF(S35=0,"NA",SUMIFS(AN_TME_PY[[#All],[Claims: Professional, Primary Care (for Monitoring Purposes)]],AN_TME_PY[[#All],[Insurance Category Code]],2,AN_TME_PY[[#All],[Advanced Network/Insurance Carrier Org ID]],B35)/S35)</f>
        <v>NA</v>
      </c>
      <c r="X35" s="59" t="str">
        <f>IF(S35=0,"NA",SUMIFS(AN_TME_PY[[#All],[Claims: Professional, Specialty]],AN_TME_PY[[#All],[Insurance Category Code]],2,AN_TME_PY[[#All],[Advanced Network/Insurance Carrier Org ID]],B35)/S35)</f>
        <v>NA</v>
      </c>
      <c r="Y35" s="59" t="str">
        <f>IF(S35=0,"NA",SUMIFS(AN_TME_PY[[#All],[Claims: Professional Other]],AN_TME_PY[[#All],[Insurance Category Code]],2,AN_TME_PY[[#All],[Advanced Network/Insurance Carrier Org ID]],B35)/S35)</f>
        <v>NA</v>
      </c>
      <c r="Z35" s="59" t="str">
        <f>IF(S35=0,"NA",SUMIFS(AN_TME_PY[[#All],[Claims: Pharmacy]],AN_TME_PY[[#All],[Insurance Category Code]],2,AN_TME_PY[[#All],[Advanced Network/Insurance Carrier Org ID]],B35)/S35)</f>
        <v>NA</v>
      </c>
      <c r="AA35" s="59" t="str">
        <f>IF(S35=0,"NA",SUMIFS(AN_TME_PY[[#All],[Claims: Long-Term Care]],AN_TME_PY[[#All],[Insurance Category Code]],2,AN_TME_PY[[#All],[Advanced Network/Insurance Carrier Org ID]],B35)/S35)</f>
        <v>NA</v>
      </c>
      <c r="AB35" s="59" t="str">
        <f>IF(S35=0,"NA",SUMIFS(AN_TME_PY[[#All],[Claims: Other]],AN_TME_PY[[#All],[Insurance Category Code]],2,AN_TME_PY[[#All],[Advanced Network/Insurance Carrier Org ID]],B35)/S35)</f>
        <v>NA</v>
      </c>
      <c r="AC35" s="158" t="str">
        <f>IF(S35=0,"NA",SUMIFS(AN_TME_PY[[#All],[TOTAL Non-Truncated Unadjusted Claims Expenses]],AN_TME_PY[[#All],[Insurance Category Code]],2,AN_TME_PY[[#All],[Advanced Network/Insurance Carrier Org ID]],B35)/S35)</f>
        <v>NA</v>
      </c>
      <c r="AD35" s="158" t="str">
        <f>IF(S35=0,"NA",SUMIFS(AN_TME_PY[[#All],[TOTAL Truncated Unadjusted Claims Expenses (A21 -A19)]],AN_TME_PY[[#All],[Insurance Category Code]],2,AN_TME_PY[[#All],[Advanced Network/Insurance Carrier Org ID]],B35)/S35)</f>
        <v>NA</v>
      </c>
      <c r="AE35" s="158" t="str">
        <f>IF(S35=0,"NA",SUMIFS(AN_TME_PY[[#All],[TOTAL Non-Claims Expenses]],AN_TME_PY[[#All],[Insurance Category Code]],2,AN_TME_PY[[#All],[Advanced Network/Insurance Carrier Org ID]],B35)/S35)</f>
        <v>NA</v>
      </c>
      <c r="AF35" s="158" t="str">
        <f>IF(S35=0,"NA",SUMIFS(AN_TME_PY[[#All],[TOTAL Non-Truncated Unadjusted Expenses (A21 + A23)]],AN_TME_PY[[#All],[Insurance Category Code]],2,AN_TME_PY[[#All],[Advanced Network/Insurance Carrier Org ID]],B35)/S35)</f>
        <v>NA</v>
      </c>
      <c r="AG35" s="157" t="str">
        <f>IF(S35=0,"NA",SUMIFS(AN_TME_PY[[#All],[TOTAL Truncated Unadjusted Expenses (A22 + A23)]],AN_TME_PY[[#All],[Insurance Category Code]],2,AN_TME_PY[[#All],[Advanced Network/Insurance Carrier Org ID]],B35)/S35)</f>
        <v>NA</v>
      </c>
      <c r="AH35" s="245" t="str">
        <f t="shared" si="30"/>
        <v>NA</v>
      </c>
      <c r="AI35" s="246" t="str">
        <f t="shared" si="31"/>
        <v>NA</v>
      </c>
      <c r="AJ35" s="247" t="str">
        <f t="shared" si="32"/>
        <v>NA</v>
      </c>
      <c r="AK35" s="247" t="str">
        <f t="shared" si="33"/>
        <v>NA</v>
      </c>
      <c r="AL35" s="247" t="str">
        <f t="shared" si="34"/>
        <v>NA</v>
      </c>
      <c r="AM35" s="247" t="str">
        <f t="shared" si="35"/>
        <v>NA</v>
      </c>
      <c r="AN35" s="247" t="str">
        <f t="shared" si="36"/>
        <v>NA</v>
      </c>
      <c r="AO35" s="247" t="str">
        <f t="shared" si="37"/>
        <v>NA</v>
      </c>
      <c r="AP35" s="247" t="str">
        <f t="shared" si="38"/>
        <v>NA</v>
      </c>
      <c r="AQ35" s="247" t="str">
        <f t="shared" si="39"/>
        <v>NA</v>
      </c>
      <c r="AR35" s="248" t="str">
        <f t="shared" si="40"/>
        <v>NA</v>
      </c>
      <c r="AS35" s="248" t="str">
        <f t="shared" si="41"/>
        <v>NA</v>
      </c>
      <c r="AT35" s="248" t="str">
        <f t="shared" si="42"/>
        <v>NA</v>
      </c>
      <c r="AU35" s="248" t="str">
        <f t="shared" si="44"/>
        <v>NA</v>
      </c>
      <c r="AV35" s="249" t="str">
        <f t="shared" si="43"/>
        <v>NA</v>
      </c>
    </row>
    <row r="36" spans="1:48" ht="15" customHeight="1" x14ac:dyDescent="0.25">
      <c r="A36" s="175"/>
      <c r="B36" s="181">
        <v>128</v>
      </c>
      <c r="C36" s="155" t="str">
        <f>_xlfn.XLOOKUP(B36,LgProvEntOrgIDs[Advanced Network/Insurer Carrier Org ID],LgProvEntOrgIDs[Advanced Network/Insurance Carrier Overall])</f>
        <v>United Community and Family Services</v>
      </c>
      <c r="D36" s="242">
        <f>SUMIFS(AN_TME_BY[[#All],[Member Months]],AN_TME_BY[[#All],[Insurance Category Code]],2,AN_TME_BY[[#All],[Advanced Network/Insurance Carrier Org ID]],B36)</f>
        <v>0</v>
      </c>
      <c r="E36" s="156" t="str">
        <f>IF(D36=0,"NA",SUMIFS(AN_TME_BY[[#All],[Claims: Hospital Inpatient]],AN_TME_BY[[#All],[Insurance Category Code]],2,AN_TME_BY[[#All],[Advanced Network/Insurance Carrier Org ID]],B36)/D36)</f>
        <v>NA</v>
      </c>
      <c r="F36" s="59" t="str">
        <f>IF(D36=0,"NA",SUMIFS(AN_TME_BY[[#All],[Claims: Hospital Outpatient]],AN_TME_BY[[#All],[Insurance Category Code]],2,AN_TME_BY[[#All],[Advanced Network/Insurance Carrier Org ID]],B36)/D36)</f>
        <v>NA</v>
      </c>
      <c r="G36" s="59" t="str">
        <f>IF(D36=0,"NA",SUMIFS(AN_TME_BY[[#All],[Claims: Professional, Primary Care]],AN_TME_BY[[#All],[Insurance Category Code]],2,AN_TME_BY[[#All],[Advanced Network/Insurance Carrier Org ID]],B36)/D36)</f>
        <v>NA</v>
      </c>
      <c r="H36" s="59" t="str">
        <f>IF(D36=0,"NA",SUMIFS(AN_TME_BY[[#All],[Claims: Professional, Primary Care (for Monitoring Purposes)]],AN_TME_BY[[#All],[Insurance Category Code]],2,AN_TME_BY[[#All],[Advanced Network/Insurance Carrier Org ID]],B36)/D36)</f>
        <v>NA</v>
      </c>
      <c r="I36" s="59" t="str">
        <f>IF(D36=0,"NA",SUMIFS(AN_TME_BY[[#All],[Claims: Professional, Specialty]],AN_TME_BY[[#All],[Insurance Category Code]],2,AN_TME_BY[[#All],[Advanced Network/Insurance Carrier Org ID]],B36)/D36)</f>
        <v>NA</v>
      </c>
      <c r="J36" s="59" t="str">
        <f>IF(D36=0,"NA",SUMIFS(AN_TME_BY[[#All],[Claims: Professional Other]],AN_TME_BY[[#All],[Insurance Category Code]],2,AN_TME_BY[[#All],[Advanced Network/Insurance Carrier Org ID]],B36)/D36)</f>
        <v>NA</v>
      </c>
      <c r="K36" s="59" t="str">
        <f>IF(D36=0,"NA",SUMIFS(AN_TME_BY[[#All],[Claims: Pharmacy]],AN_TME_BY[[#All],[Insurance Category Code]],2,AN_TME_BY[[#All],[Advanced Network/Insurance Carrier Org ID]],B36)/D36)</f>
        <v>NA</v>
      </c>
      <c r="L36" s="59" t="str">
        <f>IF(D36=0,"NA",SUMIFS(AN_TME_BY[[#All],[Claims: Long-Term Care]],AN_TME_BY[[#All],[Insurance Category Code]],2,AN_TME_BY[[#All],[Advanced Network/Insurance Carrier Org ID]],B36)/D36)</f>
        <v>NA</v>
      </c>
      <c r="M36" s="59" t="str">
        <f>IF(D36=0,"NA",SUMIFS(AN_TME_BY[[#All],[Claims: Other]],AN_TME_BY[[#All],[Insurance Category Code]],2,AN_TME_BY[[#All],[Advanced Network/Insurance Carrier Org ID]],B36)/D36)</f>
        <v>NA</v>
      </c>
      <c r="N36" s="158" t="str">
        <f>IF(D36=0,"NA",SUMIFS(AN_TME_BY[[#All],[TOTAL Non-Truncated Unadjusted Claims Expenses]],AN_TME_BY[[#All],[Insurance Category Code]],2,AN_TME_BY[[#All],[Advanced Network/Insurance Carrier Org ID]],B36)/D36)</f>
        <v>NA</v>
      </c>
      <c r="O36" s="158" t="str">
        <f>IF(D36=0,"NA",SUMIFS(AN_TME_BY[[#All],[TOTAL Truncated Unadjusted Claims Expenses (A21 -A19)]],AN_TME_BY[[#All],[Insurance Category Code]],2,AN_TME_BY[[#All],[Advanced Network/Insurance Carrier Org ID]],B36)/D36)</f>
        <v>NA</v>
      </c>
      <c r="P36" s="158" t="str">
        <f>IF(D36=0,"NA",SUMIFS(AN_TME_BY[[#All],[TOTAL Non-Claims Expenses]],AN_TME_BY[[#All],[Insurance Category Code]],2,AN_TME_BY[[#All],[Advanced Network/Insurance Carrier Org ID]],B36)/D36)</f>
        <v>NA</v>
      </c>
      <c r="Q36" s="158" t="str">
        <f>IF(D36=0,"NA",SUMIFS(AN_TME_BY[[#All],[TOTAL Non-Truncated Unadjusted Expenses (A21 + A23)]],AN_TME_BY[[#All],[Insurance Category Code]],2,AN_TME_BY[[#All],[Advanced Network/Insurance Carrier Org ID]],B36)/D36)</f>
        <v>NA</v>
      </c>
      <c r="R36" s="158" t="str">
        <f>IF(D36=0,"NA",SUMIFS(AN_TME_BY[[#All],[TOTAL Truncated Unadjusted Expenses (A22 + A23)]],AN_TME_BY[[#All],[Insurance Category Code]],2,AN_TME_BY[[#All],[Advanced Network/Insurance Carrier Org ID]],B36)/D36)</f>
        <v>NA</v>
      </c>
      <c r="S36" s="242">
        <f>SUMIFS(AN_TME_PY[[#All],[Member Months]],AN_TME_PY[[#All],[Insurance Category Code]],2,AN_TME_PY[[#All],[Advanced Network/Insurance Carrier Org ID]],B36)</f>
        <v>0</v>
      </c>
      <c r="T36" s="156" t="str">
        <f>IF(S36=0,"NA",SUMIFS(AN_TME_PY[[#All],[Claims: Hospital Inpatient]],AN_TME_PY[[#All],[Insurance Category Code]],2,AN_TME_PY[[#All],[Advanced Network/Insurance Carrier Org ID]],B36)/S36)</f>
        <v>NA</v>
      </c>
      <c r="U36" s="59" t="str">
        <f>IF(S36=0,"NA",SUMIFS(AN_TME_PY[[#All],[Claims: Hospital Outpatient]],AN_TME_PY[[#All],[Insurance Category Code]],2,AN_TME_PY[[#All],[Advanced Network/Insurance Carrier Org ID]],B36)/S36)</f>
        <v>NA</v>
      </c>
      <c r="V36" s="59" t="str">
        <f>IF(S36=0,"NA",SUMIFS(AN_TME_PY[[#All],[Claims: Professional, Primary Care]],AN_TME_PY[[#All],[Insurance Category Code]],2,AN_TME_PY[[#All],[Advanced Network/Insurance Carrier Org ID]],B36)/S36)</f>
        <v>NA</v>
      </c>
      <c r="W36" s="59" t="str">
        <f>IF(S36=0,"NA",SUMIFS(AN_TME_PY[[#All],[Claims: Professional, Primary Care (for Monitoring Purposes)]],AN_TME_PY[[#All],[Insurance Category Code]],2,AN_TME_PY[[#All],[Advanced Network/Insurance Carrier Org ID]],B36)/S36)</f>
        <v>NA</v>
      </c>
      <c r="X36" s="59" t="str">
        <f>IF(S36=0,"NA",SUMIFS(AN_TME_PY[[#All],[Claims: Professional, Specialty]],AN_TME_PY[[#All],[Insurance Category Code]],2,AN_TME_PY[[#All],[Advanced Network/Insurance Carrier Org ID]],B36)/S36)</f>
        <v>NA</v>
      </c>
      <c r="Y36" s="59" t="str">
        <f>IF(S36=0,"NA",SUMIFS(AN_TME_PY[[#All],[Claims: Professional Other]],AN_TME_PY[[#All],[Insurance Category Code]],2,AN_TME_PY[[#All],[Advanced Network/Insurance Carrier Org ID]],B36)/S36)</f>
        <v>NA</v>
      </c>
      <c r="Z36" s="59" t="str">
        <f>IF(S36=0,"NA",SUMIFS(AN_TME_PY[[#All],[Claims: Pharmacy]],AN_TME_PY[[#All],[Insurance Category Code]],2,AN_TME_PY[[#All],[Advanced Network/Insurance Carrier Org ID]],B36)/S36)</f>
        <v>NA</v>
      </c>
      <c r="AA36" s="59" t="str">
        <f>IF(S36=0,"NA",SUMIFS(AN_TME_PY[[#All],[Claims: Long-Term Care]],AN_TME_PY[[#All],[Insurance Category Code]],2,AN_TME_PY[[#All],[Advanced Network/Insurance Carrier Org ID]],B36)/S36)</f>
        <v>NA</v>
      </c>
      <c r="AB36" s="59" t="str">
        <f>IF(S36=0,"NA",SUMIFS(AN_TME_PY[[#All],[Claims: Other]],AN_TME_PY[[#All],[Insurance Category Code]],2,AN_TME_PY[[#All],[Advanced Network/Insurance Carrier Org ID]],B36)/S36)</f>
        <v>NA</v>
      </c>
      <c r="AC36" s="158" t="str">
        <f>IF(S36=0,"NA",SUMIFS(AN_TME_PY[[#All],[TOTAL Non-Truncated Unadjusted Claims Expenses]],AN_TME_PY[[#All],[Insurance Category Code]],2,AN_TME_PY[[#All],[Advanced Network/Insurance Carrier Org ID]],B36)/S36)</f>
        <v>NA</v>
      </c>
      <c r="AD36" s="158" t="str">
        <f>IF(S36=0,"NA",SUMIFS(AN_TME_PY[[#All],[TOTAL Truncated Unadjusted Claims Expenses (A21 -A19)]],AN_TME_PY[[#All],[Insurance Category Code]],2,AN_TME_PY[[#All],[Advanced Network/Insurance Carrier Org ID]],B36)/S36)</f>
        <v>NA</v>
      </c>
      <c r="AE36" s="158" t="str">
        <f>IF(S36=0,"NA",SUMIFS(AN_TME_PY[[#All],[TOTAL Non-Claims Expenses]],AN_TME_PY[[#All],[Insurance Category Code]],2,AN_TME_PY[[#All],[Advanced Network/Insurance Carrier Org ID]],B36)/S36)</f>
        <v>NA</v>
      </c>
      <c r="AF36" s="158" t="str">
        <f>IF(S36=0,"NA",SUMIFS(AN_TME_PY[[#All],[TOTAL Non-Truncated Unadjusted Expenses (A21 + A23)]],AN_TME_PY[[#All],[Insurance Category Code]],2,AN_TME_PY[[#All],[Advanced Network/Insurance Carrier Org ID]],B36)/S36)</f>
        <v>NA</v>
      </c>
      <c r="AG36" s="157" t="str">
        <f>IF(S36=0,"NA",SUMIFS(AN_TME_PY[[#All],[TOTAL Truncated Unadjusted Expenses (A22 + A23)]],AN_TME_PY[[#All],[Insurance Category Code]],2,AN_TME_PY[[#All],[Advanced Network/Insurance Carrier Org ID]],B36)/S36)</f>
        <v>NA</v>
      </c>
      <c r="AH36" s="245" t="str">
        <f t="shared" si="30"/>
        <v>NA</v>
      </c>
      <c r="AI36" s="246" t="str">
        <f t="shared" si="31"/>
        <v>NA</v>
      </c>
      <c r="AJ36" s="247" t="str">
        <f t="shared" si="32"/>
        <v>NA</v>
      </c>
      <c r="AK36" s="247" t="str">
        <f t="shared" si="33"/>
        <v>NA</v>
      </c>
      <c r="AL36" s="247" t="str">
        <f t="shared" si="34"/>
        <v>NA</v>
      </c>
      <c r="AM36" s="247" t="str">
        <f t="shared" si="35"/>
        <v>NA</v>
      </c>
      <c r="AN36" s="247" t="str">
        <f t="shared" si="36"/>
        <v>NA</v>
      </c>
      <c r="AO36" s="247" t="str">
        <f t="shared" si="37"/>
        <v>NA</v>
      </c>
      <c r="AP36" s="247" t="str">
        <f t="shared" si="38"/>
        <v>NA</v>
      </c>
      <c r="AQ36" s="247" t="str">
        <f t="shared" si="39"/>
        <v>NA</v>
      </c>
      <c r="AR36" s="248" t="str">
        <f t="shared" si="40"/>
        <v>NA</v>
      </c>
      <c r="AS36" s="248" t="str">
        <f t="shared" si="41"/>
        <v>NA</v>
      </c>
      <c r="AT36" s="248" t="str">
        <f t="shared" si="42"/>
        <v>NA</v>
      </c>
      <c r="AU36" s="248" t="str">
        <f t="shared" si="44"/>
        <v>NA</v>
      </c>
      <c r="AV36" s="249" t="str">
        <f t="shared" si="43"/>
        <v>NA</v>
      </c>
    </row>
    <row r="37" spans="1:48" ht="15" customHeight="1" x14ac:dyDescent="0.25">
      <c r="A37" s="175"/>
      <c r="B37" s="181">
        <v>129</v>
      </c>
      <c r="C37" s="155" t="str">
        <f>_xlfn.XLOOKUP(B37,LgProvEntOrgIDs[Advanced Network/Insurer Carrier Org ID],LgProvEntOrgIDs[Advanced Network/Insurance Carrier Overall])</f>
        <v>Westchester Medical Group PLLC (dba WestMed)</v>
      </c>
      <c r="D37" s="242">
        <f>SUMIFS(AN_TME_BY[[#All],[Member Months]],AN_TME_BY[[#All],[Insurance Category Code]],2,AN_TME_BY[[#All],[Advanced Network/Insurance Carrier Org ID]],B37)</f>
        <v>0</v>
      </c>
      <c r="E37" s="156" t="str">
        <f>IF(D37=0,"NA",SUMIFS(AN_TME_BY[[#All],[Claims: Hospital Inpatient]],AN_TME_BY[[#All],[Insurance Category Code]],2,AN_TME_BY[[#All],[Advanced Network/Insurance Carrier Org ID]],B37)/D37)</f>
        <v>NA</v>
      </c>
      <c r="F37" s="59" t="str">
        <f>IF(D37=0,"NA",SUMIFS(AN_TME_BY[[#All],[Claims: Hospital Outpatient]],AN_TME_BY[[#All],[Insurance Category Code]],2,AN_TME_BY[[#All],[Advanced Network/Insurance Carrier Org ID]],B37)/D37)</f>
        <v>NA</v>
      </c>
      <c r="G37" s="59" t="str">
        <f>IF(D37=0,"NA",SUMIFS(AN_TME_BY[[#All],[Claims: Professional, Primary Care]],AN_TME_BY[[#All],[Insurance Category Code]],2,AN_TME_BY[[#All],[Advanced Network/Insurance Carrier Org ID]],B37)/D37)</f>
        <v>NA</v>
      </c>
      <c r="H37" s="59" t="str">
        <f>IF(D37=0,"NA",SUMIFS(AN_TME_BY[[#All],[Claims: Professional, Primary Care (for Monitoring Purposes)]],AN_TME_BY[[#All],[Insurance Category Code]],2,AN_TME_BY[[#All],[Advanced Network/Insurance Carrier Org ID]],B37)/D37)</f>
        <v>NA</v>
      </c>
      <c r="I37" s="59" t="str">
        <f>IF(D37=0,"NA",SUMIFS(AN_TME_BY[[#All],[Claims: Professional, Specialty]],AN_TME_BY[[#All],[Insurance Category Code]],2,AN_TME_BY[[#All],[Advanced Network/Insurance Carrier Org ID]],B37)/D37)</f>
        <v>NA</v>
      </c>
      <c r="J37" s="59" t="str">
        <f>IF(D37=0,"NA",SUMIFS(AN_TME_BY[[#All],[Claims: Professional Other]],AN_TME_BY[[#All],[Insurance Category Code]],2,AN_TME_BY[[#All],[Advanced Network/Insurance Carrier Org ID]],B37)/D37)</f>
        <v>NA</v>
      </c>
      <c r="K37" s="59" t="str">
        <f>IF(D37=0,"NA",SUMIFS(AN_TME_BY[[#All],[Claims: Pharmacy]],AN_TME_BY[[#All],[Insurance Category Code]],2,AN_TME_BY[[#All],[Advanced Network/Insurance Carrier Org ID]],B37)/D37)</f>
        <v>NA</v>
      </c>
      <c r="L37" s="59" t="str">
        <f>IF(D37=0,"NA",SUMIFS(AN_TME_BY[[#All],[Claims: Long-Term Care]],AN_TME_BY[[#All],[Insurance Category Code]],2,AN_TME_BY[[#All],[Advanced Network/Insurance Carrier Org ID]],B37)/D37)</f>
        <v>NA</v>
      </c>
      <c r="M37" s="59" t="str">
        <f>IF(D37=0,"NA",SUMIFS(AN_TME_BY[[#All],[Claims: Other]],AN_TME_BY[[#All],[Insurance Category Code]],2,AN_TME_BY[[#All],[Advanced Network/Insurance Carrier Org ID]],B37)/D37)</f>
        <v>NA</v>
      </c>
      <c r="N37" s="158" t="str">
        <f>IF(D37=0,"NA",SUMIFS(AN_TME_BY[[#All],[TOTAL Non-Truncated Unadjusted Claims Expenses]],AN_TME_BY[[#All],[Insurance Category Code]],2,AN_TME_BY[[#All],[Advanced Network/Insurance Carrier Org ID]],B37)/D37)</f>
        <v>NA</v>
      </c>
      <c r="O37" s="158" t="str">
        <f>IF(D37=0,"NA",SUMIFS(AN_TME_BY[[#All],[TOTAL Truncated Unadjusted Claims Expenses (A21 -A19)]],AN_TME_BY[[#All],[Insurance Category Code]],2,AN_TME_BY[[#All],[Advanced Network/Insurance Carrier Org ID]],B37)/D37)</f>
        <v>NA</v>
      </c>
      <c r="P37" s="158" t="str">
        <f>IF(D37=0,"NA",SUMIFS(AN_TME_BY[[#All],[TOTAL Non-Claims Expenses]],AN_TME_BY[[#All],[Insurance Category Code]],2,AN_TME_BY[[#All],[Advanced Network/Insurance Carrier Org ID]],B37)/D37)</f>
        <v>NA</v>
      </c>
      <c r="Q37" s="158" t="str">
        <f>IF(D37=0,"NA",SUMIFS(AN_TME_BY[[#All],[TOTAL Non-Truncated Unadjusted Expenses (A21 + A23)]],AN_TME_BY[[#All],[Insurance Category Code]],2,AN_TME_BY[[#All],[Advanced Network/Insurance Carrier Org ID]],B37)/D37)</f>
        <v>NA</v>
      </c>
      <c r="R37" s="158" t="str">
        <f>IF(D37=0,"NA",SUMIFS(AN_TME_BY[[#All],[TOTAL Truncated Unadjusted Expenses (A22 + A23)]],AN_TME_BY[[#All],[Insurance Category Code]],2,AN_TME_BY[[#All],[Advanced Network/Insurance Carrier Org ID]],B37)/D37)</f>
        <v>NA</v>
      </c>
      <c r="S37" s="242">
        <f>SUMIFS(AN_TME_PY[[#All],[Member Months]],AN_TME_PY[[#All],[Insurance Category Code]],2,AN_TME_PY[[#All],[Advanced Network/Insurance Carrier Org ID]],B37)</f>
        <v>0</v>
      </c>
      <c r="T37" s="156" t="str">
        <f>IF(S37=0,"NA",SUMIFS(AN_TME_PY[[#All],[Claims: Hospital Inpatient]],AN_TME_PY[[#All],[Insurance Category Code]],2,AN_TME_PY[[#All],[Advanced Network/Insurance Carrier Org ID]],B37)/S37)</f>
        <v>NA</v>
      </c>
      <c r="U37" s="59" t="str">
        <f>IF(S37=0,"NA",SUMIFS(AN_TME_PY[[#All],[Claims: Hospital Outpatient]],AN_TME_PY[[#All],[Insurance Category Code]],2,AN_TME_PY[[#All],[Advanced Network/Insurance Carrier Org ID]],B37)/S37)</f>
        <v>NA</v>
      </c>
      <c r="V37" s="59" t="str">
        <f>IF(S37=0,"NA",SUMIFS(AN_TME_PY[[#All],[Claims: Professional, Primary Care]],AN_TME_PY[[#All],[Insurance Category Code]],2,AN_TME_PY[[#All],[Advanced Network/Insurance Carrier Org ID]],B37)/S37)</f>
        <v>NA</v>
      </c>
      <c r="W37" s="59" t="str">
        <f>IF(S37=0,"NA",SUMIFS(AN_TME_PY[[#All],[Claims: Professional, Primary Care (for Monitoring Purposes)]],AN_TME_PY[[#All],[Insurance Category Code]],2,AN_TME_PY[[#All],[Advanced Network/Insurance Carrier Org ID]],B37)/S37)</f>
        <v>NA</v>
      </c>
      <c r="X37" s="59" t="str">
        <f>IF(S37=0,"NA",SUMIFS(AN_TME_PY[[#All],[Claims: Professional, Specialty]],AN_TME_PY[[#All],[Insurance Category Code]],2,AN_TME_PY[[#All],[Advanced Network/Insurance Carrier Org ID]],B37)/S37)</f>
        <v>NA</v>
      </c>
      <c r="Y37" s="59" t="str">
        <f>IF(S37=0,"NA",SUMIFS(AN_TME_PY[[#All],[Claims: Professional Other]],AN_TME_PY[[#All],[Insurance Category Code]],2,AN_TME_PY[[#All],[Advanced Network/Insurance Carrier Org ID]],B37)/S37)</f>
        <v>NA</v>
      </c>
      <c r="Z37" s="59" t="str">
        <f>IF(S37=0,"NA",SUMIFS(AN_TME_PY[[#All],[Claims: Pharmacy]],AN_TME_PY[[#All],[Insurance Category Code]],2,AN_TME_PY[[#All],[Advanced Network/Insurance Carrier Org ID]],B37)/S37)</f>
        <v>NA</v>
      </c>
      <c r="AA37" s="59" t="str">
        <f>IF(S37=0,"NA",SUMIFS(AN_TME_PY[[#All],[Claims: Long-Term Care]],AN_TME_PY[[#All],[Insurance Category Code]],2,AN_TME_PY[[#All],[Advanced Network/Insurance Carrier Org ID]],B37)/S37)</f>
        <v>NA</v>
      </c>
      <c r="AB37" s="59" t="str">
        <f>IF(S37=0,"NA",SUMIFS(AN_TME_PY[[#All],[Claims: Other]],AN_TME_PY[[#All],[Insurance Category Code]],2,AN_TME_PY[[#All],[Advanced Network/Insurance Carrier Org ID]],B37)/S37)</f>
        <v>NA</v>
      </c>
      <c r="AC37" s="158" t="str">
        <f>IF(S37=0,"NA",SUMIFS(AN_TME_PY[[#All],[TOTAL Non-Truncated Unadjusted Claims Expenses]],AN_TME_PY[[#All],[Insurance Category Code]],2,AN_TME_PY[[#All],[Advanced Network/Insurance Carrier Org ID]],B37)/S37)</f>
        <v>NA</v>
      </c>
      <c r="AD37" s="158" t="str">
        <f>IF(S37=0,"NA",SUMIFS(AN_TME_PY[[#All],[TOTAL Truncated Unadjusted Claims Expenses (A21 -A19)]],AN_TME_PY[[#All],[Insurance Category Code]],2,AN_TME_PY[[#All],[Advanced Network/Insurance Carrier Org ID]],B37)/S37)</f>
        <v>NA</v>
      </c>
      <c r="AE37" s="158" t="str">
        <f>IF(S37=0,"NA",SUMIFS(AN_TME_PY[[#All],[TOTAL Non-Claims Expenses]],AN_TME_PY[[#All],[Insurance Category Code]],2,AN_TME_PY[[#All],[Advanced Network/Insurance Carrier Org ID]],B37)/S37)</f>
        <v>NA</v>
      </c>
      <c r="AF37" s="158" t="str">
        <f>IF(S37=0,"NA",SUMIFS(AN_TME_PY[[#All],[TOTAL Non-Truncated Unadjusted Expenses (A21 + A23)]],AN_TME_PY[[#All],[Insurance Category Code]],2,AN_TME_PY[[#All],[Advanced Network/Insurance Carrier Org ID]],B37)/S37)</f>
        <v>NA</v>
      </c>
      <c r="AG37" s="157" t="str">
        <f>IF(S37=0,"NA",SUMIFS(AN_TME_PY[[#All],[TOTAL Truncated Unadjusted Expenses (A22 + A23)]],AN_TME_PY[[#All],[Insurance Category Code]],2,AN_TME_PY[[#All],[Advanced Network/Insurance Carrier Org ID]],B37)/S37)</f>
        <v>NA</v>
      </c>
      <c r="AH37" s="245" t="str">
        <f t="shared" si="30"/>
        <v>NA</v>
      </c>
      <c r="AI37" s="246" t="str">
        <f t="shared" si="31"/>
        <v>NA</v>
      </c>
      <c r="AJ37" s="247" t="str">
        <f t="shared" si="32"/>
        <v>NA</v>
      </c>
      <c r="AK37" s="247" t="str">
        <f t="shared" si="33"/>
        <v>NA</v>
      </c>
      <c r="AL37" s="247" t="str">
        <f t="shared" si="34"/>
        <v>NA</v>
      </c>
      <c r="AM37" s="247" t="str">
        <f t="shared" si="35"/>
        <v>NA</v>
      </c>
      <c r="AN37" s="247" t="str">
        <f t="shared" si="36"/>
        <v>NA</v>
      </c>
      <c r="AO37" s="247" t="str">
        <f t="shared" si="37"/>
        <v>NA</v>
      </c>
      <c r="AP37" s="247" t="str">
        <f t="shared" si="38"/>
        <v>NA</v>
      </c>
      <c r="AQ37" s="247" t="str">
        <f t="shared" si="39"/>
        <v>NA</v>
      </c>
      <c r="AR37" s="248" t="str">
        <f t="shared" si="40"/>
        <v>NA</v>
      </c>
      <c r="AS37" s="248" t="str">
        <f t="shared" si="41"/>
        <v>NA</v>
      </c>
      <c r="AT37" s="248" t="str">
        <f t="shared" si="42"/>
        <v>NA</v>
      </c>
      <c r="AU37" s="248" t="str">
        <f t="shared" si="44"/>
        <v>NA</v>
      </c>
      <c r="AV37" s="249" t="str">
        <f t="shared" si="43"/>
        <v>NA</v>
      </c>
    </row>
    <row r="38" spans="1:48" ht="15" customHeight="1" x14ac:dyDescent="0.25">
      <c r="A38" s="175"/>
      <c r="B38" s="181">
        <v>130</v>
      </c>
      <c r="C38" s="155" t="str">
        <f>_xlfn.XLOOKUP(B38,LgProvEntOrgIDs[Advanced Network/Insurer Carrier Org ID],LgProvEntOrgIDs[Advanced Network/Insurance Carrier Overall])</f>
        <v>Wheeler Clinic</v>
      </c>
      <c r="D38" s="242">
        <f>SUMIFS(AN_TME_BY[[#All],[Member Months]],AN_TME_BY[[#All],[Insurance Category Code]],2,AN_TME_BY[[#All],[Advanced Network/Insurance Carrier Org ID]],B38)</f>
        <v>0</v>
      </c>
      <c r="E38" s="156" t="str">
        <f>IF(D38=0,"NA",SUMIFS(AN_TME_BY[[#All],[Claims: Hospital Inpatient]],AN_TME_BY[[#All],[Insurance Category Code]],2,AN_TME_BY[[#All],[Advanced Network/Insurance Carrier Org ID]],B38)/D38)</f>
        <v>NA</v>
      </c>
      <c r="F38" s="59" t="str">
        <f>IF(D38=0,"NA",SUMIFS(AN_TME_BY[[#All],[Claims: Hospital Outpatient]],AN_TME_BY[[#All],[Insurance Category Code]],2,AN_TME_BY[[#All],[Advanced Network/Insurance Carrier Org ID]],B38)/D38)</f>
        <v>NA</v>
      </c>
      <c r="G38" s="59" t="str">
        <f>IF(D38=0,"NA",SUMIFS(AN_TME_BY[[#All],[Claims: Professional, Primary Care]],AN_TME_BY[[#All],[Insurance Category Code]],2,AN_TME_BY[[#All],[Advanced Network/Insurance Carrier Org ID]],B38)/D38)</f>
        <v>NA</v>
      </c>
      <c r="H38" s="59" t="str">
        <f>IF(D38=0,"NA",SUMIFS(AN_TME_BY[[#All],[Claims: Professional, Primary Care (for Monitoring Purposes)]],AN_TME_BY[[#All],[Insurance Category Code]],2,AN_TME_BY[[#All],[Advanced Network/Insurance Carrier Org ID]],B38)/D38)</f>
        <v>NA</v>
      </c>
      <c r="I38" s="59" t="str">
        <f>IF(D38=0,"NA",SUMIFS(AN_TME_BY[[#All],[Claims: Professional, Specialty]],AN_TME_BY[[#All],[Insurance Category Code]],2,AN_TME_BY[[#All],[Advanced Network/Insurance Carrier Org ID]],B38)/D38)</f>
        <v>NA</v>
      </c>
      <c r="J38" s="59" t="str">
        <f>IF(D38=0,"NA",SUMIFS(AN_TME_BY[[#All],[Claims: Professional Other]],AN_TME_BY[[#All],[Insurance Category Code]],2,AN_TME_BY[[#All],[Advanced Network/Insurance Carrier Org ID]],B38)/D38)</f>
        <v>NA</v>
      </c>
      <c r="K38" s="59" t="str">
        <f>IF(D38=0,"NA",SUMIFS(AN_TME_BY[[#All],[Claims: Pharmacy]],AN_TME_BY[[#All],[Insurance Category Code]],2,AN_TME_BY[[#All],[Advanced Network/Insurance Carrier Org ID]],B38)/D38)</f>
        <v>NA</v>
      </c>
      <c r="L38" s="59" t="str">
        <f>IF(D38=0,"NA",SUMIFS(AN_TME_BY[[#All],[Claims: Long-Term Care]],AN_TME_BY[[#All],[Insurance Category Code]],2,AN_TME_BY[[#All],[Advanced Network/Insurance Carrier Org ID]],B38)/D38)</f>
        <v>NA</v>
      </c>
      <c r="M38" s="59" t="str">
        <f>IF(D38=0,"NA",SUMIFS(AN_TME_BY[[#All],[Claims: Other]],AN_TME_BY[[#All],[Insurance Category Code]],2,AN_TME_BY[[#All],[Advanced Network/Insurance Carrier Org ID]],B38)/D38)</f>
        <v>NA</v>
      </c>
      <c r="N38" s="158" t="str">
        <f>IF(D38=0,"NA",SUMIFS(AN_TME_BY[[#All],[TOTAL Non-Truncated Unadjusted Claims Expenses]],AN_TME_BY[[#All],[Insurance Category Code]],2,AN_TME_BY[[#All],[Advanced Network/Insurance Carrier Org ID]],B38)/D38)</f>
        <v>NA</v>
      </c>
      <c r="O38" s="158" t="str">
        <f>IF(D38=0,"NA",SUMIFS(AN_TME_BY[[#All],[TOTAL Truncated Unadjusted Claims Expenses (A21 -A19)]],AN_TME_BY[[#All],[Insurance Category Code]],2,AN_TME_BY[[#All],[Advanced Network/Insurance Carrier Org ID]],B38)/D38)</f>
        <v>NA</v>
      </c>
      <c r="P38" s="158" t="str">
        <f>IF(D38=0,"NA",SUMIFS(AN_TME_BY[[#All],[TOTAL Non-Claims Expenses]],AN_TME_BY[[#All],[Insurance Category Code]],2,AN_TME_BY[[#All],[Advanced Network/Insurance Carrier Org ID]],B38)/D38)</f>
        <v>NA</v>
      </c>
      <c r="Q38" s="158" t="str">
        <f>IF(D38=0,"NA",SUMIFS(AN_TME_BY[[#All],[TOTAL Non-Truncated Unadjusted Expenses (A21 + A23)]],AN_TME_BY[[#All],[Insurance Category Code]],2,AN_TME_BY[[#All],[Advanced Network/Insurance Carrier Org ID]],B38)/D38)</f>
        <v>NA</v>
      </c>
      <c r="R38" s="158" t="str">
        <f>IF(D38=0,"NA",SUMIFS(AN_TME_BY[[#All],[TOTAL Truncated Unadjusted Expenses (A22 + A23)]],AN_TME_BY[[#All],[Insurance Category Code]],2,AN_TME_BY[[#All],[Advanced Network/Insurance Carrier Org ID]],B38)/D38)</f>
        <v>NA</v>
      </c>
      <c r="S38" s="242">
        <f>SUMIFS(AN_TME_PY[[#All],[Member Months]],AN_TME_PY[[#All],[Insurance Category Code]],2,AN_TME_PY[[#All],[Advanced Network/Insurance Carrier Org ID]],B38)</f>
        <v>0</v>
      </c>
      <c r="T38" s="156" t="str">
        <f>IF(S38=0,"NA",SUMIFS(AN_TME_PY[[#All],[Claims: Hospital Inpatient]],AN_TME_PY[[#All],[Insurance Category Code]],2,AN_TME_PY[[#All],[Advanced Network/Insurance Carrier Org ID]],B38)/S38)</f>
        <v>NA</v>
      </c>
      <c r="U38" s="59" t="str">
        <f>IF(S38=0,"NA",SUMIFS(AN_TME_PY[[#All],[Claims: Hospital Outpatient]],AN_TME_PY[[#All],[Insurance Category Code]],2,AN_TME_PY[[#All],[Advanced Network/Insurance Carrier Org ID]],B38)/S38)</f>
        <v>NA</v>
      </c>
      <c r="V38" s="59" t="str">
        <f>IF(S38=0,"NA",SUMIFS(AN_TME_PY[[#All],[Claims: Professional, Primary Care]],AN_TME_PY[[#All],[Insurance Category Code]],2,AN_TME_PY[[#All],[Advanced Network/Insurance Carrier Org ID]],B38)/S38)</f>
        <v>NA</v>
      </c>
      <c r="W38" s="59" t="str">
        <f>IF(S38=0,"NA",SUMIFS(AN_TME_PY[[#All],[Claims: Professional, Primary Care (for Monitoring Purposes)]],AN_TME_PY[[#All],[Insurance Category Code]],2,AN_TME_PY[[#All],[Advanced Network/Insurance Carrier Org ID]],B38)/S38)</f>
        <v>NA</v>
      </c>
      <c r="X38" s="59" t="str">
        <f>IF(S38=0,"NA",SUMIFS(AN_TME_PY[[#All],[Claims: Professional, Specialty]],AN_TME_PY[[#All],[Insurance Category Code]],2,AN_TME_PY[[#All],[Advanced Network/Insurance Carrier Org ID]],B38)/S38)</f>
        <v>NA</v>
      </c>
      <c r="Y38" s="59" t="str">
        <f>IF(S38=0,"NA",SUMIFS(AN_TME_PY[[#All],[Claims: Professional Other]],AN_TME_PY[[#All],[Insurance Category Code]],2,AN_TME_PY[[#All],[Advanced Network/Insurance Carrier Org ID]],B38)/S38)</f>
        <v>NA</v>
      </c>
      <c r="Z38" s="59" t="str">
        <f>IF(S38=0,"NA",SUMIFS(AN_TME_PY[[#All],[Claims: Pharmacy]],AN_TME_PY[[#All],[Insurance Category Code]],2,AN_TME_PY[[#All],[Advanced Network/Insurance Carrier Org ID]],B38)/S38)</f>
        <v>NA</v>
      </c>
      <c r="AA38" s="59" t="str">
        <f>IF(S38=0,"NA",SUMIFS(AN_TME_PY[[#All],[Claims: Long-Term Care]],AN_TME_PY[[#All],[Insurance Category Code]],2,AN_TME_PY[[#All],[Advanced Network/Insurance Carrier Org ID]],B38)/S38)</f>
        <v>NA</v>
      </c>
      <c r="AB38" s="59" t="str">
        <f>IF(S38=0,"NA",SUMIFS(AN_TME_PY[[#All],[Claims: Other]],AN_TME_PY[[#All],[Insurance Category Code]],2,AN_TME_PY[[#All],[Advanced Network/Insurance Carrier Org ID]],B38)/S38)</f>
        <v>NA</v>
      </c>
      <c r="AC38" s="158" t="str">
        <f>IF(S38=0,"NA",SUMIFS(AN_TME_PY[[#All],[TOTAL Non-Truncated Unadjusted Claims Expenses]],AN_TME_PY[[#All],[Insurance Category Code]],2,AN_TME_PY[[#All],[Advanced Network/Insurance Carrier Org ID]],B38)/S38)</f>
        <v>NA</v>
      </c>
      <c r="AD38" s="158" t="str">
        <f>IF(S38=0,"NA",SUMIFS(AN_TME_PY[[#All],[TOTAL Truncated Unadjusted Claims Expenses (A21 -A19)]],AN_TME_PY[[#All],[Insurance Category Code]],2,AN_TME_PY[[#All],[Advanced Network/Insurance Carrier Org ID]],B38)/S38)</f>
        <v>NA</v>
      </c>
      <c r="AE38" s="158" t="str">
        <f>IF(S38=0,"NA",SUMIFS(AN_TME_PY[[#All],[TOTAL Non-Claims Expenses]],AN_TME_PY[[#All],[Insurance Category Code]],2,AN_TME_PY[[#All],[Advanced Network/Insurance Carrier Org ID]],B38)/S38)</f>
        <v>NA</v>
      </c>
      <c r="AF38" s="158" t="str">
        <f>IF(S38=0,"NA",SUMIFS(AN_TME_PY[[#All],[TOTAL Non-Truncated Unadjusted Expenses (A21 + A23)]],AN_TME_PY[[#All],[Insurance Category Code]],2,AN_TME_PY[[#All],[Advanced Network/Insurance Carrier Org ID]],B38)/S38)</f>
        <v>NA</v>
      </c>
      <c r="AG38" s="157" t="str">
        <f>IF(S38=0,"NA",SUMIFS(AN_TME_PY[[#All],[TOTAL Truncated Unadjusted Expenses (A22 + A23)]],AN_TME_PY[[#All],[Insurance Category Code]],2,AN_TME_PY[[#All],[Advanced Network/Insurance Carrier Org ID]],B38)/S38)</f>
        <v>NA</v>
      </c>
      <c r="AH38" s="245" t="str">
        <f t="shared" si="30"/>
        <v>NA</v>
      </c>
      <c r="AI38" s="246" t="str">
        <f t="shared" si="31"/>
        <v>NA</v>
      </c>
      <c r="AJ38" s="247" t="str">
        <f t="shared" si="32"/>
        <v>NA</v>
      </c>
      <c r="AK38" s="247" t="str">
        <f t="shared" si="33"/>
        <v>NA</v>
      </c>
      <c r="AL38" s="247" t="str">
        <f t="shared" si="34"/>
        <v>NA</v>
      </c>
      <c r="AM38" s="247" t="str">
        <f t="shared" si="35"/>
        <v>NA</v>
      </c>
      <c r="AN38" s="247" t="str">
        <f t="shared" si="36"/>
        <v>NA</v>
      </c>
      <c r="AO38" s="247" t="str">
        <f t="shared" si="37"/>
        <v>NA</v>
      </c>
      <c r="AP38" s="247" t="str">
        <f t="shared" si="38"/>
        <v>NA</v>
      </c>
      <c r="AQ38" s="247" t="str">
        <f t="shared" si="39"/>
        <v>NA</v>
      </c>
      <c r="AR38" s="248" t="str">
        <f t="shared" si="40"/>
        <v>NA</v>
      </c>
      <c r="AS38" s="248" t="str">
        <f t="shared" si="41"/>
        <v>NA</v>
      </c>
      <c r="AT38" s="248" t="str">
        <f t="shared" si="42"/>
        <v>NA</v>
      </c>
      <c r="AU38" s="248" t="str">
        <f t="shared" si="44"/>
        <v>NA</v>
      </c>
      <c r="AV38" s="249" t="str">
        <f t="shared" si="43"/>
        <v>NA</v>
      </c>
    </row>
    <row r="39" spans="1:48" ht="15" customHeight="1" x14ac:dyDescent="0.25">
      <c r="A39" s="175"/>
      <c r="B39" s="181">
        <v>131</v>
      </c>
      <c r="C39" s="155" t="str">
        <f>_xlfn.XLOOKUP(B39,LgProvEntOrgIDs[Advanced Network/Insurer Carrier Org ID],LgProvEntOrgIDs[Advanced Network/Insurance Carrier Overall])</f>
        <v>Yale Medicine</v>
      </c>
      <c r="D39" s="242">
        <f>SUMIFS(AN_TME_BY[[#All],[Member Months]],AN_TME_BY[[#All],[Insurance Category Code]],2,AN_TME_BY[[#All],[Advanced Network/Insurance Carrier Org ID]],B39)</f>
        <v>0</v>
      </c>
      <c r="E39" s="156" t="str">
        <f>IF(D39=0,"NA",SUMIFS(AN_TME_BY[[#All],[Claims: Hospital Inpatient]],AN_TME_BY[[#All],[Insurance Category Code]],2,AN_TME_BY[[#All],[Advanced Network/Insurance Carrier Org ID]],B39)/D39)</f>
        <v>NA</v>
      </c>
      <c r="F39" s="59" t="str">
        <f>IF(D39=0,"NA",SUMIFS(AN_TME_BY[[#All],[Claims: Hospital Outpatient]],AN_TME_BY[[#All],[Insurance Category Code]],2,AN_TME_BY[[#All],[Advanced Network/Insurance Carrier Org ID]],B39)/D39)</f>
        <v>NA</v>
      </c>
      <c r="G39" s="59" t="str">
        <f>IF(D39=0,"NA",SUMIFS(AN_TME_BY[[#All],[Claims: Professional, Primary Care]],AN_TME_BY[[#All],[Insurance Category Code]],2,AN_TME_BY[[#All],[Advanced Network/Insurance Carrier Org ID]],B39)/D39)</f>
        <v>NA</v>
      </c>
      <c r="H39" s="59" t="str">
        <f>IF(D39=0,"NA",SUMIFS(AN_TME_BY[[#All],[Claims: Professional, Primary Care (for Monitoring Purposes)]],AN_TME_BY[[#All],[Insurance Category Code]],2,AN_TME_BY[[#All],[Advanced Network/Insurance Carrier Org ID]],B39)/D39)</f>
        <v>NA</v>
      </c>
      <c r="I39" s="59" t="str">
        <f>IF(D39=0,"NA",SUMIFS(AN_TME_BY[[#All],[Claims: Professional, Specialty]],AN_TME_BY[[#All],[Insurance Category Code]],2,AN_TME_BY[[#All],[Advanced Network/Insurance Carrier Org ID]],B39)/D39)</f>
        <v>NA</v>
      </c>
      <c r="J39" s="59" t="str">
        <f>IF(D39=0,"NA",SUMIFS(AN_TME_BY[[#All],[Claims: Professional Other]],AN_TME_BY[[#All],[Insurance Category Code]],2,AN_TME_BY[[#All],[Advanced Network/Insurance Carrier Org ID]],B39)/D39)</f>
        <v>NA</v>
      </c>
      <c r="K39" s="59" t="str">
        <f>IF(D39=0,"NA",SUMIFS(AN_TME_BY[[#All],[Claims: Pharmacy]],AN_TME_BY[[#All],[Insurance Category Code]],2,AN_TME_BY[[#All],[Advanced Network/Insurance Carrier Org ID]],B39)/D39)</f>
        <v>NA</v>
      </c>
      <c r="L39" s="59" t="str">
        <f>IF(D39=0,"NA",SUMIFS(AN_TME_BY[[#All],[Claims: Long-Term Care]],AN_TME_BY[[#All],[Insurance Category Code]],2,AN_TME_BY[[#All],[Advanced Network/Insurance Carrier Org ID]],B39)/D39)</f>
        <v>NA</v>
      </c>
      <c r="M39" s="59" t="str">
        <f>IF(D39=0,"NA",SUMIFS(AN_TME_BY[[#All],[Claims: Other]],AN_TME_BY[[#All],[Insurance Category Code]],2,AN_TME_BY[[#All],[Advanced Network/Insurance Carrier Org ID]],B39)/D39)</f>
        <v>NA</v>
      </c>
      <c r="N39" s="158" t="str">
        <f>IF(D39=0,"NA",SUMIFS(AN_TME_BY[[#All],[TOTAL Non-Truncated Unadjusted Claims Expenses]],AN_TME_BY[[#All],[Insurance Category Code]],2,AN_TME_BY[[#All],[Advanced Network/Insurance Carrier Org ID]],B39)/D39)</f>
        <v>NA</v>
      </c>
      <c r="O39" s="158" t="str">
        <f>IF(D39=0,"NA",SUMIFS(AN_TME_BY[[#All],[TOTAL Truncated Unadjusted Claims Expenses (A21 -A19)]],AN_TME_BY[[#All],[Insurance Category Code]],2,AN_TME_BY[[#All],[Advanced Network/Insurance Carrier Org ID]],B39)/D39)</f>
        <v>NA</v>
      </c>
      <c r="P39" s="158" t="str">
        <f>IF(D39=0,"NA",SUMIFS(AN_TME_BY[[#All],[TOTAL Non-Claims Expenses]],AN_TME_BY[[#All],[Insurance Category Code]],2,AN_TME_BY[[#All],[Advanced Network/Insurance Carrier Org ID]],B39)/D39)</f>
        <v>NA</v>
      </c>
      <c r="Q39" s="158" t="str">
        <f>IF(D39=0,"NA",SUMIFS(AN_TME_BY[[#All],[TOTAL Non-Truncated Unadjusted Expenses (A21 + A23)]],AN_TME_BY[[#All],[Insurance Category Code]],2,AN_TME_BY[[#All],[Advanced Network/Insurance Carrier Org ID]],B39)/D39)</f>
        <v>NA</v>
      </c>
      <c r="R39" s="158" t="str">
        <f>IF(D39=0,"NA",SUMIFS(AN_TME_BY[[#All],[TOTAL Truncated Unadjusted Expenses (A22 + A23)]],AN_TME_BY[[#All],[Insurance Category Code]],2,AN_TME_BY[[#All],[Advanced Network/Insurance Carrier Org ID]],B39)/D39)</f>
        <v>NA</v>
      </c>
      <c r="S39" s="242">
        <f>SUMIFS(AN_TME_PY[[#All],[Member Months]],AN_TME_PY[[#All],[Insurance Category Code]],2,AN_TME_PY[[#All],[Advanced Network/Insurance Carrier Org ID]],B39)</f>
        <v>0</v>
      </c>
      <c r="T39" s="156" t="str">
        <f>IF(S39=0,"NA",SUMIFS(AN_TME_PY[[#All],[Claims: Hospital Inpatient]],AN_TME_PY[[#All],[Insurance Category Code]],2,AN_TME_PY[[#All],[Advanced Network/Insurance Carrier Org ID]],B39)/S39)</f>
        <v>NA</v>
      </c>
      <c r="U39" s="59" t="str">
        <f>IF(S39=0,"NA",SUMIFS(AN_TME_PY[[#All],[Claims: Hospital Outpatient]],AN_TME_PY[[#All],[Insurance Category Code]],2,AN_TME_PY[[#All],[Advanced Network/Insurance Carrier Org ID]],B39)/S39)</f>
        <v>NA</v>
      </c>
      <c r="V39" s="59" t="str">
        <f>IF(S39=0,"NA",SUMIFS(AN_TME_PY[[#All],[Claims: Professional, Primary Care]],AN_TME_PY[[#All],[Insurance Category Code]],2,AN_TME_PY[[#All],[Advanced Network/Insurance Carrier Org ID]],B39)/S39)</f>
        <v>NA</v>
      </c>
      <c r="W39" s="59" t="str">
        <f>IF(S39=0,"NA",SUMIFS(AN_TME_PY[[#All],[Claims: Professional, Primary Care (for Monitoring Purposes)]],AN_TME_PY[[#All],[Insurance Category Code]],2,AN_TME_PY[[#All],[Advanced Network/Insurance Carrier Org ID]],B39)/S39)</f>
        <v>NA</v>
      </c>
      <c r="X39" s="59" t="str">
        <f>IF(S39=0,"NA",SUMIFS(AN_TME_PY[[#All],[Claims: Professional, Specialty]],AN_TME_PY[[#All],[Insurance Category Code]],2,AN_TME_PY[[#All],[Advanced Network/Insurance Carrier Org ID]],B39)/S39)</f>
        <v>NA</v>
      </c>
      <c r="Y39" s="59" t="str">
        <f>IF(S39=0,"NA",SUMIFS(AN_TME_PY[[#All],[Claims: Professional Other]],AN_TME_PY[[#All],[Insurance Category Code]],2,AN_TME_PY[[#All],[Advanced Network/Insurance Carrier Org ID]],B39)/S39)</f>
        <v>NA</v>
      </c>
      <c r="Z39" s="59" t="str">
        <f>IF(S39=0,"NA",SUMIFS(AN_TME_PY[[#All],[Claims: Pharmacy]],AN_TME_PY[[#All],[Insurance Category Code]],2,AN_TME_PY[[#All],[Advanced Network/Insurance Carrier Org ID]],B39)/S39)</f>
        <v>NA</v>
      </c>
      <c r="AA39" s="59" t="str">
        <f>IF(S39=0,"NA",SUMIFS(AN_TME_PY[[#All],[Claims: Long-Term Care]],AN_TME_PY[[#All],[Insurance Category Code]],2,AN_TME_PY[[#All],[Advanced Network/Insurance Carrier Org ID]],B39)/S39)</f>
        <v>NA</v>
      </c>
      <c r="AB39" s="59" t="str">
        <f>IF(S39=0,"NA",SUMIFS(AN_TME_PY[[#All],[Claims: Other]],AN_TME_PY[[#All],[Insurance Category Code]],2,AN_TME_PY[[#All],[Advanced Network/Insurance Carrier Org ID]],B39)/S39)</f>
        <v>NA</v>
      </c>
      <c r="AC39" s="158" t="str">
        <f>IF(S39=0,"NA",SUMIFS(AN_TME_PY[[#All],[TOTAL Non-Truncated Unadjusted Claims Expenses]],AN_TME_PY[[#All],[Insurance Category Code]],2,AN_TME_PY[[#All],[Advanced Network/Insurance Carrier Org ID]],B39)/S39)</f>
        <v>NA</v>
      </c>
      <c r="AD39" s="158" t="str">
        <f>IF(S39=0,"NA",SUMIFS(AN_TME_PY[[#All],[TOTAL Truncated Unadjusted Claims Expenses (A21 -A19)]],AN_TME_PY[[#All],[Insurance Category Code]],2,AN_TME_PY[[#All],[Advanced Network/Insurance Carrier Org ID]],B39)/S39)</f>
        <v>NA</v>
      </c>
      <c r="AE39" s="158" t="str">
        <f>IF(S39=0,"NA",SUMIFS(AN_TME_PY[[#All],[TOTAL Non-Claims Expenses]],AN_TME_PY[[#All],[Insurance Category Code]],2,AN_TME_PY[[#All],[Advanced Network/Insurance Carrier Org ID]],B39)/S39)</f>
        <v>NA</v>
      </c>
      <c r="AF39" s="158" t="str">
        <f>IF(S39=0,"NA",SUMIFS(AN_TME_PY[[#All],[TOTAL Non-Truncated Unadjusted Expenses (A21 + A23)]],AN_TME_PY[[#All],[Insurance Category Code]],2,AN_TME_PY[[#All],[Advanced Network/Insurance Carrier Org ID]],B39)/S39)</f>
        <v>NA</v>
      </c>
      <c r="AG39" s="157" t="str">
        <f>IF(S39=0,"NA",SUMIFS(AN_TME_PY[[#All],[TOTAL Truncated Unadjusted Expenses (A22 + A23)]],AN_TME_PY[[#All],[Insurance Category Code]],2,AN_TME_PY[[#All],[Advanced Network/Insurance Carrier Org ID]],B39)/S39)</f>
        <v>NA</v>
      </c>
      <c r="AH39" s="245" t="str">
        <f t="shared" si="30"/>
        <v>NA</v>
      </c>
      <c r="AI39" s="246" t="str">
        <f t="shared" si="31"/>
        <v>NA</v>
      </c>
      <c r="AJ39" s="247" t="str">
        <f t="shared" si="32"/>
        <v>NA</v>
      </c>
      <c r="AK39" s="247" t="str">
        <f t="shared" si="33"/>
        <v>NA</v>
      </c>
      <c r="AL39" s="247" t="str">
        <f t="shared" si="34"/>
        <v>NA</v>
      </c>
      <c r="AM39" s="247" t="str">
        <f t="shared" si="35"/>
        <v>NA</v>
      </c>
      <c r="AN39" s="247" t="str">
        <f t="shared" si="36"/>
        <v>NA</v>
      </c>
      <c r="AO39" s="247" t="str">
        <f t="shared" si="37"/>
        <v>NA</v>
      </c>
      <c r="AP39" s="247" t="str">
        <f t="shared" si="38"/>
        <v>NA</v>
      </c>
      <c r="AQ39" s="247" t="str">
        <f t="shared" si="39"/>
        <v>NA</v>
      </c>
      <c r="AR39" s="248" t="str">
        <f t="shared" si="40"/>
        <v>NA</v>
      </c>
      <c r="AS39" s="248" t="str">
        <f t="shared" si="41"/>
        <v>NA</v>
      </c>
      <c r="AT39" s="248" t="str">
        <f t="shared" si="42"/>
        <v>NA</v>
      </c>
      <c r="AU39" s="248" t="str">
        <f t="shared" si="44"/>
        <v>NA</v>
      </c>
      <c r="AV39" s="249" t="str">
        <f t="shared" si="43"/>
        <v>NA</v>
      </c>
    </row>
    <row r="40" spans="1:48" ht="15" customHeight="1" x14ac:dyDescent="0.25">
      <c r="A40" s="175"/>
      <c r="B40" s="181">
        <v>132</v>
      </c>
      <c r="C40" s="155" t="str">
        <f>_xlfn.XLOOKUP(B40,LgProvEntOrgIDs[Advanced Network/Insurer Carrier Org ID],LgProvEntOrgIDs[Advanced Network/Insurance Carrier Overall])</f>
        <v>InterCommunity Health Care</v>
      </c>
      <c r="D40" s="242">
        <f>SUMIFS(AN_TME_BY[[#All],[Member Months]],AN_TME_BY[[#All],[Insurance Category Code]],2,AN_TME_BY[[#All],[Advanced Network/Insurance Carrier Org ID]],B40)</f>
        <v>0</v>
      </c>
      <c r="E40" s="156" t="str">
        <f>IF(D40=0,"NA",SUMIFS(AN_TME_BY[[#All],[Claims: Hospital Inpatient]],AN_TME_BY[[#All],[Insurance Category Code]],2,AN_TME_BY[[#All],[Advanced Network/Insurance Carrier Org ID]],B40)/D40)</f>
        <v>NA</v>
      </c>
      <c r="F40" s="59" t="str">
        <f>IF(D40=0,"NA",SUMIFS(AN_TME_BY[[#All],[Claims: Hospital Outpatient]],AN_TME_BY[[#All],[Insurance Category Code]],2,AN_TME_BY[[#All],[Advanced Network/Insurance Carrier Org ID]],B40)/D40)</f>
        <v>NA</v>
      </c>
      <c r="G40" s="59" t="str">
        <f>IF(D40=0,"NA",SUMIFS(AN_TME_BY[[#All],[Claims: Professional, Primary Care]],AN_TME_BY[[#All],[Insurance Category Code]],2,AN_TME_BY[[#All],[Advanced Network/Insurance Carrier Org ID]],B40)/D40)</f>
        <v>NA</v>
      </c>
      <c r="H40" s="59" t="str">
        <f>IF(D40=0,"NA",SUMIFS(AN_TME_BY[[#All],[Claims: Professional, Primary Care (for Monitoring Purposes)]],AN_TME_BY[[#All],[Insurance Category Code]],2,AN_TME_BY[[#All],[Advanced Network/Insurance Carrier Org ID]],B40)/D40)</f>
        <v>NA</v>
      </c>
      <c r="I40" s="59" t="str">
        <f>IF(D40=0,"NA",SUMIFS(AN_TME_BY[[#All],[Claims: Professional, Specialty]],AN_TME_BY[[#All],[Insurance Category Code]],2,AN_TME_BY[[#All],[Advanced Network/Insurance Carrier Org ID]],B40)/D40)</f>
        <v>NA</v>
      </c>
      <c r="J40" s="59" t="str">
        <f>IF(D40=0,"NA",SUMIFS(AN_TME_BY[[#All],[Claims: Professional Other]],AN_TME_BY[[#All],[Insurance Category Code]],2,AN_TME_BY[[#All],[Advanced Network/Insurance Carrier Org ID]],B40)/D40)</f>
        <v>NA</v>
      </c>
      <c r="K40" s="59" t="str">
        <f>IF(D40=0,"NA",SUMIFS(AN_TME_BY[[#All],[Claims: Pharmacy]],AN_TME_BY[[#All],[Insurance Category Code]],2,AN_TME_BY[[#All],[Advanced Network/Insurance Carrier Org ID]],B40)/D40)</f>
        <v>NA</v>
      </c>
      <c r="L40" s="59" t="str">
        <f>IF(D40=0,"NA",SUMIFS(AN_TME_BY[[#All],[Claims: Long-Term Care]],AN_TME_BY[[#All],[Insurance Category Code]],2,AN_TME_BY[[#All],[Advanced Network/Insurance Carrier Org ID]],B40)/D40)</f>
        <v>NA</v>
      </c>
      <c r="M40" s="59" t="str">
        <f>IF(D40=0,"NA",SUMIFS(AN_TME_BY[[#All],[Claims: Other]],AN_TME_BY[[#All],[Insurance Category Code]],2,AN_TME_BY[[#All],[Advanced Network/Insurance Carrier Org ID]],B40)/D40)</f>
        <v>NA</v>
      </c>
      <c r="N40" s="158" t="str">
        <f>IF(D40=0,"NA",SUMIFS(AN_TME_BY[[#All],[TOTAL Non-Truncated Unadjusted Claims Expenses]],AN_TME_BY[[#All],[Insurance Category Code]],2,AN_TME_BY[[#All],[Advanced Network/Insurance Carrier Org ID]],B40)/D40)</f>
        <v>NA</v>
      </c>
      <c r="O40" s="158" t="str">
        <f>IF(D40=0,"NA",SUMIFS(AN_TME_BY[[#All],[TOTAL Truncated Unadjusted Claims Expenses (A21 -A19)]],AN_TME_BY[[#All],[Insurance Category Code]],2,AN_TME_BY[[#All],[Advanced Network/Insurance Carrier Org ID]],B40)/D40)</f>
        <v>NA</v>
      </c>
      <c r="P40" s="158" t="str">
        <f>IF(D40=0,"NA",SUMIFS(AN_TME_BY[[#All],[TOTAL Non-Claims Expenses]],AN_TME_BY[[#All],[Insurance Category Code]],2,AN_TME_BY[[#All],[Advanced Network/Insurance Carrier Org ID]],B40)/D40)</f>
        <v>NA</v>
      </c>
      <c r="Q40" s="158" t="str">
        <f>IF(D40=0,"NA",SUMIFS(AN_TME_BY[[#All],[TOTAL Non-Truncated Unadjusted Expenses (A21 + A23)]],AN_TME_BY[[#All],[Insurance Category Code]],2,AN_TME_BY[[#All],[Advanced Network/Insurance Carrier Org ID]],B40)/D40)</f>
        <v>NA</v>
      </c>
      <c r="R40" s="158" t="str">
        <f>IF(D40=0,"NA",SUMIFS(AN_TME_BY[[#All],[TOTAL Truncated Unadjusted Expenses (A22 + A23)]],AN_TME_BY[[#All],[Insurance Category Code]],2,AN_TME_BY[[#All],[Advanced Network/Insurance Carrier Org ID]],B40)/D40)</f>
        <v>NA</v>
      </c>
      <c r="S40" s="242">
        <f>SUMIFS(AN_TME_PY[[#All],[Member Months]],AN_TME_PY[[#All],[Insurance Category Code]],2,AN_TME_PY[[#All],[Advanced Network/Insurance Carrier Org ID]],B40)</f>
        <v>0</v>
      </c>
      <c r="T40" s="156" t="str">
        <f>IF(S40=0,"NA",SUMIFS(AN_TME_PY[[#All],[Claims: Hospital Inpatient]],AN_TME_PY[[#All],[Insurance Category Code]],2,AN_TME_PY[[#All],[Advanced Network/Insurance Carrier Org ID]],B40)/S40)</f>
        <v>NA</v>
      </c>
      <c r="U40" s="59" t="str">
        <f>IF(S40=0,"NA",SUMIFS(AN_TME_PY[[#All],[Claims: Hospital Outpatient]],AN_TME_PY[[#All],[Insurance Category Code]],2,AN_TME_PY[[#All],[Advanced Network/Insurance Carrier Org ID]],B40)/S40)</f>
        <v>NA</v>
      </c>
      <c r="V40" s="59" t="str">
        <f>IF(S40=0,"NA",SUMIFS(AN_TME_PY[[#All],[Claims: Professional, Primary Care]],AN_TME_PY[[#All],[Insurance Category Code]],2,AN_TME_PY[[#All],[Advanced Network/Insurance Carrier Org ID]],B40)/S40)</f>
        <v>NA</v>
      </c>
      <c r="W40" s="59" t="str">
        <f>IF(S40=0,"NA",SUMIFS(AN_TME_PY[[#All],[Claims: Professional, Primary Care (for Monitoring Purposes)]],AN_TME_PY[[#All],[Insurance Category Code]],2,AN_TME_PY[[#All],[Advanced Network/Insurance Carrier Org ID]],B40)/S40)</f>
        <v>NA</v>
      </c>
      <c r="X40" s="59" t="str">
        <f>IF(S40=0,"NA",SUMIFS(AN_TME_PY[[#All],[Claims: Professional, Specialty]],AN_TME_PY[[#All],[Insurance Category Code]],2,AN_TME_PY[[#All],[Advanced Network/Insurance Carrier Org ID]],B40)/S40)</f>
        <v>NA</v>
      </c>
      <c r="Y40" s="59" t="str">
        <f>IF(S40=0,"NA",SUMIFS(AN_TME_PY[[#All],[Claims: Professional Other]],AN_TME_PY[[#All],[Insurance Category Code]],2,AN_TME_PY[[#All],[Advanced Network/Insurance Carrier Org ID]],B40)/S40)</f>
        <v>NA</v>
      </c>
      <c r="Z40" s="59" t="str">
        <f>IF(S40=0,"NA",SUMIFS(AN_TME_PY[[#All],[Claims: Pharmacy]],AN_TME_PY[[#All],[Insurance Category Code]],2,AN_TME_PY[[#All],[Advanced Network/Insurance Carrier Org ID]],B40)/S40)</f>
        <v>NA</v>
      </c>
      <c r="AA40" s="59" t="str">
        <f>IF(S40=0,"NA",SUMIFS(AN_TME_PY[[#All],[Claims: Long-Term Care]],AN_TME_PY[[#All],[Insurance Category Code]],2,AN_TME_PY[[#All],[Advanced Network/Insurance Carrier Org ID]],B40)/S40)</f>
        <v>NA</v>
      </c>
      <c r="AB40" s="59" t="str">
        <f>IF(S40=0,"NA",SUMIFS(AN_TME_PY[[#All],[Claims: Other]],AN_TME_PY[[#All],[Insurance Category Code]],2,AN_TME_PY[[#All],[Advanced Network/Insurance Carrier Org ID]],B40)/S40)</f>
        <v>NA</v>
      </c>
      <c r="AC40" s="158" t="str">
        <f>IF(S40=0,"NA",SUMIFS(AN_TME_PY[[#All],[TOTAL Non-Truncated Unadjusted Claims Expenses]],AN_TME_PY[[#All],[Insurance Category Code]],2,AN_TME_PY[[#All],[Advanced Network/Insurance Carrier Org ID]],B40)/S40)</f>
        <v>NA</v>
      </c>
      <c r="AD40" s="158" t="str">
        <f>IF(S40=0,"NA",SUMIFS(AN_TME_PY[[#All],[TOTAL Truncated Unadjusted Claims Expenses (A21 -A19)]],AN_TME_PY[[#All],[Insurance Category Code]],2,AN_TME_PY[[#All],[Advanced Network/Insurance Carrier Org ID]],B40)/S40)</f>
        <v>NA</v>
      </c>
      <c r="AE40" s="158" t="str">
        <f>IF(S40=0,"NA",SUMIFS(AN_TME_PY[[#All],[TOTAL Non-Claims Expenses]],AN_TME_PY[[#All],[Insurance Category Code]],2,AN_TME_PY[[#All],[Advanced Network/Insurance Carrier Org ID]],B40)/S40)</f>
        <v>NA</v>
      </c>
      <c r="AF40" s="158" t="str">
        <f>IF(S40=0,"NA",SUMIFS(AN_TME_PY[[#All],[TOTAL Non-Truncated Unadjusted Expenses (A21 + A23)]],AN_TME_PY[[#All],[Insurance Category Code]],2,AN_TME_PY[[#All],[Advanced Network/Insurance Carrier Org ID]],B40)/S40)</f>
        <v>NA</v>
      </c>
      <c r="AG40" s="157" t="str">
        <f>IF(S40=0,"NA",SUMIFS(AN_TME_PY[[#All],[TOTAL Truncated Unadjusted Expenses (A22 + A23)]],AN_TME_PY[[#All],[Insurance Category Code]],2,AN_TME_PY[[#All],[Advanced Network/Insurance Carrier Org ID]],B40)/S40)</f>
        <v>NA</v>
      </c>
      <c r="AH40" s="245" t="str">
        <f t="shared" ref="AH40:AH42" si="45">IF(D40=0,"NA",S40/D40-1)</f>
        <v>NA</v>
      </c>
      <c r="AI40" s="246" t="str">
        <f t="shared" ref="AI40:AI42" si="46">IF(D40=0,"NA",T40/E40-1)</f>
        <v>NA</v>
      </c>
      <c r="AJ40" s="247" t="str">
        <f t="shared" ref="AJ40:AJ42" si="47">IF(D40=0,"NA",U40/F40-1)</f>
        <v>NA</v>
      </c>
      <c r="AK40" s="247" t="str">
        <f t="shared" ref="AK40:AK42" si="48">IF(D40=0,"NA",V40/G40-1)</f>
        <v>NA</v>
      </c>
      <c r="AL40" s="247" t="str">
        <f t="shared" ref="AL40:AL42" si="49">IF(D40=0,"NA",W40/H40-1)</f>
        <v>NA</v>
      </c>
      <c r="AM40" s="247" t="str">
        <f t="shared" ref="AM40:AM42" si="50">IF(D40=0,"NA",X40/I40-1)</f>
        <v>NA</v>
      </c>
      <c r="AN40" s="247" t="str">
        <f t="shared" ref="AN40:AN42" si="51">IF(D40=0,"NA",Y40/J40-1)</f>
        <v>NA</v>
      </c>
      <c r="AO40" s="247" t="str">
        <f t="shared" ref="AO40:AO42" si="52">IF(D40=0,"NA",Z40/K40-1)</f>
        <v>NA</v>
      </c>
      <c r="AP40" s="247" t="str">
        <f t="shared" ref="AP40:AP42" si="53">IF(D40=0,"NA",AA40/L40-1)</f>
        <v>NA</v>
      </c>
      <c r="AQ40" s="247" t="str">
        <f t="shared" ref="AQ40:AQ42" si="54">IF(D40=0,"NA",AB40/M40-1)</f>
        <v>NA</v>
      </c>
      <c r="AR40" s="248" t="str">
        <f t="shared" ref="AR40:AR42" si="55">IF(D40=0,"NA",AC40/N40-1)</f>
        <v>NA</v>
      </c>
      <c r="AS40" s="248" t="str">
        <f t="shared" ref="AS40:AS42" si="56">IF(D40=0,"NA",AD40/O40-1)</f>
        <v>NA</v>
      </c>
      <c r="AT40" s="248" t="str">
        <f t="shared" ref="AT40:AT42" si="57">IF(D40=0,"NA",AE40/P40-1)</f>
        <v>NA</v>
      </c>
      <c r="AU40" s="248" t="str">
        <f t="shared" ref="AU40:AU42" si="58">IF(D40=0,"NA",AF40/Q40-1)</f>
        <v>NA</v>
      </c>
      <c r="AV40" s="249" t="str">
        <f t="shared" ref="AV40:AV42" si="59">IF(D40=0,"NA",AG40/R40-1)</f>
        <v>NA</v>
      </c>
    </row>
    <row r="41" spans="1:48" ht="15" customHeight="1" x14ac:dyDescent="0.25">
      <c r="A41" s="175"/>
      <c r="B41" s="181">
        <v>133</v>
      </c>
      <c r="C41" s="155" t="str">
        <f>_xlfn.XLOOKUP(B41,LgProvEntOrgIDs[Advanced Network/Insurer Carrier Org ID],LgProvEntOrgIDs[Advanced Network/Insurance Carrier Overall])</f>
        <v>Trinity Health, Inc.</v>
      </c>
      <c r="D41" s="242">
        <f>SUMIFS(AN_TME_BY[[#All],[Member Months]],AN_TME_BY[[#All],[Insurance Category Code]],2,AN_TME_BY[[#All],[Advanced Network/Insurance Carrier Org ID]],B41)</f>
        <v>0</v>
      </c>
      <c r="E41" s="156" t="str">
        <f>IF(D41=0,"NA",SUMIFS(AN_TME_BY[[#All],[Claims: Hospital Inpatient]],AN_TME_BY[[#All],[Insurance Category Code]],2,AN_TME_BY[[#All],[Advanced Network/Insurance Carrier Org ID]],B41)/D41)</f>
        <v>NA</v>
      </c>
      <c r="F41" s="59" t="str">
        <f>IF(D41=0,"NA",SUMIFS(AN_TME_BY[[#All],[Claims: Hospital Outpatient]],AN_TME_BY[[#All],[Insurance Category Code]],2,AN_TME_BY[[#All],[Advanced Network/Insurance Carrier Org ID]],B41)/D41)</f>
        <v>NA</v>
      </c>
      <c r="G41" s="59" t="str">
        <f>IF(D41=0,"NA",SUMIFS(AN_TME_BY[[#All],[Claims: Professional, Primary Care]],AN_TME_BY[[#All],[Insurance Category Code]],2,AN_TME_BY[[#All],[Advanced Network/Insurance Carrier Org ID]],B41)/D41)</f>
        <v>NA</v>
      </c>
      <c r="H41" s="59" t="str">
        <f>IF(D41=0,"NA",SUMIFS(AN_TME_BY[[#All],[Claims: Professional, Primary Care (for Monitoring Purposes)]],AN_TME_BY[[#All],[Insurance Category Code]],2,AN_TME_BY[[#All],[Advanced Network/Insurance Carrier Org ID]],B41)/D41)</f>
        <v>NA</v>
      </c>
      <c r="I41" s="59" t="str">
        <f>IF(D41=0,"NA",SUMIFS(AN_TME_BY[[#All],[Claims: Professional, Specialty]],AN_TME_BY[[#All],[Insurance Category Code]],2,AN_TME_BY[[#All],[Advanced Network/Insurance Carrier Org ID]],B41)/D41)</f>
        <v>NA</v>
      </c>
      <c r="J41" s="59" t="str">
        <f>IF(D41=0,"NA",SUMIFS(AN_TME_BY[[#All],[Claims: Professional Other]],AN_TME_BY[[#All],[Insurance Category Code]],2,AN_TME_BY[[#All],[Advanced Network/Insurance Carrier Org ID]],B41)/D41)</f>
        <v>NA</v>
      </c>
      <c r="K41" s="59" t="str">
        <f>IF(D41=0,"NA",SUMIFS(AN_TME_BY[[#All],[Claims: Pharmacy]],AN_TME_BY[[#All],[Insurance Category Code]],2,AN_TME_BY[[#All],[Advanced Network/Insurance Carrier Org ID]],B41)/D41)</f>
        <v>NA</v>
      </c>
      <c r="L41" s="59" t="str">
        <f>IF(D41=0,"NA",SUMIFS(AN_TME_BY[[#All],[Claims: Long-Term Care]],AN_TME_BY[[#All],[Insurance Category Code]],2,AN_TME_BY[[#All],[Advanced Network/Insurance Carrier Org ID]],B41)/D41)</f>
        <v>NA</v>
      </c>
      <c r="M41" s="59" t="str">
        <f>IF(D41=0,"NA",SUMIFS(AN_TME_BY[[#All],[Claims: Other]],AN_TME_BY[[#All],[Insurance Category Code]],2,AN_TME_BY[[#All],[Advanced Network/Insurance Carrier Org ID]],B41)/D41)</f>
        <v>NA</v>
      </c>
      <c r="N41" s="158" t="str">
        <f>IF(D41=0,"NA",SUMIFS(AN_TME_BY[[#All],[TOTAL Non-Truncated Unadjusted Claims Expenses]],AN_TME_BY[[#All],[Insurance Category Code]],2,AN_TME_BY[[#All],[Advanced Network/Insurance Carrier Org ID]],B41)/D41)</f>
        <v>NA</v>
      </c>
      <c r="O41" s="158" t="str">
        <f>IF(D41=0,"NA",SUMIFS(AN_TME_BY[[#All],[TOTAL Truncated Unadjusted Claims Expenses (A21 -A19)]],AN_TME_BY[[#All],[Insurance Category Code]],2,AN_TME_BY[[#All],[Advanced Network/Insurance Carrier Org ID]],B41)/D41)</f>
        <v>NA</v>
      </c>
      <c r="P41" s="158" t="str">
        <f>IF(D41=0,"NA",SUMIFS(AN_TME_BY[[#All],[TOTAL Non-Claims Expenses]],AN_TME_BY[[#All],[Insurance Category Code]],2,AN_TME_BY[[#All],[Advanced Network/Insurance Carrier Org ID]],B41)/D41)</f>
        <v>NA</v>
      </c>
      <c r="Q41" s="158" t="str">
        <f>IF(D41=0,"NA",SUMIFS(AN_TME_BY[[#All],[TOTAL Non-Truncated Unadjusted Expenses (A21 + A23)]],AN_TME_BY[[#All],[Insurance Category Code]],2,AN_TME_BY[[#All],[Advanced Network/Insurance Carrier Org ID]],B41)/D41)</f>
        <v>NA</v>
      </c>
      <c r="R41" s="158" t="str">
        <f>IF(D41=0,"NA",SUMIFS(AN_TME_BY[[#All],[TOTAL Truncated Unadjusted Expenses (A22 + A23)]],AN_TME_BY[[#All],[Insurance Category Code]],2,AN_TME_BY[[#All],[Advanced Network/Insurance Carrier Org ID]],B41)/D41)</f>
        <v>NA</v>
      </c>
      <c r="S41" s="242">
        <f>SUMIFS(AN_TME_PY[[#All],[Member Months]],AN_TME_PY[[#All],[Insurance Category Code]],2,AN_TME_PY[[#All],[Advanced Network/Insurance Carrier Org ID]],B41)</f>
        <v>0</v>
      </c>
      <c r="T41" s="156" t="str">
        <f>IF(S41=0,"NA",SUMIFS(AN_TME_PY[[#All],[Claims: Hospital Inpatient]],AN_TME_PY[[#All],[Insurance Category Code]],2,AN_TME_PY[[#All],[Advanced Network/Insurance Carrier Org ID]],B41)/S41)</f>
        <v>NA</v>
      </c>
      <c r="U41" s="59" t="str">
        <f>IF(S41=0,"NA",SUMIFS(AN_TME_PY[[#All],[Claims: Hospital Outpatient]],AN_TME_PY[[#All],[Insurance Category Code]],2,AN_TME_PY[[#All],[Advanced Network/Insurance Carrier Org ID]],B41)/S41)</f>
        <v>NA</v>
      </c>
      <c r="V41" s="59" t="str">
        <f>IF(S41=0,"NA",SUMIFS(AN_TME_PY[[#All],[Claims: Professional, Primary Care]],AN_TME_PY[[#All],[Insurance Category Code]],2,AN_TME_PY[[#All],[Advanced Network/Insurance Carrier Org ID]],B41)/S41)</f>
        <v>NA</v>
      </c>
      <c r="W41" s="59" t="str">
        <f>IF(S41=0,"NA",SUMIFS(AN_TME_PY[[#All],[Claims: Professional, Primary Care (for Monitoring Purposes)]],AN_TME_PY[[#All],[Insurance Category Code]],2,AN_TME_PY[[#All],[Advanced Network/Insurance Carrier Org ID]],B41)/S41)</f>
        <v>NA</v>
      </c>
      <c r="X41" s="59" t="str">
        <f>IF(S41=0,"NA",SUMIFS(AN_TME_PY[[#All],[Claims: Professional, Specialty]],AN_TME_PY[[#All],[Insurance Category Code]],2,AN_TME_PY[[#All],[Advanced Network/Insurance Carrier Org ID]],B41)/S41)</f>
        <v>NA</v>
      </c>
      <c r="Y41" s="59" t="str">
        <f>IF(S41=0,"NA",SUMIFS(AN_TME_PY[[#All],[Claims: Professional Other]],AN_TME_PY[[#All],[Insurance Category Code]],2,AN_TME_PY[[#All],[Advanced Network/Insurance Carrier Org ID]],B41)/S41)</f>
        <v>NA</v>
      </c>
      <c r="Z41" s="59" t="str">
        <f>IF(S41=0,"NA",SUMIFS(AN_TME_PY[[#All],[Claims: Pharmacy]],AN_TME_PY[[#All],[Insurance Category Code]],2,AN_TME_PY[[#All],[Advanced Network/Insurance Carrier Org ID]],B41)/S41)</f>
        <v>NA</v>
      </c>
      <c r="AA41" s="59" t="str">
        <f>IF(S41=0,"NA",SUMIFS(AN_TME_PY[[#All],[Claims: Long-Term Care]],AN_TME_PY[[#All],[Insurance Category Code]],2,AN_TME_PY[[#All],[Advanced Network/Insurance Carrier Org ID]],B41)/S41)</f>
        <v>NA</v>
      </c>
      <c r="AB41" s="59" t="str">
        <f>IF(S41=0,"NA",SUMIFS(AN_TME_PY[[#All],[Claims: Other]],AN_TME_PY[[#All],[Insurance Category Code]],2,AN_TME_PY[[#All],[Advanced Network/Insurance Carrier Org ID]],B41)/S41)</f>
        <v>NA</v>
      </c>
      <c r="AC41" s="158" t="str">
        <f>IF(S41=0,"NA",SUMIFS(AN_TME_PY[[#All],[TOTAL Non-Truncated Unadjusted Claims Expenses]],AN_TME_PY[[#All],[Insurance Category Code]],2,AN_TME_PY[[#All],[Advanced Network/Insurance Carrier Org ID]],B41)/S41)</f>
        <v>NA</v>
      </c>
      <c r="AD41" s="158" t="str">
        <f>IF(S41=0,"NA",SUMIFS(AN_TME_PY[[#All],[TOTAL Truncated Unadjusted Claims Expenses (A21 -A19)]],AN_TME_PY[[#All],[Insurance Category Code]],2,AN_TME_PY[[#All],[Advanced Network/Insurance Carrier Org ID]],B41)/S41)</f>
        <v>NA</v>
      </c>
      <c r="AE41" s="158" t="str">
        <f>IF(S41=0,"NA",SUMIFS(AN_TME_PY[[#All],[TOTAL Non-Claims Expenses]],AN_TME_PY[[#All],[Insurance Category Code]],2,AN_TME_PY[[#All],[Advanced Network/Insurance Carrier Org ID]],B41)/S41)</f>
        <v>NA</v>
      </c>
      <c r="AF41" s="158" t="str">
        <f>IF(S41=0,"NA",SUMIFS(AN_TME_PY[[#All],[TOTAL Non-Truncated Unadjusted Expenses (A21 + A23)]],AN_TME_PY[[#All],[Insurance Category Code]],2,AN_TME_PY[[#All],[Advanced Network/Insurance Carrier Org ID]],B41)/S41)</f>
        <v>NA</v>
      </c>
      <c r="AG41" s="157" t="str">
        <f>IF(S41=0,"NA",SUMIFS(AN_TME_PY[[#All],[TOTAL Truncated Unadjusted Expenses (A22 + A23)]],AN_TME_PY[[#All],[Insurance Category Code]],2,AN_TME_PY[[#All],[Advanced Network/Insurance Carrier Org ID]],B41)/S41)</f>
        <v>NA</v>
      </c>
      <c r="AH41" s="245" t="str">
        <f t="shared" si="45"/>
        <v>NA</v>
      </c>
      <c r="AI41" s="246" t="str">
        <f t="shared" si="46"/>
        <v>NA</v>
      </c>
      <c r="AJ41" s="247" t="str">
        <f t="shared" si="47"/>
        <v>NA</v>
      </c>
      <c r="AK41" s="247" t="str">
        <f t="shared" si="48"/>
        <v>NA</v>
      </c>
      <c r="AL41" s="247" t="str">
        <f t="shared" si="49"/>
        <v>NA</v>
      </c>
      <c r="AM41" s="247" t="str">
        <f t="shared" si="50"/>
        <v>NA</v>
      </c>
      <c r="AN41" s="247" t="str">
        <f t="shared" si="51"/>
        <v>NA</v>
      </c>
      <c r="AO41" s="247" t="str">
        <f t="shared" si="52"/>
        <v>NA</v>
      </c>
      <c r="AP41" s="247" t="str">
        <f t="shared" si="53"/>
        <v>NA</v>
      </c>
      <c r="AQ41" s="247" t="str">
        <f t="shared" si="54"/>
        <v>NA</v>
      </c>
      <c r="AR41" s="248" t="str">
        <f t="shared" si="55"/>
        <v>NA</v>
      </c>
      <c r="AS41" s="248" t="str">
        <f t="shared" si="56"/>
        <v>NA</v>
      </c>
      <c r="AT41" s="248" t="str">
        <f t="shared" si="57"/>
        <v>NA</v>
      </c>
      <c r="AU41" s="248" t="str">
        <f t="shared" si="58"/>
        <v>NA</v>
      </c>
      <c r="AV41" s="249" t="str">
        <f t="shared" si="59"/>
        <v>NA</v>
      </c>
    </row>
    <row r="42" spans="1:48" ht="15" customHeight="1" x14ac:dyDescent="0.25">
      <c r="A42" s="175"/>
      <c r="B42" s="181">
        <v>134</v>
      </c>
      <c r="C42" s="155" t="str">
        <f>_xlfn.XLOOKUP(B42,LgProvEntOrgIDs[Advanced Network/Insurer Carrier Org ID],LgProvEntOrgIDs[Advanced Network/Insurance Carrier Overall])</f>
        <v>Western Connecticut Health Network (WCHN) Physician Hospital Organization</v>
      </c>
      <c r="D42" s="242">
        <f>SUMIFS(AN_TME_BY[[#All],[Member Months]],AN_TME_BY[[#All],[Insurance Category Code]],2,AN_TME_BY[[#All],[Advanced Network/Insurance Carrier Org ID]],B42)</f>
        <v>0</v>
      </c>
      <c r="E42" s="156" t="str">
        <f>IF(D42=0,"NA",SUMIFS(AN_TME_BY[[#All],[Claims: Hospital Inpatient]],AN_TME_BY[[#All],[Insurance Category Code]],2,AN_TME_BY[[#All],[Advanced Network/Insurance Carrier Org ID]],B42)/D42)</f>
        <v>NA</v>
      </c>
      <c r="F42" s="59" t="str">
        <f>IF(D42=0,"NA",SUMIFS(AN_TME_BY[[#All],[Claims: Hospital Outpatient]],AN_TME_BY[[#All],[Insurance Category Code]],2,AN_TME_BY[[#All],[Advanced Network/Insurance Carrier Org ID]],B42)/D42)</f>
        <v>NA</v>
      </c>
      <c r="G42" s="59" t="str">
        <f>IF(D42=0,"NA",SUMIFS(AN_TME_BY[[#All],[Claims: Professional, Primary Care]],AN_TME_BY[[#All],[Insurance Category Code]],2,AN_TME_BY[[#All],[Advanced Network/Insurance Carrier Org ID]],B42)/D42)</f>
        <v>NA</v>
      </c>
      <c r="H42" s="59" t="str">
        <f>IF(D42=0,"NA",SUMIFS(AN_TME_BY[[#All],[Claims: Professional, Primary Care (for Monitoring Purposes)]],AN_TME_BY[[#All],[Insurance Category Code]],2,AN_TME_BY[[#All],[Advanced Network/Insurance Carrier Org ID]],B42)/D42)</f>
        <v>NA</v>
      </c>
      <c r="I42" s="59" t="str">
        <f>IF(D42=0,"NA",SUMIFS(AN_TME_BY[[#All],[Claims: Professional, Specialty]],AN_TME_BY[[#All],[Insurance Category Code]],2,AN_TME_BY[[#All],[Advanced Network/Insurance Carrier Org ID]],B42)/D42)</f>
        <v>NA</v>
      </c>
      <c r="J42" s="59" t="str">
        <f>IF(D42=0,"NA",SUMIFS(AN_TME_BY[[#All],[Claims: Professional Other]],AN_TME_BY[[#All],[Insurance Category Code]],2,AN_TME_BY[[#All],[Advanced Network/Insurance Carrier Org ID]],B42)/D42)</f>
        <v>NA</v>
      </c>
      <c r="K42" s="59" t="str">
        <f>IF(D42=0,"NA",SUMIFS(AN_TME_BY[[#All],[Claims: Pharmacy]],AN_TME_BY[[#All],[Insurance Category Code]],2,AN_TME_BY[[#All],[Advanced Network/Insurance Carrier Org ID]],B42)/D42)</f>
        <v>NA</v>
      </c>
      <c r="L42" s="59" t="str">
        <f>IF(D42=0,"NA",SUMIFS(AN_TME_BY[[#All],[Claims: Long-Term Care]],AN_TME_BY[[#All],[Insurance Category Code]],2,AN_TME_BY[[#All],[Advanced Network/Insurance Carrier Org ID]],B42)/D42)</f>
        <v>NA</v>
      </c>
      <c r="M42" s="59" t="str">
        <f>IF(D42=0,"NA",SUMIFS(AN_TME_BY[[#All],[Claims: Other]],AN_TME_BY[[#All],[Insurance Category Code]],2,AN_TME_BY[[#All],[Advanced Network/Insurance Carrier Org ID]],B42)/D42)</f>
        <v>NA</v>
      </c>
      <c r="N42" s="158" t="str">
        <f>IF(D42=0,"NA",SUMIFS(AN_TME_BY[[#All],[TOTAL Non-Truncated Unadjusted Claims Expenses]],AN_TME_BY[[#All],[Insurance Category Code]],2,AN_TME_BY[[#All],[Advanced Network/Insurance Carrier Org ID]],B42)/D42)</f>
        <v>NA</v>
      </c>
      <c r="O42" s="158" t="str">
        <f>IF(D42=0,"NA",SUMIFS(AN_TME_BY[[#All],[TOTAL Truncated Unadjusted Claims Expenses (A21 -A19)]],AN_TME_BY[[#All],[Insurance Category Code]],2,AN_TME_BY[[#All],[Advanced Network/Insurance Carrier Org ID]],B42)/D42)</f>
        <v>NA</v>
      </c>
      <c r="P42" s="158" t="str">
        <f>IF(D42=0,"NA",SUMIFS(AN_TME_BY[[#All],[TOTAL Non-Claims Expenses]],AN_TME_BY[[#All],[Insurance Category Code]],2,AN_TME_BY[[#All],[Advanced Network/Insurance Carrier Org ID]],B42)/D42)</f>
        <v>NA</v>
      </c>
      <c r="Q42" s="158" t="str">
        <f>IF(D42=0,"NA",SUMIFS(AN_TME_BY[[#All],[TOTAL Non-Truncated Unadjusted Expenses (A21 + A23)]],AN_TME_BY[[#All],[Insurance Category Code]],2,AN_TME_BY[[#All],[Advanced Network/Insurance Carrier Org ID]],B42)/D42)</f>
        <v>NA</v>
      </c>
      <c r="R42" s="158" t="str">
        <f>IF(D42=0,"NA",SUMIFS(AN_TME_BY[[#All],[TOTAL Truncated Unadjusted Expenses (A22 + A23)]],AN_TME_BY[[#All],[Insurance Category Code]],2,AN_TME_BY[[#All],[Advanced Network/Insurance Carrier Org ID]],B42)/D42)</f>
        <v>NA</v>
      </c>
      <c r="S42" s="242">
        <f>SUMIFS(AN_TME_PY[[#All],[Member Months]],AN_TME_PY[[#All],[Insurance Category Code]],2,AN_TME_PY[[#All],[Advanced Network/Insurance Carrier Org ID]],B42)</f>
        <v>0</v>
      </c>
      <c r="T42" s="156" t="str">
        <f>IF(S42=0,"NA",SUMIFS(AN_TME_PY[[#All],[Claims: Hospital Inpatient]],AN_TME_PY[[#All],[Insurance Category Code]],2,AN_TME_PY[[#All],[Advanced Network/Insurance Carrier Org ID]],B42)/S42)</f>
        <v>NA</v>
      </c>
      <c r="U42" s="59" t="str">
        <f>IF(S42=0,"NA",SUMIFS(AN_TME_PY[[#All],[Claims: Hospital Outpatient]],AN_TME_PY[[#All],[Insurance Category Code]],2,AN_TME_PY[[#All],[Advanced Network/Insurance Carrier Org ID]],B42)/S42)</f>
        <v>NA</v>
      </c>
      <c r="V42" s="59" t="str">
        <f>IF(S42=0,"NA",SUMIFS(AN_TME_PY[[#All],[Claims: Professional, Primary Care]],AN_TME_PY[[#All],[Insurance Category Code]],2,AN_TME_PY[[#All],[Advanced Network/Insurance Carrier Org ID]],B42)/S42)</f>
        <v>NA</v>
      </c>
      <c r="W42" s="59" t="str">
        <f>IF(S42=0,"NA",SUMIFS(AN_TME_PY[[#All],[Claims: Professional, Primary Care (for Monitoring Purposes)]],AN_TME_PY[[#All],[Insurance Category Code]],2,AN_TME_PY[[#All],[Advanced Network/Insurance Carrier Org ID]],B42)/S42)</f>
        <v>NA</v>
      </c>
      <c r="X42" s="59" t="str">
        <f>IF(S42=0,"NA",SUMIFS(AN_TME_PY[[#All],[Claims: Professional, Specialty]],AN_TME_PY[[#All],[Insurance Category Code]],2,AN_TME_PY[[#All],[Advanced Network/Insurance Carrier Org ID]],B42)/S42)</f>
        <v>NA</v>
      </c>
      <c r="Y42" s="59" t="str">
        <f>IF(S42=0,"NA",SUMIFS(AN_TME_PY[[#All],[Claims: Professional Other]],AN_TME_PY[[#All],[Insurance Category Code]],2,AN_TME_PY[[#All],[Advanced Network/Insurance Carrier Org ID]],B42)/S42)</f>
        <v>NA</v>
      </c>
      <c r="Z42" s="59" t="str">
        <f>IF(S42=0,"NA",SUMIFS(AN_TME_PY[[#All],[Claims: Pharmacy]],AN_TME_PY[[#All],[Insurance Category Code]],2,AN_TME_PY[[#All],[Advanced Network/Insurance Carrier Org ID]],B42)/S42)</f>
        <v>NA</v>
      </c>
      <c r="AA42" s="59" t="str">
        <f>IF(S42=0,"NA",SUMIFS(AN_TME_PY[[#All],[Claims: Long-Term Care]],AN_TME_PY[[#All],[Insurance Category Code]],2,AN_TME_PY[[#All],[Advanced Network/Insurance Carrier Org ID]],B42)/S42)</f>
        <v>NA</v>
      </c>
      <c r="AB42" s="59" t="str">
        <f>IF(S42=0,"NA",SUMIFS(AN_TME_PY[[#All],[Claims: Other]],AN_TME_PY[[#All],[Insurance Category Code]],2,AN_TME_PY[[#All],[Advanced Network/Insurance Carrier Org ID]],B42)/S42)</f>
        <v>NA</v>
      </c>
      <c r="AC42" s="158" t="str">
        <f>IF(S42=0,"NA",SUMIFS(AN_TME_PY[[#All],[TOTAL Non-Truncated Unadjusted Claims Expenses]],AN_TME_PY[[#All],[Insurance Category Code]],2,AN_TME_PY[[#All],[Advanced Network/Insurance Carrier Org ID]],B42)/S42)</f>
        <v>NA</v>
      </c>
      <c r="AD42" s="158" t="str">
        <f>IF(S42=0,"NA",SUMIFS(AN_TME_PY[[#All],[TOTAL Truncated Unadjusted Claims Expenses (A21 -A19)]],AN_TME_PY[[#All],[Insurance Category Code]],2,AN_TME_PY[[#All],[Advanced Network/Insurance Carrier Org ID]],B42)/S42)</f>
        <v>NA</v>
      </c>
      <c r="AE42" s="158" t="str">
        <f>IF(S42=0,"NA",SUMIFS(AN_TME_PY[[#All],[TOTAL Non-Claims Expenses]],AN_TME_PY[[#All],[Insurance Category Code]],2,AN_TME_PY[[#All],[Advanced Network/Insurance Carrier Org ID]],B42)/S42)</f>
        <v>NA</v>
      </c>
      <c r="AF42" s="158" t="str">
        <f>IF(S42=0,"NA",SUMIFS(AN_TME_PY[[#All],[TOTAL Non-Truncated Unadjusted Expenses (A21 + A23)]],AN_TME_PY[[#All],[Insurance Category Code]],2,AN_TME_PY[[#All],[Advanced Network/Insurance Carrier Org ID]],B42)/S42)</f>
        <v>NA</v>
      </c>
      <c r="AG42" s="157" t="str">
        <f>IF(S42=0,"NA",SUMIFS(AN_TME_PY[[#All],[TOTAL Truncated Unadjusted Expenses (A22 + A23)]],AN_TME_PY[[#All],[Insurance Category Code]],2,AN_TME_PY[[#All],[Advanced Network/Insurance Carrier Org ID]],B42)/S42)</f>
        <v>NA</v>
      </c>
      <c r="AH42" s="245" t="str">
        <f t="shared" si="45"/>
        <v>NA</v>
      </c>
      <c r="AI42" s="246" t="str">
        <f t="shared" si="46"/>
        <v>NA</v>
      </c>
      <c r="AJ42" s="247" t="str">
        <f t="shared" si="47"/>
        <v>NA</v>
      </c>
      <c r="AK42" s="247" t="str">
        <f t="shared" si="48"/>
        <v>NA</v>
      </c>
      <c r="AL42" s="247" t="str">
        <f t="shared" si="49"/>
        <v>NA</v>
      </c>
      <c r="AM42" s="247" t="str">
        <f t="shared" si="50"/>
        <v>NA</v>
      </c>
      <c r="AN42" s="247" t="str">
        <f t="shared" si="51"/>
        <v>NA</v>
      </c>
      <c r="AO42" s="247" t="str">
        <f t="shared" si="52"/>
        <v>NA</v>
      </c>
      <c r="AP42" s="247" t="str">
        <f t="shared" si="53"/>
        <v>NA</v>
      </c>
      <c r="AQ42" s="247" t="str">
        <f t="shared" si="54"/>
        <v>NA</v>
      </c>
      <c r="AR42" s="248" t="str">
        <f t="shared" si="55"/>
        <v>NA</v>
      </c>
      <c r="AS42" s="248" t="str">
        <f t="shared" si="56"/>
        <v>NA</v>
      </c>
      <c r="AT42" s="248" t="str">
        <f t="shared" si="57"/>
        <v>NA</v>
      </c>
      <c r="AU42" s="248" t="str">
        <f t="shared" si="58"/>
        <v>NA</v>
      </c>
      <c r="AV42" s="249" t="str">
        <f t="shared" si="59"/>
        <v>NA</v>
      </c>
    </row>
    <row r="43" spans="1:48" ht="15" customHeight="1" x14ac:dyDescent="0.25">
      <c r="A43" s="175"/>
      <c r="B43" s="181">
        <v>999</v>
      </c>
      <c r="C43" s="155" t="str">
        <f>_xlfn.XLOOKUP(B43,LgProvEntOrgIDs[Advanced Network/Insurer Carrier Org ID],LgProvEntOrgIDs[Advanced Network/Insurance Carrier Overall])</f>
        <v>Members Not Attributed to an Advanced Network</v>
      </c>
      <c r="D43" s="242">
        <f>SUMIFS(AN_TME_BY[[#All],[Member Months]],AN_TME_BY[[#All],[Insurance Category Code]],2,AN_TME_BY[[#All],[Advanced Network/Insurance Carrier Org ID]],B43)</f>
        <v>0</v>
      </c>
      <c r="E43" s="156" t="str">
        <f>IF(D43=0,"NA",SUMIFS(AN_TME_BY[[#All],[Claims: Hospital Inpatient]],AN_TME_BY[[#All],[Insurance Category Code]],2,AN_TME_BY[[#All],[Advanced Network/Insurance Carrier Org ID]],B43)/D43)</f>
        <v>NA</v>
      </c>
      <c r="F43" s="59" t="str">
        <f>IF(D43=0,"NA",SUMIFS(AN_TME_BY[[#All],[Claims: Hospital Outpatient]],AN_TME_BY[[#All],[Insurance Category Code]],2,AN_TME_BY[[#All],[Advanced Network/Insurance Carrier Org ID]],B43)/D43)</f>
        <v>NA</v>
      </c>
      <c r="G43" s="59" t="str">
        <f>IF(D43=0,"NA",SUMIFS(AN_TME_BY[[#All],[Claims: Professional, Primary Care]],AN_TME_BY[[#All],[Insurance Category Code]],2,AN_TME_BY[[#All],[Advanced Network/Insurance Carrier Org ID]],B43)/D43)</f>
        <v>NA</v>
      </c>
      <c r="H43" s="59" t="str">
        <f>IF(D43=0,"NA",SUMIFS(AN_TME_BY[[#All],[Claims: Professional, Primary Care (for Monitoring Purposes)]],AN_TME_BY[[#All],[Insurance Category Code]],2,AN_TME_BY[[#All],[Advanced Network/Insurance Carrier Org ID]],B43)/D43)</f>
        <v>NA</v>
      </c>
      <c r="I43" s="59" t="str">
        <f>IF(D43=0,"NA",SUMIFS(AN_TME_BY[[#All],[Claims: Professional, Specialty]],AN_TME_BY[[#All],[Insurance Category Code]],2,AN_TME_BY[[#All],[Advanced Network/Insurance Carrier Org ID]],B43)/D43)</f>
        <v>NA</v>
      </c>
      <c r="J43" s="59" t="str">
        <f>IF(D43=0,"NA",SUMIFS(AN_TME_BY[[#All],[Claims: Professional Other]],AN_TME_BY[[#All],[Insurance Category Code]],2,AN_TME_BY[[#All],[Advanced Network/Insurance Carrier Org ID]],B43)/D43)</f>
        <v>NA</v>
      </c>
      <c r="K43" s="59" t="str">
        <f>IF(D43=0,"NA",SUMIFS(AN_TME_BY[[#All],[Claims: Pharmacy]],AN_TME_BY[[#All],[Insurance Category Code]],2,AN_TME_BY[[#All],[Advanced Network/Insurance Carrier Org ID]],B43)/D43)</f>
        <v>NA</v>
      </c>
      <c r="L43" s="59" t="str">
        <f>IF(D43=0,"NA",SUMIFS(AN_TME_BY[[#All],[Claims: Long-Term Care]],AN_TME_BY[[#All],[Insurance Category Code]],2,AN_TME_BY[[#All],[Advanced Network/Insurance Carrier Org ID]],B43)/D43)</f>
        <v>NA</v>
      </c>
      <c r="M43" s="59" t="str">
        <f>IF(D43=0,"NA",SUMIFS(AN_TME_BY[[#All],[Claims: Other]],AN_TME_BY[[#All],[Insurance Category Code]],2,AN_TME_BY[[#All],[Advanced Network/Insurance Carrier Org ID]],B43)/D43)</f>
        <v>NA</v>
      </c>
      <c r="N43" s="158" t="str">
        <f>IF(D43=0,"NA",SUMIFS(AN_TME_BY[[#All],[TOTAL Non-Truncated Unadjusted Claims Expenses]],AN_TME_BY[[#All],[Insurance Category Code]],2,AN_TME_BY[[#All],[Advanced Network/Insurance Carrier Org ID]],B43)/D43)</f>
        <v>NA</v>
      </c>
      <c r="O43" s="158" t="str">
        <f>IF(D43=0,"NA",SUMIFS(AN_TME_BY[[#All],[TOTAL Truncated Unadjusted Claims Expenses (A21 -A19)]],AN_TME_BY[[#All],[Insurance Category Code]],2,AN_TME_BY[[#All],[Advanced Network/Insurance Carrier Org ID]],B43)/D43)</f>
        <v>NA</v>
      </c>
      <c r="P43" s="158" t="str">
        <f>IF(D43=0,"NA",SUMIFS(AN_TME_BY[[#All],[TOTAL Non-Claims Expenses]],AN_TME_BY[[#All],[Insurance Category Code]],2,AN_TME_BY[[#All],[Advanced Network/Insurance Carrier Org ID]],B43)/D43)</f>
        <v>NA</v>
      </c>
      <c r="Q43" s="158" t="str">
        <f>IF(D43=0,"NA",SUMIFS(AN_TME_BY[[#All],[TOTAL Non-Truncated Unadjusted Expenses (A21 + A23)]],AN_TME_BY[[#All],[Insurance Category Code]],2,AN_TME_BY[[#All],[Advanced Network/Insurance Carrier Org ID]],B43)/D43)</f>
        <v>NA</v>
      </c>
      <c r="R43" s="158" t="str">
        <f>IF(D43=0,"NA",SUMIFS(AN_TME_BY[[#All],[TOTAL Truncated Unadjusted Expenses (A22 + A23)]],AN_TME_BY[[#All],[Insurance Category Code]],2,AN_TME_BY[[#All],[Advanced Network/Insurance Carrier Org ID]],B43)/D43)</f>
        <v>NA</v>
      </c>
      <c r="S43" s="242">
        <f>SUMIFS(AN_TME_PY[[#All],[Member Months]],AN_TME_PY[[#All],[Insurance Category Code]],2,AN_TME_PY[[#All],[Advanced Network/Insurance Carrier Org ID]],B43)</f>
        <v>0</v>
      </c>
      <c r="T43" s="156" t="str">
        <f>IF(S43=0,"NA",SUMIFS(AN_TME_PY[[#All],[Claims: Hospital Inpatient]],AN_TME_PY[[#All],[Insurance Category Code]],2,AN_TME_PY[[#All],[Advanced Network/Insurance Carrier Org ID]],B43)/S43)</f>
        <v>NA</v>
      </c>
      <c r="U43" s="59" t="str">
        <f>IF(S43=0,"NA",SUMIFS(AN_TME_PY[[#All],[Claims: Hospital Outpatient]],AN_TME_PY[[#All],[Insurance Category Code]],2,AN_TME_PY[[#All],[Advanced Network/Insurance Carrier Org ID]],B43)/S43)</f>
        <v>NA</v>
      </c>
      <c r="V43" s="59" t="str">
        <f>IF(S43=0,"NA",SUMIFS(AN_TME_PY[[#All],[Claims: Professional, Primary Care]],AN_TME_PY[[#All],[Insurance Category Code]],2,AN_TME_PY[[#All],[Advanced Network/Insurance Carrier Org ID]],B43)/S43)</f>
        <v>NA</v>
      </c>
      <c r="W43" s="59" t="str">
        <f>IF(S43=0,"NA",SUMIFS(AN_TME_PY[[#All],[Claims: Professional, Primary Care (for Monitoring Purposes)]],AN_TME_PY[[#All],[Insurance Category Code]],2,AN_TME_PY[[#All],[Advanced Network/Insurance Carrier Org ID]],B43)/S43)</f>
        <v>NA</v>
      </c>
      <c r="X43" s="59" t="str">
        <f>IF(S43=0,"NA",SUMIFS(AN_TME_PY[[#All],[Claims: Professional, Specialty]],AN_TME_PY[[#All],[Insurance Category Code]],2,AN_TME_PY[[#All],[Advanced Network/Insurance Carrier Org ID]],B43)/S43)</f>
        <v>NA</v>
      </c>
      <c r="Y43" s="59" t="str">
        <f>IF(S43=0,"NA",SUMIFS(AN_TME_PY[[#All],[Claims: Professional Other]],AN_TME_PY[[#All],[Insurance Category Code]],2,AN_TME_PY[[#All],[Advanced Network/Insurance Carrier Org ID]],B43)/S43)</f>
        <v>NA</v>
      </c>
      <c r="Z43" s="59" t="str">
        <f>IF(S43=0,"NA",SUMIFS(AN_TME_PY[[#All],[Claims: Pharmacy]],AN_TME_PY[[#All],[Insurance Category Code]],2,AN_TME_PY[[#All],[Advanced Network/Insurance Carrier Org ID]],B43)/S43)</f>
        <v>NA</v>
      </c>
      <c r="AA43" s="59" t="str">
        <f>IF(S43=0,"NA",SUMIFS(AN_TME_PY[[#All],[Claims: Long-Term Care]],AN_TME_PY[[#All],[Insurance Category Code]],2,AN_TME_PY[[#All],[Advanced Network/Insurance Carrier Org ID]],B43)/S43)</f>
        <v>NA</v>
      </c>
      <c r="AB43" s="59" t="str">
        <f>IF(S43=0,"NA",SUMIFS(AN_TME_PY[[#All],[Claims: Other]],AN_TME_PY[[#All],[Insurance Category Code]],2,AN_TME_PY[[#All],[Advanced Network/Insurance Carrier Org ID]],B43)/S43)</f>
        <v>NA</v>
      </c>
      <c r="AC43" s="158" t="str">
        <f>IF(S43=0,"NA",SUMIFS(AN_TME_PY[[#All],[TOTAL Non-Truncated Unadjusted Claims Expenses]],AN_TME_PY[[#All],[Insurance Category Code]],2,AN_TME_PY[[#All],[Advanced Network/Insurance Carrier Org ID]],B43)/S43)</f>
        <v>NA</v>
      </c>
      <c r="AD43" s="158" t="str">
        <f>IF(S43=0,"NA",SUMIFS(AN_TME_PY[[#All],[TOTAL Truncated Unadjusted Claims Expenses (A21 -A19)]],AN_TME_PY[[#All],[Insurance Category Code]],2,AN_TME_PY[[#All],[Advanced Network/Insurance Carrier Org ID]],B43)/S43)</f>
        <v>NA</v>
      </c>
      <c r="AE43" s="158" t="str">
        <f>IF(S43=0,"NA",SUMIFS(AN_TME_PY[[#All],[TOTAL Non-Claims Expenses]],AN_TME_PY[[#All],[Insurance Category Code]],2,AN_TME_PY[[#All],[Advanced Network/Insurance Carrier Org ID]],B43)/S43)</f>
        <v>NA</v>
      </c>
      <c r="AF43" s="158" t="str">
        <f>IF(S43=0,"NA",SUMIFS(AN_TME_PY[[#All],[TOTAL Non-Truncated Unadjusted Expenses (A21 + A23)]],AN_TME_PY[[#All],[Insurance Category Code]],2,AN_TME_PY[[#All],[Advanced Network/Insurance Carrier Org ID]],B43)/S43)</f>
        <v>NA</v>
      </c>
      <c r="AG43" s="157" t="str">
        <f>IF(S43=0,"NA",SUMIFS(AN_TME_PY[[#All],[TOTAL Truncated Unadjusted Expenses (A22 + A23)]],AN_TME_PY[[#All],[Insurance Category Code]],2,AN_TME_PY[[#All],[Advanced Network/Insurance Carrier Org ID]],B43)/S43)</f>
        <v>NA</v>
      </c>
      <c r="AH43" s="245" t="str">
        <f t="shared" si="15"/>
        <v>NA</v>
      </c>
      <c r="AI43" s="246" t="str">
        <f t="shared" si="16"/>
        <v>NA</v>
      </c>
      <c r="AJ43" s="247" t="str">
        <f t="shared" si="17"/>
        <v>NA</v>
      </c>
      <c r="AK43" s="247" t="str">
        <f t="shared" si="18"/>
        <v>NA</v>
      </c>
      <c r="AL43" s="247" t="str">
        <f t="shared" si="19"/>
        <v>NA</v>
      </c>
      <c r="AM43" s="247" t="str">
        <f t="shared" si="20"/>
        <v>NA</v>
      </c>
      <c r="AN43" s="247" t="str">
        <f t="shared" si="21"/>
        <v>NA</v>
      </c>
      <c r="AO43" s="247" t="str">
        <f t="shared" si="22"/>
        <v>NA</v>
      </c>
      <c r="AP43" s="247" t="str">
        <f t="shared" si="23"/>
        <v>NA</v>
      </c>
      <c r="AQ43" s="247" t="str">
        <f t="shared" si="24"/>
        <v>NA</v>
      </c>
      <c r="AR43" s="248" t="str">
        <f t="shared" si="25"/>
        <v>NA</v>
      </c>
      <c r="AS43" s="248" t="str">
        <f t="shared" si="26"/>
        <v>NA</v>
      </c>
      <c r="AT43" s="248" t="str">
        <f t="shared" si="27"/>
        <v>NA</v>
      </c>
      <c r="AU43" s="248" t="str">
        <f t="shared" si="28"/>
        <v>NA</v>
      </c>
      <c r="AV43" s="249" t="str">
        <f t="shared" si="29"/>
        <v>NA</v>
      </c>
    </row>
    <row r="44" spans="1:48" ht="15" customHeight="1" x14ac:dyDescent="0.25">
      <c r="B44" s="159"/>
      <c r="C44" s="160" t="s">
        <v>350</v>
      </c>
      <c r="D44" s="243">
        <f>SUM(D9:D43)</f>
        <v>0</v>
      </c>
      <c r="E44" s="161" t="str">
        <f>IF(D44=0,"NA",SUMPRODUCT(E9:E43,D9:D43)/D44)</f>
        <v>NA</v>
      </c>
      <c r="F44" s="60" t="str">
        <f>IF(D44=0,"NA",SUMPRODUCT(F9:F43,D9:D43)/D44)</f>
        <v>NA</v>
      </c>
      <c r="G44" s="60" t="str">
        <f>IF(D44=0,"NA",SUMPRODUCT(G9:G43,D9:D43)/D44)</f>
        <v>NA</v>
      </c>
      <c r="H44" s="60" t="str">
        <f>IF(D44=0,"NA",SUMPRODUCT(H9:H43,D9:D43)/D44)</f>
        <v>NA</v>
      </c>
      <c r="I44" s="60" t="str">
        <f>IF(D44=0,"NA",SUMPRODUCT(I9:I43,D9:D43)/D44)</f>
        <v>NA</v>
      </c>
      <c r="J44" s="60" t="str">
        <f>IF(D44=0,"NA",SUMPRODUCT(J9:J43,D9:D43)/D44)</f>
        <v>NA</v>
      </c>
      <c r="K44" s="60" t="str">
        <f>IF(D44=0,"NA",SUMPRODUCT(K9:K43,D9:D43)/D44)</f>
        <v>NA</v>
      </c>
      <c r="L44" s="60" t="str">
        <f>IF(D44=0,"NA",SUMPRODUCT(L9:L43,D9:D43)/D44)</f>
        <v>NA</v>
      </c>
      <c r="M44" s="60" t="str">
        <f>IF(D44=0,"NA",SUMPRODUCT(M9:M43,D9:D43)/D44)</f>
        <v>NA</v>
      </c>
      <c r="N44" s="162" t="str">
        <f>IF(D44=0,"NA",SUMPRODUCT(N9:N43,D9:D43)/D44)</f>
        <v>NA</v>
      </c>
      <c r="O44" s="162" t="str">
        <f>IF(D44=0,"NA",SUMPRODUCT(O9:O43,D9:D43)/D44)</f>
        <v>NA</v>
      </c>
      <c r="P44" s="162" t="str">
        <f>IF(D44=0,"NA",SUMPRODUCT(P9:P43,D9:D43)/D44)</f>
        <v>NA</v>
      </c>
      <c r="Q44" s="162" t="str">
        <f>IF(D44=0,"NA",SUMPRODUCT(Q9:Q43,D9:D43)/D44)</f>
        <v>NA</v>
      </c>
      <c r="R44" s="162" t="str">
        <f>IF(D44=0,"NA",SUMPRODUCT(R9:R43,D9:D43)/D44)</f>
        <v>NA</v>
      </c>
      <c r="S44" s="243">
        <f>SUM(S9:S43)</f>
        <v>0</v>
      </c>
      <c r="T44" s="161" t="str">
        <f>IF(S44=0,"NA",SUMPRODUCT(T9:T43,S9:S43)/S44)</f>
        <v>NA</v>
      </c>
      <c r="U44" s="60" t="str">
        <f>IF(S44=0,"NA",SUMPRODUCT(U9:U43,S9:S43)/S44)</f>
        <v>NA</v>
      </c>
      <c r="V44" s="60" t="str">
        <f>IF(S44=0,"NA",SUMPRODUCT(V9:V43,S9:S43)/S44)</f>
        <v>NA</v>
      </c>
      <c r="W44" s="60" t="str">
        <f>IF(S44=0,"NA",SUMPRODUCT(W9:W43,S9:S43)/S44)</f>
        <v>NA</v>
      </c>
      <c r="X44" s="60" t="str">
        <f>IF(S44=0,"NA",SUMPRODUCT(X9:X43,S9:S43)/S44)</f>
        <v>NA</v>
      </c>
      <c r="Y44" s="60" t="str">
        <f>IF(S44=0,"NA",SUMPRODUCT(Y9:Y43,S9:S43)/S44)</f>
        <v>NA</v>
      </c>
      <c r="Z44" s="60" t="str">
        <f>IF(S44=0,"NA",SUMPRODUCT(Z9:Z43,S9:S43)/S44)</f>
        <v>NA</v>
      </c>
      <c r="AA44" s="60" t="str">
        <f>IF(S44=0,"NA",SUMPRODUCT(AA9:AA43,S9:S43)/S44)</f>
        <v>NA</v>
      </c>
      <c r="AB44" s="60" t="str">
        <f>IF(S44=0,"NA",SUMPRODUCT(AB9:AB43,S9:S43)/S44)</f>
        <v>NA</v>
      </c>
      <c r="AC44" s="162" t="str">
        <f>IF(S44=0,"NA",SUMPRODUCT(AC9:AC43,S9:S43)/S44)</f>
        <v>NA</v>
      </c>
      <c r="AD44" s="162" t="str">
        <f>IF(S44=0,"NA",SUMPRODUCT(AD9:AD43,S9:S43)/S44)</f>
        <v>NA</v>
      </c>
      <c r="AE44" s="162" t="str">
        <f>IF(S44=0,"NA",SUMPRODUCT(AE9:AE43,S9:S43)/S44)</f>
        <v>NA</v>
      </c>
      <c r="AF44" s="162" t="str">
        <f>IF(S44=0,"NA",SUMPRODUCT(AF9:AF43,S9:S43)/S44)</f>
        <v>NA</v>
      </c>
      <c r="AG44" s="163" t="str">
        <f>IF(S44=0,"NA",SUMPRODUCT(AG9:AG43,S9:S43)/S44)</f>
        <v>NA</v>
      </c>
      <c r="AH44" s="250" t="str">
        <f>IF(D44=0,"NA",S44/D44-1)</f>
        <v>NA</v>
      </c>
      <c r="AI44" s="251" t="str">
        <f>IF(D44=0,"NA",T44/E44-1)</f>
        <v>NA</v>
      </c>
      <c r="AJ44" s="252" t="str">
        <f>IF(D44=0,"NA",U44/F44-1)</f>
        <v>NA</v>
      </c>
      <c r="AK44" s="252" t="str">
        <f>IF(D44=0,"NA",V44/G44-1)</f>
        <v>NA</v>
      </c>
      <c r="AL44" s="252" t="str">
        <f>IF(D44=0,"NA",W44/H44-1)</f>
        <v>NA</v>
      </c>
      <c r="AM44" s="252" t="str">
        <f>IF(D44=0,"NA",X44/I44-1)</f>
        <v>NA</v>
      </c>
      <c r="AN44" s="252" t="str">
        <f>IF(D44=0,"NA",Y44/J44-1)</f>
        <v>NA</v>
      </c>
      <c r="AO44" s="252" t="str">
        <f>IF(D44=0,"NA",Z44/K44-1)</f>
        <v>NA</v>
      </c>
      <c r="AP44" s="252" t="str">
        <f>IF(D44=0,"NA",AA44/L44-1)</f>
        <v>NA</v>
      </c>
      <c r="AQ44" s="252" t="str">
        <f>IF(D44=0,"NA",AB44/M44-1)</f>
        <v>NA</v>
      </c>
      <c r="AR44" s="253" t="str">
        <f>IF(D44=0,"NA",AC44/N44-1)</f>
        <v>NA</v>
      </c>
      <c r="AS44" s="253" t="str">
        <f>IF(D44=0,"NA",AD44/O44-1)</f>
        <v>NA</v>
      </c>
      <c r="AT44" s="253" t="str">
        <f>IF(D44=0,"NA",AE44/P44-1)</f>
        <v>NA</v>
      </c>
      <c r="AU44" s="253" t="str">
        <f>IF(D44=0,"NA",AF44/Q44-1)</f>
        <v>NA</v>
      </c>
      <c r="AV44" s="254" t="str">
        <f>IF(D44=0,"NA",AG44/R44-1)</f>
        <v>NA</v>
      </c>
    </row>
    <row r="45" spans="1:48" ht="15.75" customHeight="1" thickBot="1" x14ac:dyDescent="0.3">
      <c r="B45" s="164"/>
      <c r="C45" s="165" t="s">
        <v>351</v>
      </c>
      <c r="D45" s="244">
        <f t="shared" ref="D45:J45" si="60">D44</f>
        <v>0</v>
      </c>
      <c r="E45" s="166" t="str">
        <f t="shared" si="60"/>
        <v>NA</v>
      </c>
      <c r="F45" s="167" t="str">
        <f t="shared" si="60"/>
        <v>NA</v>
      </c>
      <c r="G45" s="167" t="str">
        <f t="shared" si="60"/>
        <v>NA</v>
      </c>
      <c r="H45" s="167" t="str">
        <f t="shared" si="60"/>
        <v>NA</v>
      </c>
      <c r="I45" s="167" t="str">
        <f t="shared" si="60"/>
        <v>NA</v>
      </c>
      <c r="J45" s="167" t="str">
        <f t="shared" si="60"/>
        <v>NA</v>
      </c>
      <c r="K45" s="167" t="str">
        <f>IF(D45=0,"NA",(SUMPRODUCT(K9:K43,D9:D43)-ABS(SUMIF(RX_REBATES_BY[[#All],[Insurance Category Code]],2,RX_REBATES_BY[[#All],[Total Pharmacy Rebates]])))/D45)</f>
        <v>NA</v>
      </c>
      <c r="L45" s="167" t="str">
        <f>L44</f>
        <v>NA</v>
      </c>
      <c r="M45" s="167" t="str">
        <f>M44</f>
        <v>NA</v>
      </c>
      <c r="N45" s="168" t="str">
        <f>IF(D45=0,"NA",(SUMPRODUCT(N9:N43,D9:D43)-ABS(SUMIF(RX_REBATES_BY[[#All],[Insurance Category Code]],2,RX_REBATES_BY[[#All],[Total Pharmacy Rebates]])))/D45)</f>
        <v>NA</v>
      </c>
      <c r="O45" s="168" t="str">
        <f>IF(D45=0,"NA",(SUMPRODUCT(O9:O43,D9:D43)-ABS(SUMIF(RX_REBATES_BY[[#All],[Insurance Category Code]],2,RX_REBATES_BY[[#All],[Total Pharmacy Rebates]])))/D45)</f>
        <v>NA</v>
      </c>
      <c r="P45" s="168" t="str">
        <f>IF(D45=0,"NA",(SUMPRODUCT(P9:P43,D9:D43)-ABS(SUMIF(RX_REBATES_BY[[#All],[Insurance Category Code]],2,RX_REBATES_BY[[#All],[Total Pharmacy Rebates]])))/D45)</f>
        <v>NA</v>
      </c>
      <c r="Q45" s="168" t="str">
        <f>IF(D45=0,"NA",(SUMPRODUCT(Q9:Q43,D9:D43)-ABS(SUMIF(RX_REBATES_BY[[#All],[Insurance Category Code]],2,RX_REBATES_BY[[#All],[Total Pharmacy Rebates]])))/D45)</f>
        <v>NA</v>
      </c>
      <c r="R45" s="168" t="str">
        <f>IF(D45=0,"NA",(SUMPRODUCT(R9:R43,D9:D43)-ABS(SUMIF(RX_REBATES_BY[[#All],[Insurance Category Code]],2,RX_REBATES_BY[[#All],[Total Pharmacy Rebates]])))/D45)</f>
        <v>NA</v>
      </c>
      <c r="S45" s="244">
        <f t="shared" ref="S45:Y45" si="61">S44</f>
        <v>0</v>
      </c>
      <c r="T45" s="166" t="str">
        <f t="shared" si="61"/>
        <v>NA</v>
      </c>
      <c r="U45" s="167" t="str">
        <f t="shared" si="61"/>
        <v>NA</v>
      </c>
      <c r="V45" s="167" t="str">
        <f t="shared" si="61"/>
        <v>NA</v>
      </c>
      <c r="W45" s="167" t="str">
        <f t="shared" si="61"/>
        <v>NA</v>
      </c>
      <c r="X45" s="167" t="str">
        <f t="shared" si="61"/>
        <v>NA</v>
      </c>
      <c r="Y45" s="167" t="str">
        <f t="shared" si="61"/>
        <v>NA</v>
      </c>
      <c r="Z45" s="167" t="str">
        <f>IF(S45=0,"NA",(SUMPRODUCT(Z9:Z43,S9:S43)-ABS(SUMIF(RX_REBATES_PY[[#All],[Insurance Category Code]],2,RX_REBATES_PY[[#All],[Total Pharmacy Rebates]])))/S45)</f>
        <v>NA</v>
      </c>
      <c r="AA45" s="167" t="str">
        <f>AA44</f>
        <v>NA</v>
      </c>
      <c r="AB45" s="167" t="str">
        <f>AB44</f>
        <v>NA</v>
      </c>
      <c r="AC45" s="168" t="str">
        <f>IF(S45=0,"NA",(SUMPRODUCT(AC9:AC43,S9:S43)-ABS(SUMIF(RX_REBATES_PY[[#All],[Insurance Category Code]],2,RX_REBATES_PY[[#All],[Total Pharmacy Rebates]])))/S45)</f>
        <v>NA</v>
      </c>
      <c r="AD45" s="168" t="str">
        <f>IF(S45=0,"NA",(SUMPRODUCT(AD9:AD43,S9:S43)-ABS(SUMIF(RX_REBATES_PY[[#All],[Insurance Category Code]],2,RX_REBATES_BY[[#All],[Total Pharmacy Rebates]])))/S45)</f>
        <v>NA</v>
      </c>
      <c r="AE45" s="168" t="str">
        <f>IF(S45=0,"NA",(SUMPRODUCT(AE9:AE43,S9:S43)-ABS(SUMIF(RX_REBATES_PY[[#All],[Insurance Category Code]],2,RX_REBATES_BY[[#All],[Total Pharmacy Rebates]])))/S45)</f>
        <v>NA</v>
      </c>
      <c r="AF45" s="168" t="str">
        <f>IF(S45=0,"NA",(SUMPRODUCT(AF9:AF43,S9:S43)-ABS(SUMIF(RX_REBATES_PY[[#All],[Insurance Category Code]],2,RX_REBATES_BY[[#All],[Total Pharmacy Rebates]])))/S45)</f>
        <v>NA</v>
      </c>
      <c r="AG45" s="169" t="str">
        <f>IF(S45=0,"NA",(SUMPRODUCT(AG9:AG43,S9:S43)-ABS(SUMIF(RX_REBATES_PY[[#All],[Insurance Category Code]],2,RX_REBATES_BY[[#All],[Total Pharmacy Rebates]])))/S45)</f>
        <v>NA</v>
      </c>
      <c r="AH45" s="255" t="str">
        <f>IF(D45=0,"NA",S45/D45-1)</f>
        <v>NA</v>
      </c>
      <c r="AI45" s="256" t="str">
        <f>IF(D45=0,"NA",T45/E45-1)</f>
        <v>NA</v>
      </c>
      <c r="AJ45" s="257" t="str">
        <f>IF(D45=0,"NA",U45/F45-1)</f>
        <v>NA</v>
      </c>
      <c r="AK45" s="257" t="str">
        <f>IF(D45=0,"NA",V45/G45-1)</f>
        <v>NA</v>
      </c>
      <c r="AL45" s="257" t="str">
        <f>IF(D45=0,"NA",W45/H45-1)</f>
        <v>NA</v>
      </c>
      <c r="AM45" s="257" t="str">
        <f>IF(D45=0,"NA",X45/I45-1)</f>
        <v>NA</v>
      </c>
      <c r="AN45" s="257" t="str">
        <f>IF(D45=0,"NA",Y45/J45-1)</f>
        <v>NA</v>
      </c>
      <c r="AO45" s="257" t="str">
        <f>IF(D45=0,"NA",Z45/K45-1)</f>
        <v>NA</v>
      </c>
      <c r="AP45" s="257" t="str">
        <f>IF(D45=0,"NA",AA45/L45-1)</f>
        <v>NA</v>
      </c>
      <c r="AQ45" s="257" t="str">
        <f>IF(D45=0,"NA",AB45/M45-1)</f>
        <v>NA</v>
      </c>
      <c r="AR45" s="258" t="str">
        <f>IF(D45=0,"NA",AC45/N45-1)</f>
        <v>NA</v>
      </c>
      <c r="AS45" s="258" t="str">
        <f>IF(D45=0,"NA",AD45/O45-1)</f>
        <v>NA</v>
      </c>
      <c r="AT45" s="258" t="str">
        <f>IF(D45=0,"NA",AE45/P45-1)</f>
        <v>NA</v>
      </c>
      <c r="AU45" s="258" t="str">
        <f>IF(D45=0,"NA",AF45/Q45-1)</f>
        <v>NA</v>
      </c>
      <c r="AV45" s="259" t="str">
        <f>IF(D45=0,"NA",AG45/R45-1)</f>
        <v>NA</v>
      </c>
    </row>
  </sheetData>
  <sheetProtection algorithmName="SHA-512" hashValue="8fPQlPzs15p8pZRT/UQdpuX9Xzoh7tv43VZG3physBD6IJaTSUHnFhr7HxKhfcIeXB/lKP3be4F4cbhCmJvRRw==" saltValue="/kNZmrb92ub8lxGN01Jrpg==" spinCount="100000" sheet="1" objects="1" scenarios="1"/>
  <mergeCells count="5">
    <mergeCell ref="AH7:AV7"/>
    <mergeCell ref="B3:O3"/>
    <mergeCell ref="B7:C7"/>
    <mergeCell ref="D7:R7"/>
    <mergeCell ref="S7:AG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6C224-A80D-44FE-9EED-5BB50F41B4CA}">
  <sheetPr>
    <tabColor rgb="FFF79646"/>
  </sheetPr>
  <dimension ref="B1:AH177"/>
  <sheetViews>
    <sheetView zoomScaleNormal="100" workbookViewId="0"/>
  </sheetViews>
  <sheetFormatPr defaultRowHeight="15" x14ac:dyDescent="0.25"/>
  <cols>
    <col min="1" max="1" width="4.7109375" customWidth="1"/>
    <col min="2" max="2" width="37" customWidth="1"/>
    <col min="3" max="3" width="28.42578125" customWidth="1"/>
    <col min="4" max="4" width="26.5703125" customWidth="1"/>
    <col min="5" max="5" width="22.5703125" customWidth="1"/>
    <col min="6" max="6" width="22.7109375" customWidth="1"/>
    <col min="7" max="7" width="28.7109375" customWidth="1"/>
    <col min="8" max="8" width="19.140625" customWidth="1"/>
    <col min="9" max="9" width="24.85546875" bestFit="1" customWidth="1"/>
    <col min="10" max="12" width="15.7109375" customWidth="1"/>
    <col min="13" max="15" width="21.140625" customWidth="1"/>
    <col min="16" max="17" width="13.28515625" bestFit="1" customWidth="1"/>
    <col min="18" max="18" width="50.28515625" customWidth="1"/>
    <col min="19" max="19" width="34.7109375" bestFit="1" customWidth="1"/>
    <col min="20" max="20" width="22.28515625" customWidth="1"/>
    <col min="21" max="21" width="21.140625" customWidth="1"/>
    <col min="22" max="22" width="21.7109375" customWidth="1"/>
    <col min="23" max="23" width="25.28515625" customWidth="1"/>
    <col min="24" max="24" width="15.28515625" bestFit="1" customWidth="1"/>
    <col min="25" max="25" width="20.28515625" bestFit="1" customWidth="1"/>
    <col min="26" max="26" width="21.28515625" customWidth="1"/>
    <col min="27" max="27" width="25.5703125" customWidth="1"/>
    <col min="28" max="28" width="25.7109375" customWidth="1"/>
    <col min="29" max="29" width="31.7109375" customWidth="1"/>
    <col min="30" max="30" width="27.5703125" customWidth="1"/>
    <col min="31" max="31" width="28.42578125" customWidth="1"/>
    <col min="34" max="34" width="19.28515625" customWidth="1"/>
  </cols>
  <sheetData>
    <row r="1" spans="2:6" x14ac:dyDescent="0.25">
      <c r="B1" s="1" t="s">
        <v>75</v>
      </c>
      <c r="C1" s="24" t="s">
        <v>83</v>
      </c>
    </row>
    <row r="2" spans="2:6" x14ac:dyDescent="0.25">
      <c r="C2" s="25"/>
      <c r="D2" s="25"/>
    </row>
    <row r="3" spans="2:6" ht="15.75" thickBot="1" x14ac:dyDescent="0.3">
      <c r="C3" s="25"/>
      <c r="D3" s="25"/>
    </row>
    <row r="4" spans="2:6" ht="38.25" thickBot="1" x14ac:dyDescent="0.35">
      <c r="B4" s="216" t="s">
        <v>352</v>
      </c>
      <c r="C4" s="219" t="s">
        <v>353</v>
      </c>
      <c r="D4" s="220" t="s">
        <v>354</v>
      </c>
    </row>
    <row r="5" spans="2:6" ht="60.75" thickBot="1" x14ac:dyDescent="0.3">
      <c r="B5" s="226" t="s">
        <v>355</v>
      </c>
      <c r="C5" s="217">
        <f>COUNTIF(E37:E39, "&lt;&gt;Yes")+COUNTIF(G37:G39, "&lt;&gt;Yes")</f>
        <v>0</v>
      </c>
      <c r="D5" s="218">
        <f>COUNTIF(E45:E47, "&lt;&gt;Yes")+COUNTIF(G45:G47, "&lt;&gt;Yes")</f>
        <v>0</v>
      </c>
    </row>
    <row r="6" spans="2:6" ht="18.75" x14ac:dyDescent="0.3">
      <c r="B6" s="30"/>
      <c r="C6" s="350" t="s">
        <v>353</v>
      </c>
      <c r="D6" s="351"/>
      <c r="E6" s="352" t="s">
        <v>354</v>
      </c>
      <c r="F6" s="351"/>
    </row>
    <row r="7" spans="2:6" ht="15.75" x14ac:dyDescent="0.25">
      <c r="B7" s="30"/>
      <c r="C7" s="221" t="s">
        <v>356</v>
      </c>
      <c r="D7" s="222" t="s">
        <v>357</v>
      </c>
      <c r="E7" s="311" t="s">
        <v>356</v>
      </c>
      <c r="F7" s="222" t="s">
        <v>357</v>
      </c>
    </row>
    <row r="8" spans="2:6" ht="75" x14ac:dyDescent="0.25">
      <c r="B8" s="226" t="s">
        <v>358</v>
      </c>
      <c r="C8" s="300">
        <f>COUNTIF(H90:M125, "&lt;&gt;*TRUE*")+COUNTIF(N90:O125, "&lt;&gt;TRUE")</f>
        <v>0</v>
      </c>
      <c r="D8" s="301">
        <f>COUNTIF(H130:M131, "&lt;&gt;*TRUE*")+COUNTIF(N130:O131, "&lt;&gt;TRUE")</f>
        <v>0</v>
      </c>
      <c r="E8" s="312">
        <f>COUNTIF(X90:AC125, "&lt;&gt;*TRUE*")+COUNTIF(AD90:AE125, "&lt;&gt;TRUE")</f>
        <v>0</v>
      </c>
      <c r="F8" s="301">
        <f>COUNTIF(X130:AC131, "&lt;&gt;*TRUE*")+COUNTIF(AD130:AE131, "&lt;&gt;TRUE")</f>
        <v>0</v>
      </c>
    </row>
    <row r="9" spans="2:6" ht="30" x14ac:dyDescent="0.25">
      <c r="B9" s="226" t="s">
        <v>359</v>
      </c>
      <c r="C9" s="306">
        <f>COUNTIFS(C53:C84,0)</f>
        <v>32</v>
      </c>
      <c r="D9" s="307">
        <v>0</v>
      </c>
      <c r="E9" s="313">
        <f>COUNTIFS(F53:F84,0)</f>
        <v>32</v>
      </c>
      <c r="F9" s="307">
        <v>0</v>
      </c>
    </row>
    <row r="10" spans="2:6" ht="45.75" thickBot="1" x14ac:dyDescent="0.3">
      <c r="B10" s="211" t="s">
        <v>360</v>
      </c>
      <c r="C10" s="308" t="str">
        <f>IF(G90&lt;=SUM(G91:G125),"Yes","No")</f>
        <v>Yes</v>
      </c>
      <c r="D10" s="309" t="str">
        <f>IF(G130&lt;=SUM(G131),"Yes","No")</f>
        <v>Yes</v>
      </c>
      <c r="E10" s="314" t="str">
        <f>IF(W90&lt;=SUM(W91:W125),"Yes","No")</f>
        <v>Yes</v>
      </c>
      <c r="F10" s="310" t="str">
        <f>IF(W130&lt;=SUM(W131),"Yes","No")</f>
        <v>Yes</v>
      </c>
    </row>
    <row r="11" spans="2:6" ht="7.5" customHeight="1" x14ac:dyDescent="0.25">
      <c r="B11" s="215"/>
      <c r="C11" s="302"/>
      <c r="D11" s="303"/>
      <c r="E11" s="304"/>
      <c r="F11" s="305"/>
    </row>
    <row r="12" spans="2:6" ht="75.400000000000006" customHeight="1" thickBot="1" x14ac:dyDescent="0.3">
      <c r="B12" s="227" t="s">
        <v>361</v>
      </c>
      <c r="C12" s="228">
        <f>COUNTIF(AH90:AH125, "&gt;10%")+COUNTIF(AH90:AH125, "&lt;-10%")</f>
        <v>0</v>
      </c>
      <c r="D12" s="223"/>
      <c r="E12" s="224"/>
      <c r="F12" s="225"/>
    </row>
    <row r="13" spans="2:6" x14ac:dyDescent="0.25">
      <c r="C13" s="92"/>
      <c r="D13" s="92"/>
    </row>
    <row r="14" spans="2:6" x14ac:dyDescent="0.25">
      <c r="C14" s="25"/>
      <c r="D14" s="25"/>
    </row>
    <row r="15" spans="2:6" x14ac:dyDescent="0.25">
      <c r="B15" s="15" t="s">
        <v>362</v>
      </c>
      <c r="C15" s="25"/>
      <c r="D15" s="25"/>
    </row>
    <row r="16" spans="2:6" x14ac:dyDescent="0.25">
      <c r="B16" s="5" t="s">
        <v>363</v>
      </c>
      <c r="C16" s="5">
        <v>2023</v>
      </c>
      <c r="D16" s="5">
        <v>2024</v>
      </c>
    </row>
    <row r="17" spans="2:8" x14ac:dyDescent="0.25">
      <c r="B17" s="9" t="s">
        <v>201</v>
      </c>
      <c r="C17" s="77">
        <f>'HD-TME - 2024'!B11</f>
        <v>0</v>
      </c>
      <c r="D17" s="77">
        <f>'HD-TME - 2024'!B11</f>
        <v>0</v>
      </c>
    </row>
    <row r="18" spans="2:8" x14ac:dyDescent="0.25">
      <c r="B18" s="9" t="s">
        <v>202</v>
      </c>
      <c r="C18" s="77">
        <f>'HD-TME - 2024'!C11</f>
        <v>0</v>
      </c>
      <c r="D18" s="77">
        <f>'HD-TME - 2024'!C11</f>
        <v>0</v>
      </c>
    </row>
    <row r="19" spans="2:8" x14ac:dyDescent="0.25">
      <c r="B19" t="s">
        <v>364</v>
      </c>
      <c r="C19" s="25"/>
      <c r="D19" s="25"/>
    </row>
    <row r="20" spans="2:8" x14ac:dyDescent="0.25">
      <c r="C20" s="25"/>
      <c r="D20" s="25"/>
    </row>
    <row r="21" spans="2:8" x14ac:dyDescent="0.25">
      <c r="C21" s="25"/>
    </row>
    <row r="22" spans="2:8" x14ac:dyDescent="0.25">
      <c r="B22" s="15" t="s">
        <v>365</v>
      </c>
      <c r="D22" s="7"/>
      <c r="H22" s="7"/>
    </row>
    <row r="23" spans="2:8" x14ac:dyDescent="0.25">
      <c r="B23" s="26" t="s">
        <v>366</v>
      </c>
      <c r="D23" s="7"/>
      <c r="H23" s="7"/>
    </row>
    <row r="24" spans="2:8" ht="63.75" customHeight="1" x14ac:dyDescent="0.25">
      <c r="B24" s="5" t="s">
        <v>84</v>
      </c>
      <c r="C24" s="5" t="s">
        <v>367</v>
      </c>
      <c r="D24" s="129" t="s">
        <v>368</v>
      </c>
      <c r="E24" s="5" t="s">
        <v>369</v>
      </c>
      <c r="F24" s="129" t="s">
        <v>370</v>
      </c>
      <c r="G24" s="129" t="s">
        <v>371</v>
      </c>
    </row>
    <row r="25" spans="2:8" x14ac:dyDescent="0.25">
      <c r="B25" s="4">
        <v>1</v>
      </c>
      <c r="C25" s="28" t="str">
        <f>IF(VLOOKUP($C$1,ExpectedICC[#All],2,FALSE)=0,"No","Yes")</f>
        <v>No</v>
      </c>
      <c r="D25" s="28" t="str">
        <f>IF(COUNTIF(AN_TME_BY[[#All],[Insurance Category Code]],B25)=0,"No","Yes")</f>
        <v>No</v>
      </c>
      <c r="E25" s="28" t="str">
        <f>IF(VLOOKUP($C$1,ExpectedICC[#All],2,FALSE)=0,"No","Yes")</f>
        <v>No</v>
      </c>
      <c r="F25" s="28" t="str">
        <f>IF(COUNTIF(AN_TME_PY[[#All],[Insurance Category Code]],B25)=0,"No","Yes")</f>
        <v>No</v>
      </c>
      <c r="G25" s="28" t="str">
        <f>IF(D25=F25, "Yes", "No")</f>
        <v>Yes</v>
      </c>
    </row>
    <row r="26" spans="2:8" x14ac:dyDescent="0.25">
      <c r="B26" s="4">
        <v>2</v>
      </c>
      <c r="C26" s="28" t="str">
        <f>IF(VLOOKUP($C$1,ExpectedICC[#All],3,FALSE)=0,"No","Yes")</f>
        <v>Yes</v>
      </c>
      <c r="D26" s="28" t="str">
        <f>IF(COUNTIF(AN_TME_BY[[#All],[Insurance Category Code]],B26)=0,"No","Yes")</f>
        <v>No</v>
      </c>
      <c r="E26" s="28" t="str">
        <f>IF(VLOOKUP($C$1,ExpectedICC[#All],3,FALSE)=0,"No","Yes")</f>
        <v>Yes</v>
      </c>
      <c r="F26" s="28" t="str">
        <f>IF(COUNTIF(AN_TME_PY[[#All],[Insurance Category Code]],B26)=0,"No","Yes")</f>
        <v>No</v>
      </c>
      <c r="G26" s="28" t="str">
        <f t="shared" ref="G26:G31" si="0">IF(D26=F26, "Yes", "No")</f>
        <v>Yes</v>
      </c>
    </row>
    <row r="27" spans="2:8" x14ac:dyDescent="0.25">
      <c r="B27" s="4">
        <v>3</v>
      </c>
      <c r="C27" s="28" t="str">
        <f>IF(VLOOKUP($C$1,ExpectedICC[#All],4,FALSE)=0,"No","Yes")</f>
        <v>No</v>
      </c>
      <c r="D27" s="28" t="str">
        <f>IF(COUNTIF(AN_TME_BY[[#All],[Insurance Category Code]],B27)=0,"No","Yes")</f>
        <v>No</v>
      </c>
      <c r="E27" s="28" t="str">
        <f>IF(VLOOKUP($C$1,ExpectedICC[#All],4,FALSE)=0,"No","Yes")</f>
        <v>No</v>
      </c>
      <c r="F27" s="28" t="str">
        <f>IF(COUNTIF(AN_TME_PY[[#All],[Insurance Category Code]],B27)=0,"No","Yes")</f>
        <v>No</v>
      </c>
      <c r="G27" s="28" t="str">
        <f t="shared" si="0"/>
        <v>Yes</v>
      </c>
    </row>
    <row r="28" spans="2:8" x14ac:dyDescent="0.25">
      <c r="B28" s="4">
        <v>4</v>
      </c>
      <c r="C28" s="28" t="str">
        <f>IF(VLOOKUP($C$1,ExpectedICC[#All],5,FALSE)=0,"No","Yes")</f>
        <v>No</v>
      </c>
      <c r="D28" s="28" t="str">
        <f>IF(COUNTIF(AN_TME_BY[[#All],[Insurance Category Code]],B28)=0,"No","Yes")</f>
        <v>No</v>
      </c>
      <c r="E28" s="28" t="str">
        <f>IF(VLOOKUP($C$1,ExpectedICC[#All],5,FALSE)=0,"No","Yes")</f>
        <v>No</v>
      </c>
      <c r="F28" s="28" t="str">
        <f>IF(COUNTIF(AN_TME_PY[[#All],[Insurance Category Code]],B28)=0,"No","Yes")</f>
        <v>No</v>
      </c>
      <c r="G28" s="28" t="str">
        <f t="shared" si="0"/>
        <v>Yes</v>
      </c>
    </row>
    <row r="29" spans="2:8" x14ac:dyDescent="0.25">
      <c r="B29" s="4">
        <v>5</v>
      </c>
      <c r="C29" s="28" t="str">
        <f>IF(VLOOKUP($C$1,ExpectedICC[#All],6,FALSE)=0,"No","Yes")</f>
        <v>No</v>
      </c>
      <c r="D29" s="28" t="str">
        <f>IF(COUNTIF(AN_TME_BY[[#All],[Insurance Category Code]],B29)=0,"No","Yes")</f>
        <v>No</v>
      </c>
      <c r="E29" s="28" t="str">
        <f>IF(VLOOKUP($C$1,ExpectedICC[#All],6,FALSE)=0,"No","Yes")</f>
        <v>No</v>
      </c>
      <c r="F29" s="28" t="str">
        <f>IF(COUNTIF(AN_TME_PY[[#All],[Insurance Category Code]],B29)=0,"No","Yes")</f>
        <v>No</v>
      </c>
      <c r="G29" s="28" t="str">
        <f t="shared" si="0"/>
        <v>Yes</v>
      </c>
    </row>
    <row r="30" spans="2:8" x14ac:dyDescent="0.25">
      <c r="B30" s="4">
        <v>6</v>
      </c>
      <c r="C30" s="28" t="str">
        <f>IF(VLOOKUP($C$1,ExpectedICC[#All],7,FALSE)=0,"No","Yes")</f>
        <v>Yes</v>
      </c>
      <c r="D30" s="28" t="str">
        <f>IF(COUNTIF(AN_TME_BY[[#All],[Insurance Category Code]],B30)=0,"No","Yes")</f>
        <v>No</v>
      </c>
      <c r="E30" s="28" t="str">
        <f>IF(VLOOKUP($C$1,ExpectedICC[#All],7,FALSE)=0,"No","Yes")</f>
        <v>Yes</v>
      </c>
      <c r="F30" s="28" t="str">
        <f>IF(COUNTIF(AN_TME_PY[[#All],[Insurance Category Code]],B30)=0,"No","Yes")</f>
        <v>No</v>
      </c>
      <c r="G30" s="28" t="str">
        <f t="shared" si="0"/>
        <v>Yes</v>
      </c>
    </row>
    <row r="31" spans="2:8" x14ac:dyDescent="0.25">
      <c r="B31" s="4">
        <v>7</v>
      </c>
      <c r="C31" s="28" t="str">
        <f>IF(VLOOKUP($C$1,ExpectedICC[#All],8,FALSE)=0,"Maybe","Yes")</f>
        <v>Maybe</v>
      </c>
      <c r="D31" s="28" t="str">
        <f>IF(COUNTIF(AN_TME_BY[[#All],[Insurance Category Code]],B31)=0,"No","Yes")</f>
        <v>No</v>
      </c>
      <c r="E31" s="28" t="str">
        <f>IF(VLOOKUP($C$1,ExpectedICC[#All],8,FALSE)=0,"Maybe","Yes")</f>
        <v>Maybe</v>
      </c>
      <c r="F31" s="28" t="str">
        <f>IF(COUNTIF(AN_TME_PY[[#All],[Insurance Category Code]],B31)=0,"No","Yes")</f>
        <v>No</v>
      </c>
      <c r="G31" s="28" t="str">
        <f t="shared" si="0"/>
        <v>Yes</v>
      </c>
    </row>
    <row r="32" spans="2:8" x14ac:dyDescent="0.25">
      <c r="B32" s="2"/>
      <c r="C32" s="183"/>
      <c r="D32" s="183"/>
      <c r="F32" s="2"/>
      <c r="G32" s="183"/>
      <c r="H32" s="183"/>
    </row>
    <row r="33" spans="2:12" x14ac:dyDescent="0.25">
      <c r="B33" s="2"/>
      <c r="C33" s="183"/>
      <c r="D33" s="183"/>
      <c r="F33" s="2"/>
      <c r="G33" s="183"/>
      <c r="H33" s="183"/>
    </row>
    <row r="34" spans="2:12" x14ac:dyDescent="0.25">
      <c r="B34" s="15" t="s">
        <v>372</v>
      </c>
      <c r="E34" s="31"/>
      <c r="F34" s="3"/>
      <c r="G34" s="3"/>
      <c r="K34" s="29"/>
      <c r="L34" s="29"/>
    </row>
    <row r="35" spans="2:12" x14ac:dyDescent="0.25">
      <c r="B35" s="26" t="s">
        <v>373</v>
      </c>
      <c r="E35" s="31"/>
      <c r="F35" s="3"/>
      <c r="G35" s="3"/>
    </row>
    <row r="36" spans="2:12" ht="93" customHeight="1" x14ac:dyDescent="0.25">
      <c r="B36" s="5" t="s">
        <v>374</v>
      </c>
      <c r="C36" s="5" t="s">
        <v>340</v>
      </c>
      <c r="D36" s="5" t="s">
        <v>375</v>
      </c>
      <c r="E36" s="128" t="s">
        <v>376</v>
      </c>
      <c r="F36" s="5" t="s">
        <v>377</v>
      </c>
      <c r="G36" s="128" t="s">
        <v>378</v>
      </c>
    </row>
    <row r="37" spans="2:12" x14ac:dyDescent="0.25">
      <c r="B37" s="4" t="s">
        <v>317</v>
      </c>
      <c r="C37" s="16">
        <f>SUM(C38:C39)</f>
        <v>0</v>
      </c>
      <c r="D37" s="16">
        <f>SUM(LOBEnroll[[#All],[2023 Member Months]])</f>
        <v>0</v>
      </c>
      <c r="E37" s="16" t="str">
        <f>IF(C37=D37,"Yes",C37-D37)</f>
        <v>Yes</v>
      </c>
      <c r="F37" s="16">
        <f>SUM(F38:F39)</f>
        <v>0</v>
      </c>
      <c r="G37" s="16" t="str">
        <f>IF(C37=F37,"Yes",C37-F37)</f>
        <v>Yes</v>
      </c>
    </row>
    <row r="38" spans="2:12" x14ac:dyDescent="0.25">
      <c r="B38" s="4" t="s">
        <v>379</v>
      </c>
      <c r="C38" s="16">
        <f>SUMIFS(AN_TME_BY[[#All],[Member Months]], AN_TME_BY[[#All],[Advanced Network/Insurance Carrier Org ID]], 100, AN_TME_BY[[#All],[Insurance Category Code]], 2)</f>
        <v>0</v>
      </c>
      <c r="D38" s="16">
        <f>SUMIF(LOBEnroll[[#All],[Line of Business Category Code]], 907, LOBEnroll[[#All],[2023 Member Months]])</f>
        <v>0</v>
      </c>
      <c r="E38" s="16" t="str">
        <f t="shared" ref="E38:E39" si="1">IF(C38=D38,"Yes",C38-D38)</f>
        <v>Yes</v>
      </c>
      <c r="F38" s="16">
        <f>SUMIFS(Age_Sex_BY[[#All],[Total Member Months by Age/Sex Band]], Age_Sex_BY[[#All],[Insurance Category Code]],2, Age_Sex_BY[[#All],[Advanced Network ID]], 100)</f>
        <v>0</v>
      </c>
      <c r="G38" s="16" t="str">
        <f t="shared" ref="G38:G39" si="2">IF(C38=F38,"Yes",C38-F38)</f>
        <v>Yes</v>
      </c>
    </row>
    <row r="39" spans="2:12" x14ac:dyDescent="0.25">
      <c r="B39" s="4" t="s">
        <v>380</v>
      </c>
      <c r="C39" s="16">
        <f>SUMIFS(AN_TME_BY[[#All],[Member Months]], AN_TME_BY[[#All],[Advanced Network/Insurance Carrier Org ID]], 100, AN_TME_BY[[#All],[Insurance Category Code]], 6)</f>
        <v>0</v>
      </c>
      <c r="D39" s="16">
        <f>SUMIF(LOBEnroll[[#All],[Line of Business Category Code]], 908, LOBEnroll[[#All],[2023 Member Months]])</f>
        <v>0</v>
      </c>
      <c r="E39" s="16" t="str">
        <f t="shared" si="1"/>
        <v>Yes</v>
      </c>
      <c r="F39" s="16">
        <f>SUMIFS(Age_Sex_BY[[#All],[Total Member Months by Age/Sex Band]], Age_Sex_BY[[#All],[Insurance Category Code]],6, Age_Sex_BY[[#All],[Advanced Network ID]], 100)</f>
        <v>0</v>
      </c>
      <c r="G39" s="16" t="str">
        <f t="shared" si="2"/>
        <v>Yes</v>
      </c>
    </row>
    <row r="40" spans="2:12" x14ac:dyDescent="0.25">
      <c r="B40" s="2"/>
      <c r="C40" s="2"/>
      <c r="D40" s="2"/>
      <c r="F40" s="2"/>
      <c r="G40" s="2"/>
      <c r="I40" s="2"/>
    </row>
    <row r="41" spans="2:12" x14ac:dyDescent="0.25">
      <c r="B41" s="2"/>
      <c r="C41" s="2"/>
      <c r="D41" s="2"/>
      <c r="F41" s="2"/>
      <c r="G41" s="2"/>
      <c r="I41" s="2"/>
    </row>
    <row r="42" spans="2:12" x14ac:dyDescent="0.25">
      <c r="B42" s="15" t="s">
        <v>381</v>
      </c>
      <c r="F42" s="3"/>
      <c r="G42" s="3"/>
    </row>
    <row r="43" spans="2:12" x14ac:dyDescent="0.25">
      <c r="B43" s="26" t="s">
        <v>373</v>
      </c>
      <c r="E43" s="31"/>
      <c r="F43" s="3"/>
      <c r="G43" s="3"/>
    </row>
    <row r="44" spans="2:12" ht="89.25" customHeight="1" x14ac:dyDescent="0.25">
      <c r="B44" s="5" t="s">
        <v>374</v>
      </c>
      <c r="C44" s="5" t="s">
        <v>340</v>
      </c>
      <c r="D44" s="5" t="s">
        <v>375</v>
      </c>
      <c r="E44" s="128" t="s">
        <v>376</v>
      </c>
      <c r="F44" s="5" t="s">
        <v>377</v>
      </c>
      <c r="G44" s="128" t="s">
        <v>378</v>
      </c>
    </row>
    <row r="45" spans="2:12" x14ac:dyDescent="0.25">
      <c r="B45" s="4" t="s">
        <v>317</v>
      </c>
      <c r="C45" s="16">
        <f>SUM(C46:C47)</f>
        <v>0</v>
      </c>
      <c r="D45" s="16">
        <f>SUM(LOBEnroll[[#All],[2024 Member Months]])</f>
        <v>0</v>
      </c>
      <c r="E45" s="16" t="str">
        <f>IF(C45=D45,"Yes",C45-D45)</f>
        <v>Yes</v>
      </c>
      <c r="F45" s="16">
        <f>SUM(F46:F47)</f>
        <v>0</v>
      </c>
      <c r="G45" s="16" t="str">
        <f>IF(C45=F45,"Yes",C45-F45)</f>
        <v>Yes</v>
      </c>
    </row>
    <row r="46" spans="2:12" x14ac:dyDescent="0.25">
      <c r="B46" s="4" t="s">
        <v>379</v>
      </c>
      <c r="C46" s="16">
        <f>SUMIFS(AN_TME_PY[[#All],[Member Months]], AN_TME_PY[[#All],[Advanced Network/Insurance Carrier Org ID]], 100, AN_TME_PY[[#All],[Insurance Category Code]], 2)</f>
        <v>0</v>
      </c>
      <c r="D46" s="16">
        <f>SUMIF(LOBEnroll[[#All],[Line of Business Category Code]], 907, LOBEnroll[[#All],[2024 Member Months]])</f>
        <v>0</v>
      </c>
      <c r="E46" s="16" t="str">
        <f t="shared" ref="E46:E47" si="3">IF(C46=D46,"Yes",C46-D46)</f>
        <v>Yes</v>
      </c>
      <c r="F46" s="16">
        <f>SUMIFS(Age_Sex_PY[[#All],[Total Member Months by Age/Sex Band]], Age_Sex_PY[[#All],[Insurance Category Code]],2, Age_Sex_PY[[#All],[Advanced Network ID]], 100)</f>
        <v>0</v>
      </c>
      <c r="G46" s="16" t="str">
        <f t="shared" ref="G46:G47" si="4">IF(C46=F46,"Yes",C46-F46)</f>
        <v>Yes</v>
      </c>
    </row>
    <row r="47" spans="2:12" x14ac:dyDescent="0.25">
      <c r="B47" s="4" t="s">
        <v>382</v>
      </c>
      <c r="C47" s="16">
        <f>SUMIFS(AN_TME_PY[[#All],[Member Months]], AN_TME_PY[[#All],[Advanced Network/Insurance Carrier Org ID]], 100, AN_TME_PY[[#All],[Insurance Category Code]], 6)</f>
        <v>0</v>
      </c>
      <c r="D47" s="16">
        <f>SUMIF(LOBEnroll[[#All],[Line of Business Category Code]], 908, LOBEnroll[[#All],[2024 Member Months]])</f>
        <v>0</v>
      </c>
      <c r="E47" s="16" t="str">
        <f t="shared" si="3"/>
        <v>Yes</v>
      </c>
      <c r="F47" s="16">
        <f>SUMIFS(Age_Sex_PY[[#All],[Total Member Months by Age/Sex Band]], Age_Sex_PY[[#All],[Insurance Category Code]],6, Age_Sex_PY[[#All],[Advanced Network ID]], 100)</f>
        <v>0</v>
      </c>
      <c r="G47" s="16" t="str">
        <f t="shared" si="4"/>
        <v>Yes</v>
      </c>
    </row>
    <row r="48" spans="2:12" x14ac:dyDescent="0.25">
      <c r="B48" s="15"/>
      <c r="E48" s="31"/>
      <c r="F48" s="3"/>
      <c r="G48" s="3"/>
    </row>
    <row r="49" spans="2:7" x14ac:dyDescent="0.25">
      <c r="B49" s="31"/>
      <c r="C49" s="14"/>
      <c r="D49" s="64"/>
    </row>
    <row r="50" spans="2:7" ht="15.75" thickBot="1" x14ac:dyDescent="0.3">
      <c r="B50" s="15" t="s">
        <v>383</v>
      </c>
      <c r="C50" s="14"/>
      <c r="D50" s="64"/>
    </row>
    <row r="51" spans="2:7" x14ac:dyDescent="0.25">
      <c r="B51" s="289" t="s">
        <v>267</v>
      </c>
      <c r="C51" s="290" t="s">
        <v>384</v>
      </c>
      <c r="D51" s="290" t="s">
        <v>385</v>
      </c>
      <c r="E51" s="286"/>
      <c r="F51" s="290" t="s">
        <v>384</v>
      </c>
      <c r="G51" s="291" t="s">
        <v>385</v>
      </c>
    </row>
    <row r="52" spans="2:7" x14ac:dyDescent="0.25">
      <c r="B52" s="287">
        <v>100</v>
      </c>
      <c r="C52" s="292">
        <f>SUMIFS(AN_TME_BY[Member Months],AN_TME_BY[Advanced Network/Insurance Carrier Org ID],$B52,AN_TME_BY[Insurance Category Code],RIGHT(C$51,1))</f>
        <v>0</v>
      </c>
      <c r="D52" s="292">
        <f>SUMIFS(AN_TME_BY[Member Months],AN_TME_BY[Advanced Network/Insurance Carrier Org ID],$B52,AN_TME_BY[Insurance Category Code],RIGHT(D$51,1))</f>
        <v>0</v>
      </c>
      <c r="E52" s="295"/>
      <c r="F52" s="292">
        <f>SUMIFS(AN_TME_PY[Member Months],AN_TME_PY[Advanced Network/Insurance Carrier Org ID],$B52,AN_TME_PY[Insurance Category Code],RIGHT(F$51,1))</f>
        <v>0</v>
      </c>
      <c r="G52" s="296">
        <f>SUMIFS(AN_TME_PY[Member Months],AN_TME_PY[Advanced Network/Insurance Carrier Org ID],$B52,AN_TME_PY[Insurance Category Code],RIGHT(G$51,1))</f>
        <v>0</v>
      </c>
    </row>
    <row r="53" spans="2:7" x14ac:dyDescent="0.25">
      <c r="B53" s="287">
        <v>101</v>
      </c>
      <c r="C53" s="292">
        <f>SUMIFS(AN_TME_BY[Member Months],AN_TME_BY[Advanced Network/Insurance Carrier Org ID],$B53,AN_TME_BY[Insurance Category Code],RIGHT(C$51,1))</f>
        <v>0</v>
      </c>
      <c r="D53" s="295"/>
      <c r="E53" s="295"/>
      <c r="F53" s="292">
        <f>SUMIFS(AN_TME_PY[Member Months],AN_TME_PY[Advanced Network/Insurance Carrier Org ID],$B53,AN_TME_PY[Insurance Category Code],RIGHT(F$51,1))</f>
        <v>0</v>
      </c>
      <c r="G53" s="315"/>
    </row>
    <row r="54" spans="2:7" x14ac:dyDescent="0.25">
      <c r="B54" s="287">
        <v>102</v>
      </c>
      <c r="C54" s="292">
        <f>SUMIFS(AN_TME_BY[Member Months],AN_TME_BY[Advanced Network/Insurance Carrier Org ID],$B54,AN_TME_BY[Insurance Category Code],RIGHT(C$51,1))</f>
        <v>0</v>
      </c>
      <c r="D54" s="295"/>
      <c r="E54" s="295"/>
      <c r="F54" s="292">
        <f>SUMIFS(AN_TME_PY[Member Months],AN_TME_PY[Advanced Network/Insurance Carrier Org ID],$B54,AN_TME_PY[Insurance Category Code],RIGHT(F$51,1))</f>
        <v>0</v>
      </c>
      <c r="G54" s="315"/>
    </row>
    <row r="55" spans="2:7" x14ac:dyDescent="0.25">
      <c r="B55" s="287">
        <v>103</v>
      </c>
      <c r="C55" s="292">
        <f>SUMIFS(AN_TME_BY[Member Months],AN_TME_BY[Advanced Network/Insurance Carrier Org ID],$B55,AN_TME_BY[Insurance Category Code],RIGHT(C$51,1))</f>
        <v>0</v>
      </c>
      <c r="D55" s="295"/>
      <c r="E55" s="295"/>
      <c r="F55" s="292">
        <f>SUMIFS(AN_TME_PY[Member Months],AN_TME_PY[Advanced Network/Insurance Carrier Org ID],$B55,AN_TME_PY[Insurance Category Code],RIGHT(F$51,1))</f>
        <v>0</v>
      </c>
      <c r="G55" s="315"/>
    </row>
    <row r="56" spans="2:7" x14ac:dyDescent="0.25">
      <c r="B56" s="287">
        <v>104</v>
      </c>
      <c r="C56" s="292">
        <f>SUMIFS(AN_TME_BY[Member Months],AN_TME_BY[Advanced Network/Insurance Carrier Org ID],$B56,AN_TME_BY[Insurance Category Code],RIGHT(C$51,1))</f>
        <v>0</v>
      </c>
      <c r="D56" s="295"/>
      <c r="E56" s="295"/>
      <c r="F56" s="292">
        <f>SUMIFS(AN_TME_PY[Member Months],AN_TME_PY[Advanced Network/Insurance Carrier Org ID],$B56,AN_TME_PY[Insurance Category Code],RIGHT(F$51,1))</f>
        <v>0</v>
      </c>
      <c r="G56" s="315"/>
    </row>
    <row r="57" spans="2:7" x14ac:dyDescent="0.25">
      <c r="B57" s="287">
        <v>106</v>
      </c>
      <c r="C57" s="292">
        <f>SUMIFS(AN_TME_BY[Member Months],AN_TME_BY[Advanced Network/Insurance Carrier Org ID],$B57,AN_TME_BY[Insurance Category Code],RIGHT(C$51,1))</f>
        <v>0</v>
      </c>
      <c r="D57" s="295"/>
      <c r="E57" s="295"/>
      <c r="F57" s="292">
        <f>SUMIFS(AN_TME_PY[Member Months],AN_TME_PY[Advanced Network/Insurance Carrier Org ID],$B57,AN_TME_PY[Insurance Category Code],RIGHT(F$51,1))</f>
        <v>0</v>
      </c>
      <c r="G57" s="315"/>
    </row>
    <row r="58" spans="2:7" x14ac:dyDescent="0.25">
      <c r="B58" s="287">
        <v>107</v>
      </c>
      <c r="C58" s="292">
        <f>SUMIFS(AN_TME_BY[Member Months],AN_TME_BY[Advanced Network/Insurance Carrier Org ID],$B58,AN_TME_BY[Insurance Category Code],RIGHT(C$51,1))</f>
        <v>0</v>
      </c>
      <c r="D58" s="295"/>
      <c r="E58" s="295"/>
      <c r="F58" s="292">
        <f>SUMIFS(AN_TME_PY[Member Months],AN_TME_PY[Advanced Network/Insurance Carrier Org ID],$B58,AN_TME_PY[Insurance Category Code],RIGHT(F$51,1))</f>
        <v>0</v>
      </c>
      <c r="G58" s="315"/>
    </row>
    <row r="59" spans="2:7" x14ac:dyDescent="0.25">
      <c r="B59" s="287">
        <v>108</v>
      </c>
      <c r="C59" s="292">
        <f>SUMIFS(AN_TME_BY[Member Months],AN_TME_BY[Advanced Network/Insurance Carrier Org ID],$B59,AN_TME_BY[Insurance Category Code],RIGHT(C$51,1))</f>
        <v>0</v>
      </c>
      <c r="D59" s="295"/>
      <c r="E59" s="295"/>
      <c r="F59" s="292">
        <f>SUMIFS(AN_TME_PY[Member Months],AN_TME_PY[Advanced Network/Insurance Carrier Org ID],$B59,AN_TME_PY[Insurance Category Code],RIGHT(F$51,1))</f>
        <v>0</v>
      </c>
      <c r="G59" s="315"/>
    </row>
    <row r="60" spans="2:7" x14ac:dyDescent="0.25">
      <c r="B60" s="287">
        <v>109</v>
      </c>
      <c r="C60" s="292">
        <f>SUMIFS(AN_TME_BY[Member Months],AN_TME_BY[Advanced Network/Insurance Carrier Org ID],$B60,AN_TME_BY[Insurance Category Code],RIGHT(C$51,1))</f>
        <v>0</v>
      </c>
      <c r="D60" s="295"/>
      <c r="E60" s="295"/>
      <c r="F60" s="292">
        <f>SUMIFS(AN_TME_PY[Member Months],AN_TME_PY[Advanced Network/Insurance Carrier Org ID],$B60,AN_TME_PY[Insurance Category Code],RIGHT(F$51,1))</f>
        <v>0</v>
      </c>
      <c r="G60" s="315"/>
    </row>
    <row r="61" spans="2:7" x14ac:dyDescent="0.25">
      <c r="B61" s="287">
        <v>110</v>
      </c>
      <c r="C61" s="292">
        <f>SUMIFS(AN_TME_BY[Member Months],AN_TME_BY[Advanced Network/Insurance Carrier Org ID],$B61,AN_TME_BY[Insurance Category Code],RIGHT(C$51,1))</f>
        <v>0</v>
      </c>
      <c r="D61" s="295"/>
      <c r="E61" s="295"/>
      <c r="F61" s="292">
        <f>SUMIFS(AN_TME_PY[Member Months],AN_TME_PY[Advanced Network/Insurance Carrier Org ID],$B61,AN_TME_PY[Insurance Category Code],RIGHT(F$51,1))</f>
        <v>0</v>
      </c>
      <c r="G61" s="315"/>
    </row>
    <row r="62" spans="2:7" x14ac:dyDescent="0.25">
      <c r="B62" s="287">
        <v>112</v>
      </c>
      <c r="C62" s="292">
        <f>SUMIFS(AN_TME_BY[Member Months],AN_TME_BY[Advanced Network/Insurance Carrier Org ID],$B62,AN_TME_BY[Insurance Category Code],RIGHT(C$51,1))</f>
        <v>0</v>
      </c>
      <c r="D62" s="295"/>
      <c r="E62" s="295"/>
      <c r="F62" s="292">
        <f>SUMIFS(AN_TME_PY[Member Months],AN_TME_PY[Advanced Network/Insurance Carrier Org ID],$B62,AN_TME_PY[Insurance Category Code],RIGHT(F$51,1))</f>
        <v>0</v>
      </c>
      <c r="G62" s="315"/>
    </row>
    <row r="63" spans="2:7" x14ac:dyDescent="0.25">
      <c r="B63" s="287">
        <v>113</v>
      </c>
      <c r="C63" s="292">
        <f>SUMIFS(AN_TME_BY[Member Months],AN_TME_BY[Advanced Network/Insurance Carrier Org ID],$B63,AN_TME_BY[Insurance Category Code],RIGHT(C$51,1))</f>
        <v>0</v>
      </c>
      <c r="D63" s="295"/>
      <c r="E63" s="295"/>
      <c r="F63" s="292">
        <f>SUMIFS(AN_TME_PY[Member Months],AN_TME_PY[Advanced Network/Insurance Carrier Org ID],$B63,AN_TME_PY[Insurance Category Code],RIGHT(F$51,1))</f>
        <v>0</v>
      </c>
      <c r="G63" s="315"/>
    </row>
    <row r="64" spans="2:7" x14ac:dyDescent="0.25">
      <c r="B64" s="287">
        <v>114</v>
      </c>
      <c r="C64" s="292">
        <f>SUMIFS(AN_TME_BY[Member Months],AN_TME_BY[Advanced Network/Insurance Carrier Org ID],$B64,AN_TME_BY[Insurance Category Code],RIGHT(C$51,1))</f>
        <v>0</v>
      </c>
      <c r="D64" s="295"/>
      <c r="E64" s="295"/>
      <c r="F64" s="292">
        <f>SUMIFS(AN_TME_PY[Member Months],AN_TME_PY[Advanced Network/Insurance Carrier Org ID],$B64,AN_TME_PY[Insurance Category Code],RIGHT(F$51,1))</f>
        <v>0</v>
      </c>
      <c r="G64" s="315"/>
    </row>
    <row r="65" spans="2:7" x14ac:dyDescent="0.25">
      <c r="B65" s="287">
        <v>115</v>
      </c>
      <c r="C65" s="292">
        <f>SUMIFS(AN_TME_BY[Member Months],AN_TME_BY[Advanced Network/Insurance Carrier Org ID],$B65,AN_TME_BY[Insurance Category Code],RIGHT(C$51,1))</f>
        <v>0</v>
      </c>
      <c r="D65" s="295"/>
      <c r="E65" s="295"/>
      <c r="F65" s="292">
        <f>SUMIFS(AN_TME_PY[Member Months],AN_TME_PY[Advanced Network/Insurance Carrier Org ID],$B65,AN_TME_PY[Insurance Category Code],RIGHT(F$51,1))</f>
        <v>0</v>
      </c>
      <c r="G65" s="315"/>
    </row>
    <row r="66" spans="2:7" x14ac:dyDescent="0.25">
      <c r="B66" s="287">
        <v>116</v>
      </c>
      <c r="C66" s="292">
        <f>SUMIFS(AN_TME_BY[Member Months],AN_TME_BY[Advanced Network/Insurance Carrier Org ID],$B66,AN_TME_BY[Insurance Category Code],RIGHT(C$51,1))</f>
        <v>0</v>
      </c>
      <c r="D66" s="295"/>
      <c r="E66" s="295"/>
      <c r="F66" s="292">
        <f>SUMIFS(AN_TME_PY[Member Months],AN_TME_PY[Advanced Network/Insurance Carrier Org ID],$B66,AN_TME_PY[Insurance Category Code],RIGHT(F$51,1))</f>
        <v>0</v>
      </c>
      <c r="G66" s="315"/>
    </row>
    <row r="67" spans="2:7" x14ac:dyDescent="0.25">
      <c r="B67" s="287">
        <v>117</v>
      </c>
      <c r="C67" s="292">
        <f>SUMIFS(AN_TME_BY[Member Months],AN_TME_BY[Advanced Network/Insurance Carrier Org ID],$B67,AN_TME_BY[Insurance Category Code],RIGHT(C$51,1))</f>
        <v>0</v>
      </c>
      <c r="D67" s="295"/>
      <c r="E67" s="295"/>
      <c r="F67" s="292">
        <f>SUMIFS(AN_TME_PY[Member Months],AN_TME_PY[Advanced Network/Insurance Carrier Org ID],$B67,AN_TME_PY[Insurance Category Code],RIGHT(F$51,1))</f>
        <v>0</v>
      </c>
      <c r="G67" s="315"/>
    </row>
    <row r="68" spans="2:7" x14ac:dyDescent="0.25">
      <c r="B68" s="287">
        <v>118</v>
      </c>
      <c r="C68" s="292">
        <f>SUMIFS(AN_TME_BY[Member Months],AN_TME_BY[Advanced Network/Insurance Carrier Org ID],$B68,AN_TME_BY[Insurance Category Code],RIGHT(C$51,1))</f>
        <v>0</v>
      </c>
      <c r="D68" s="295"/>
      <c r="E68" s="295"/>
      <c r="F68" s="292">
        <f>SUMIFS(AN_TME_PY[Member Months],AN_TME_PY[Advanced Network/Insurance Carrier Org ID],$B68,AN_TME_PY[Insurance Category Code],RIGHT(F$51,1))</f>
        <v>0</v>
      </c>
      <c r="G68" s="315"/>
    </row>
    <row r="69" spans="2:7" x14ac:dyDescent="0.25">
      <c r="B69" s="287">
        <v>119</v>
      </c>
      <c r="C69" s="292">
        <f>SUMIFS(AN_TME_BY[Member Months],AN_TME_BY[Advanced Network/Insurance Carrier Org ID],$B69,AN_TME_BY[Insurance Category Code],RIGHT(C$51,1))</f>
        <v>0</v>
      </c>
      <c r="D69" s="295"/>
      <c r="E69" s="295"/>
      <c r="F69" s="292">
        <f>SUMIFS(AN_TME_PY[Member Months],AN_TME_PY[Advanced Network/Insurance Carrier Org ID],$B69,AN_TME_PY[Insurance Category Code],RIGHT(F$51,1))</f>
        <v>0</v>
      </c>
      <c r="G69" s="315"/>
    </row>
    <row r="70" spans="2:7" x14ac:dyDescent="0.25">
      <c r="B70" s="287">
        <v>120</v>
      </c>
      <c r="C70" s="292">
        <f>SUMIFS(AN_TME_BY[Member Months],AN_TME_BY[Advanced Network/Insurance Carrier Org ID],$B70,AN_TME_BY[Insurance Category Code],RIGHT(C$51,1))</f>
        <v>0</v>
      </c>
      <c r="D70" s="295"/>
      <c r="E70" s="295"/>
      <c r="F70" s="292">
        <f>SUMIFS(AN_TME_PY[Member Months],AN_TME_PY[Advanced Network/Insurance Carrier Org ID],$B70,AN_TME_PY[Insurance Category Code],RIGHT(F$51,1))</f>
        <v>0</v>
      </c>
      <c r="G70" s="315"/>
    </row>
    <row r="71" spans="2:7" x14ac:dyDescent="0.25">
      <c r="B71" s="287">
        <v>121</v>
      </c>
      <c r="C71" s="292">
        <f>SUMIFS(AN_TME_BY[Member Months],AN_TME_BY[Advanced Network/Insurance Carrier Org ID],$B71,AN_TME_BY[Insurance Category Code],RIGHT(C$51,1))</f>
        <v>0</v>
      </c>
      <c r="D71" s="295"/>
      <c r="E71" s="295"/>
      <c r="F71" s="292">
        <f>SUMIFS(AN_TME_PY[Member Months],AN_TME_PY[Advanced Network/Insurance Carrier Org ID],$B71,AN_TME_PY[Insurance Category Code],RIGHT(F$51,1))</f>
        <v>0</v>
      </c>
      <c r="G71" s="315"/>
    </row>
    <row r="72" spans="2:7" x14ac:dyDescent="0.25">
      <c r="B72" s="287">
        <v>122</v>
      </c>
      <c r="C72" s="292">
        <f>SUMIFS(AN_TME_BY[Member Months],AN_TME_BY[Advanced Network/Insurance Carrier Org ID],$B72,AN_TME_BY[Insurance Category Code],RIGHT(C$51,1))</f>
        <v>0</v>
      </c>
      <c r="D72" s="295"/>
      <c r="E72" s="295"/>
      <c r="F72" s="292">
        <f>SUMIFS(AN_TME_PY[Member Months],AN_TME_PY[Advanced Network/Insurance Carrier Org ID],$B72,AN_TME_PY[Insurance Category Code],RIGHT(F$51,1))</f>
        <v>0</v>
      </c>
      <c r="G72" s="315"/>
    </row>
    <row r="73" spans="2:7" x14ac:dyDescent="0.25">
      <c r="B73" s="287">
        <v>123</v>
      </c>
      <c r="C73" s="292">
        <f>SUMIFS(AN_TME_BY[Member Months],AN_TME_BY[Advanced Network/Insurance Carrier Org ID],$B73,AN_TME_BY[Insurance Category Code],RIGHT(C$51,1))</f>
        <v>0</v>
      </c>
      <c r="D73" s="295"/>
      <c r="E73" s="295"/>
      <c r="F73" s="292">
        <f>SUMIFS(AN_TME_PY[Member Months],AN_TME_PY[Advanced Network/Insurance Carrier Org ID],$B73,AN_TME_PY[Insurance Category Code],RIGHT(F$51,1))</f>
        <v>0</v>
      </c>
      <c r="G73" s="315"/>
    </row>
    <row r="74" spans="2:7" x14ac:dyDescent="0.25">
      <c r="B74" s="287">
        <v>124</v>
      </c>
      <c r="C74" s="292">
        <f>SUMIFS(AN_TME_BY[Member Months],AN_TME_BY[Advanced Network/Insurance Carrier Org ID],$B74,AN_TME_BY[Insurance Category Code],RIGHT(C$51,1))</f>
        <v>0</v>
      </c>
      <c r="D74" s="295"/>
      <c r="E74" s="295"/>
      <c r="F74" s="292">
        <f>SUMIFS(AN_TME_PY[Member Months],AN_TME_PY[Advanced Network/Insurance Carrier Org ID],$B74,AN_TME_PY[Insurance Category Code],RIGHT(F$51,1))</f>
        <v>0</v>
      </c>
      <c r="G74" s="315"/>
    </row>
    <row r="75" spans="2:7" x14ac:dyDescent="0.25">
      <c r="B75" s="287">
        <v>125</v>
      </c>
      <c r="C75" s="292">
        <f>SUMIFS(AN_TME_BY[Member Months],AN_TME_BY[Advanced Network/Insurance Carrier Org ID],$B75,AN_TME_BY[Insurance Category Code],RIGHT(C$51,1))</f>
        <v>0</v>
      </c>
      <c r="D75" s="295"/>
      <c r="E75" s="295"/>
      <c r="F75" s="292">
        <f>SUMIFS(AN_TME_PY[Member Months],AN_TME_PY[Advanced Network/Insurance Carrier Org ID],$B75,AN_TME_PY[Insurance Category Code],RIGHT(F$51,1))</f>
        <v>0</v>
      </c>
      <c r="G75" s="315"/>
    </row>
    <row r="76" spans="2:7" x14ac:dyDescent="0.25">
      <c r="B76" s="287">
        <v>126</v>
      </c>
      <c r="C76" s="292">
        <f>SUMIFS(AN_TME_BY[Member Months],AN_TME_BY[Advanced Network/Insurance Carrier Org ID],$B76,AN_TME_BY[Insurance Category Code],RIGHT(C$51,1))</f>
        <v>0</v>
      </c>
      <c r="D76" s="295"/>
      <c r="E76" s="295"/>
      <c r="F76" s="292">
        <f>SUMIFS(AN_TME_PY[Member Months],AN_TME_PY[Advanced Network/Insurance Carrier Org ID],$B76,AN_TME_PY[Insurance Category Code],RIGHT(F$51,1))</f>
        <v>0</v>
      </c>
      <c r="G76" s="315"/>
    </row>
    <row r="77" spans="2:7" x14ac:dyDescent="0.25">
      <c r="B77" s="287">
        <v>127</v>
      </c>
      <c r="C77" s="292">
        <f>SUMIFS(AN_TME_BY[Member Months],AN_TME_BY[Advanced Network/Insurance Carrier Org ID],$B77,AN_TME_BY[Insurance Category Code],RIGHT(C$51,1))</f>
        <v>0</v>
      </c>
      <c r="D77" s="295"/>
      <c r="E77" s="295"/>
      <c r="F77" s="292">
        <f>SUMIFS(AN_TME_PY[Member Months],AN_TME_PY[Advanced Network/Insurance Carrier Org ID],$B77,AN_TME_PY[Insurance Category Code],RIGHT(F$51,1))</f>
        <v>0</v>
      </c>
      <c r="G77" s="315"/>
    </row>
    <row r="78" spans="2:7" x14ac:dyDescent="0.25">
      <c r="B78" s="287">
        <v>128</v>
      </c>
      <c r="C78" s="292">
        <f>SUMIFS(AN_TME_BY[Member Months],AN_TME_BY[Advanced Network/Insurance Carrier Org ID],$B78,AN_TME_BY[Insurance Category Code],RIGHT(C$51,1))</f>
        <v>0</v>
      </c>
      <c r="D78" s="295"/>
      <c r="E78" s="295"/>
      <c r="F78" s="292">
        <f>SUMIFS(AN_TME_PY[Member Months],AN_TME_PY[Advanced Network/Insurance Carrier Org ID],$B78,AN_TME_PY[Insurance Category Code],RIGHT(F$51,1))</f>
        <v>0</v>
      </c>
      <c r="G78" s="315"/>
    </row>
    <row r="79" spans="2:7" x14ac:dyDescent="0.25">
      <c r="B79" s="287">
        <v>129</v>
      </c>
      <c r="C79" s="292">
        <f>SUMIFS(AN_TME_BY[Member Months],AN_TME_BY[Advanced Network/Insurance Carrier Org ID],$B79,AN_TME_BY[Insurance Category Code],RIGHT(C$51,1))</f>
        <v>0</v>
      </c>
      <c r="D79" s="295"/>
      <c r="E79" s="295"/>
      <c r="F79" s="292">
        <f>SUMIFS(AN_TME_PY[Member Months],AN_TME_PY[Advanced Network/Insurance Carrier Org ID],$B79,AN_TME_PY[Insurance Category Code],RIGHT(F$51,1))</f>
        <v>0</v>
      </c>
      <c r="G79" s="315"/>
    </row>
    <row r="80" spans="2:7" x14ac:dyDescent="0.25">
      <c r="B80" s="287">
        <v>130</v>
      </c>
      <c r="C80" s="292">
        <f>SUMIFS(AN_TME_BY[Member Months],AN_TME_BY[Advanced Network/Insurance Carrier Org ID],$B80,AN_TME_BY[Insurance Category Code],RIGHT(C$51,1))</f>
        <v>0</v>
      </c>
      <c r="D80" s="295"/>
      <c r="E80" s="295"/>
      <c r="F80" s="292">
        <f>SUMIFS(AN_TME_PY[Member Months],AN_TME_PY[Advanced Network/Insurance Carrier Org ID],$B80,AN_TME_PY[Insurance Category Code],RIGHT(F$51,1))</f>
        <v>0</v>
      </c>
      <c r="G80" s="315"/>
    </row>
    <row r="81" spans="2:34" x14ac:dyDescent="0.25">
      <c r="B81" s="287">
        <v>131</v>
      </c>
      <c r="C81" s="292">
        <f>SUMIFS(AN_TME_BY[Member Months],AN_TME_BY[Advanced Network/Insurance Carrier Org ID],$B81,AN_TME_BY[Insurance Category Code],RIGHT(C$51,1))</f>
        <v>0</v>
      </c>
      <c r="D81" s="295"/>
      <c r="E81" s="295"/>
      <c r="F81" s="292">
        <f>SUMIFS(AN_TME_PY[Member Months],AN_TME_PY[Advanced Network/Insurance Carrier Org ID],$B81,AN_TME_PY[Insurance Category Code],RIGHT(F$51,1))</f>
        <v>0</v>
      </c>
      <c r="G81" s="315"/>
    </row>
    <row r="82" spans="2:34" x14ac:dyDescent="0.25">
      <c r="B82" s="287">
        <v>132</v>
      </c>
      <c r="C82" s="292">
        <f>SUMIFS(AN_TME_BY[Member Months],AN_TME_BY[Advanced Network/Insurance Carrier Org ID],$B82,AN_TME_BY[Insurance Category Code],RIGHT(C$51,1))</f>
        <v>0</v>
      </c>
      <c r="D82" s="295"/>
      <c r="E82" s="295"/>
      <c r="F82" s="292">
        <f>SUMIFS(AN_TME_PY[Member Months],AN_TME_PY[Advanced Network/Insurance Carrier Org ID],$B82,AN_TME_PY[Insurance Category Code],RIGHT(F$51,1))</f>
        <v>0</v>
      </c>
      <c r="G82" s="315"/>
    </row>
    <row r="83" spans="2:34" x14ac:dyDescent="0.25">
      <c r="B83" s="287">
        <v>133</v>
      </c>
      <c r="C83" s="292">
        <f>SUMIFS(AN_TME_BY[Member Months],AN_TME_BY[Advanced Network/Insurance Carrier Org ID],$B83,AN_TME_BY[Insurance Category Code],RIGHT(C$51,1))</f>
        <v>0</v>
      </c>
      <c r="D83" s="295"/>
      <c r="E83" s="295"/>
      <c r="F83" s="292">
        <f>SUMIFS(AN_TME_PY[Member Months],AN_TME_PY[Advanced Network/Insurance Carrier Org ID],$B83,AN_TME_PY[Insurance Category Code],RIGHT(F$51,1))</f>
        <v>0</v>
      </c>
      <c r="G83" s="315"/>
    </row>
    <row r="84" spans="2:34" x14ac:dyDescent="0.25">
      <c r="B84" s="287">
        <v>134</v>
      </c>
      <c r="C84" s="292">
        <f>SUMIFS(AN_TME_BY[Member Months],AN_TME_BY[Advanced Network/Insurance Carrier Org ID],$B84,AN_TME_BY[Insurance Category Code],RIGHT(C$51,1))</f>
        <v>0</v>
      </c>
      <c r="D84" s="295"/>
      <c r="E84" s="295"/>
      <c r="F84" s="292">
        <f>SUMIFS(AN_TME_PY[Member Months],AN_TME_PY[Advanced Network/Insurance Carrier Org ID],$B84,AN_TME_PY[Insurance Category Code],RIGHT(F$51,1))</f>
        <v>0</v>
      </c>
      <c r="G84" s="315"/>
    </row>
    <row r="85" spans="2:34" ht="15.75" thickBot="1" x14ac:dyDescent="0.3">
      <c r="B85" s="288">
        <v>999</v>
      </c>
      <c r="C85" s="297">
        <f>SUMIFS(AN_TME_BY[Member Months],AN_TME_BY[Advanced Network/Insurance Carrier Org ID],$B85,AN_TME_BY[Insurance Category Code],RIGHT(C$51,1))</f>
        <v>0</v>
      </c>
      <c r="D85" s="297">
        <f>SUMIFS(AN_TME_BY[Member Months],AN_TME_BY[Advanced Network/Insurance Carrier Org ID],$B85,AN_TME_BY[Insurance Category Code],RIGHT(D$51,1))</f>
        <v>0</v>
      </c>
      <c r="E85" s="298"/>
      <c r="F85" s="297">
        <f>SUMIFS(AN_TME_PY[Member Months],AN_TME_PY[Advanced Network/Insurance Carrier Org ID],$B85,AN_TME_PY[Insurance Category Code],RIGHT(F$51,1))</f>
        <v>0</v>
      </c>
      <c r="G85" s="299">
        <f>SUMIFS(AN_TME_PY[Member Months],AN_TME_PY[Advanced Network/Insurance Carrier Org ID],$B85,AN_TME_PY[Insurance Category Code],RIGHT(G$51,1))</f>
        <v>0</v>
      </c>
    </row>
    <row r="86" spans="2:34" x14ac:dyDescent="0.25">
      <c r="B86" s="31"/>
      <c r="C86" s="14"/>
      <c r="D86" s="64"/>
    </row>
    <row r="87" spans="2:34" ht="15.75" thickBot="1" x14ac:dyDescent="0.3">
      <c r="B87" s="15" t="s">
        <v>386</v>
      </c>
      <c r="C87" s="14"/>
      <c r="D87" s="64"/>
    </row>
    <row r="88" spans="2:34" ht="24" thickBot="1" x14ac:dyDescent="0.4">
      <c r="B88" s="283" t="s">
        <v>384</v>
      </c>
      <c r="C88" s="356" t="s">
        <v>387</v>
      </c>
      <c r="D88" s="357"/>
      <c r="E88" s="357"/>
      <c r="F88" s="357"/>
      <c r="G88" s="358"/>
      <c r="H88" s="359" t="s">
        <v>388</v>
      </c>
      <c r="I88" s="360"/>
      <c r="J88" s="360"/>
      <c r="K88" s="360"/>
      <c r="L88" s="361"/>
      <c r="M88" s="354" t="s">
        <v>389</v>
      </c>
      <c r="N88" s="354"/>
      <c r="O88" s="355"/>
      <c r="R88" s="283" t="s">
        <v>384</v>
      </c>
      <c r="S88" s="356" t="s">
        <v>390</v>
      </c>
      <c r="T88" s="357"/>
      <c r="U88" s="357"/>
      <c r="V88" s="357"/>
      <c r="W88" s="358"/>
      <c r="X88" s="359" t="s">
        <v>391</v>
      </c>
      <c r="Y88" s="360"/>
      <c r="Z88" s="360"/>
      <c r="AA88" s="360"/>
      <c r="AB88" s="361"/>
      <c r="AC88" s="353" t="s">
        <v>389</v>
      </c>
      <c r="AD88" s="354"/>
      <c r="AE88" s="355"/>
    </row>
    <row r="89" spans="2:34" s="29" customFormat="1" ht="129" customHeight="1" x14ac:dyDescent="0.25">
      <c r="B89" s="284" t="s">
        <v>267</v>
      </c>
      <c r="C89" s="192" t="s">
        <v>182</v>
      </c>
      <c r="D89" s="193" t="s">
        <v>268</v>
      </c>
      <c r="E89" s="193" t="s">
        <v>392</v>
      </c>
      <c r="F89" s="193" t="s">
        <v>184</v>
      </c>
      <c r="G89" s="194" t="s">
        <v>188</v>
      </c>
      <c r="H89" s="186" t="s">
        <v>242</v>
      </c>
      <c r="I89" s="187" t="s">
        <v>393</v>
      </c>
      <c r="J89" s="187" t="s">
        <v>394</v>
      </c>
      <c r="K89" s="187" t="s">
        <v>395</v>
      </c>
      <c r="L89" s="188" t="s">
        <v>396</v>
      </c>
      <c r="M89" s="199" t="s">
        <v>397</v>
      </c>
      <c r="N89" s="200" t="s">
        <v>398</v>
      </c>
      <c r="O89" s="201" t="s">
        <v>399</v>
      </c>
      <c r="P89"/>
      <c r="Q89"/>
      <c r="R89" s="284" t="s">
        <v>267</v>
      </c>
      <c r="S89" s="192" t="s">
        <v>182</v>
      </c>
      <c r="T89" s="193" t="s">
        <v>268</v>
      </c>
      <c r="U89" s="193" t="s">
        <v>392</v>
      </c>
      <c r="V89" s="193" t="s">
        <v>184</v>
      </c>
      <c r="W89" s="194" t="s">
        <v>188</v>
      </c>
      <c r="X89" s="196" t="s">
        <v>242</v>
      </c>
      <c r="Y89" s="197" t="s">
        <v>393</v>
      </c>
      <c r="Z89" s="197" t="s">
        <v>394</v>
      </c>
      <c r="AA89" s="197" t="s">
        <v>395</v>
      </c>
      <c r="AB89" s="198" t="s">
        <v>396</v>
      </c>
      <c r="AC89" s="199" t="s">
        <v>397</v>
      </c>
      <c r="AD89" s="200" t="s">
        <v>398</v>
      </c>
      <c r="AE89" s="201" t="s">
        <v>399</v>
      </c>
      <c r="AH89" s="212" t="s">
        <v>400</v>
      </c>
    </row>
    <row r="90" spans="2:34" x14ac:dyDescent="0.25">
      <c r="B90" s="184">
        <v>100</v>
      </c>
      <c r="C90" s="204">
        <f>ROUND(SUMIFS(Age_Sex_BY[[#All],[Total Member Months by Age/Sex Band]], Age_Sex_BY[[#All],[Advanced Network ID]], $B90, Age_Sex_BY[[#All],[Insurance Category Code]],2), 2)</f>
        <v>0</v>
      </c>
      <c r="D90" s="202">
        <f>ROUND(SUMIFS(Age_Sex_BY[[#All],[Total Dollars Excluded from Spending After Applying Truncation at the Member Level]], Age_Sex_BY[[#All],[Advanced Network ID]], $B90, Age_Sex_BY[[#All],[Insurance Category Code]],2), 2)</f>
        <v>0</v>
      </c>
      <c r="E90" s="189">
        <f>ROUND(SUMIFS(Age_Sex_BY[[#All],[Count of Members whose Spending was Truncated]], Age_Sex_BY[[#All],[Advanced Network ID]], $B90, Age_Sex_BY[[#All],[Insurance Category Code]],2),2)</f>
        <v>0</v>
      </c>
      <c r="F90" s="202">
        <f>ROUND(SUMIFS(Age_Sex_BY[[#All],[Total Spending before Truncation is Applied]], Age_Sex_BY[[#All],[Advanced Network ID]], $B90, Age_Sex_BY[[#All],[Insurance Category Code]],2), 2)</f>
        <v>0</v>
      </c>
      <c r="G90" s="203">
        <f>ROUND(SUMIFS(Age_Sex_BY[[#All],[Total Spending After Applying Truncation at the Member Level]], Age_Sex_BY[[#All],[Advanced Network ID]], $B90, Age_Sex_BY[[#All],[Insurance Category Code]],2), 2)</f>
        <v>0</v>
      </c>
      <c r="H90" s="362" t="str">
        <f>IF(ROUND(C90,0)=ROUND(SUMIFS(AN_TME_BY[[#All],[Member Months]], AN_TME_BY[[#All],[Insurance Category Code]],2, AN_TME_BY[[#All],[Advanced Network/Insurance Carrier Org ID]],B90),0), "TRUE", ROUND(C90-SUMIFS(AN_TME_BY[[#All],[Member Months]], AN_TME_BY[[#All],[Insurance Category Code]],2, AN_TME_BY[[#All],[Advanced Network/Insurance Carrier Org ID]],B90),2))</f>
        <v>TRUE</v>
      </c>
      <c r="I90" s="365" t="str">
        <f>IF(ROUND(D90,0)=ROUND(SUMIFS(AN_TME_BY[[#All],[Total Claims Excluded because of Truncation]], AN_TME_BY[[#All],[Insurance Category Code]],2, AN_TME_BY[[#All],[Advanced Network/Insurance Carrier Org ID]],B90),0), "TRUE", ROUND(D90-SUMIFS(AN_TME_BY[[#All],[Total Claims Excluded because of Truncation]], AN_TME_BY[[#All],[Insurance Category Code]],2, AN_TME_BY[[#All],[Advanced Network/Insurance Carrier Org ID]],B90),2))</f>
        <v>TRUE</v>
      </c>
      <c r="J90" s="138" t="str">
        <f>IF(ROUND(E90,0)=ROUND(SUMIFS(AN_TME_BY[[#All],[Count of Members with Claims Truncated]], AN_TME_BY[[#All],[Insurance Category Code]],2, AN_TME_BY[[#All],[Advanced Network/Insurance Carrier Org ID]],B90),0), "TRUE", ROUND(E90-SUMIFS(AN_TME_BY[[#All],[Count of Members with Claims Truncated]], AN_TME_BY[[#All],[Insurance Category Code]],2, AN_TME_BY[[#All],[Advanced Network/Insurance Carrier Org ID]],B90),2))</f>
        <v>TRUE</v>
      </c>
      <c r="K90" s="365" t="str">
        <f>IF(ROUND(F90,0)=ROUND(SUMIFS(AN_TME_BY[[#All],[TOTAL Non-Truncated Unadjusted Claims Expenses]], AN_TME_BY[[#All],[Insurance Category Code]],2, AN_TME_BY[[#All],[Advanced Network/Insurance Carrier Org ID]],B90),0), "TRUE", ROUND(F90-SUMIFS(AN_TME_BY[[#All],[TOTAL Non-Truncated Unadjusted Claims Expenses]], AN_TME_BY[[#All],[Insurance Category Code]],2, AN_TME_BY[[#All],[Advanced Network/Insurance Carrier Org ID]],B90),2))</f>
        <v>TRUE</v>
      </c>
      <c r="L90" s="367" t="str">
        <f>IF(ROUND(G90,0)=ROUND(SUMIFS(AN_TME_BY[[#All],[TOTAL Truncated Unadjusted Claims Expenses (A21 -A19)]], AN_TME_BY[[#All],[Insurance Category Code]],2, AN_TME_BY[[#All],[Advanced Network/Insurance Carrier Org ID]],B90),0), "TRUE", ROUND(G90-SUMIFS(AN_TME_BY[[#All],[TOTAL Truncated Unadjusted Claims Expenses (A21 -A19)]], AN_TME_BY[[#All],[Insurance Category Code]],2, AN_TME_BY[[#All],[Advanced Network/Insurance Carrier Org ID]],B90),2))</f>
        <v>TRUE</v>
      </c>
      <c r="M90" s="362" t="str">
        <f>IF(E90=0, "TRUE",IF((C90/12)&gt;E90,"TRUE",(C90/12)-E90))</f>
        <v>TRUE</v>
      </c>
      <c r="N90" s="365" t="b">
        <f>ROUND(SUMIFS(AN_TME_BY[[#All],[TOTAL Non-Truncated Unadjusted Claims Expenses]], AN_TME_BY[[#All],[Insurance Category Code]],2, AN_TME_BY[[#All],[Advanced Network/Insurance Carrier Org ID]],B90), 2)&gt;=ROUND(SUMIFS(AN_TME_BY[[#All],[TOTAL Truncated Unadjusted Claims Expenses (A21 -A19)]], AN_TME_BY[[#All],[Insurance Category Code]], 2, AN_TME_BY[[#All],[Advanced Network/Insurance Carrier Org ID]],B90),2)</f>
        <v>1</v>
      </c>
      <c r="O90" s="367" t="b">
        <f>ROUND(SUMIFS(AN_TME_BY[[#All],[TOTAL Truncated Unadjusted Claims Expenses (A21 -A19)]], AN_TME_BY[[#All],[Insurance Category Code]],2, AN_TME_BY[[#All],[Advanced Network/Insurance Carrier Org ID]],B90)+SUMIFS(AN_TME_BY[[#All],[Total Claims Excluded because of Truncation]], AN_TME_BY[[#All],[Insurance Category Code]],2, AN_TME_BY[[#All],[Advanced Network/Insurance Carrier Org ID]],B90),2)=ROUND(SUMIFS(AN_TME_BY[[#All],[TOTAL Non-Truncated Unadjusted Claims Expenses]], AN_TME_BY[[#All],[Insurance Category Code]],2, AN_TME_BY[[#All],[Advanced Network/Insurance Carrier Org ID]],B90), 2)</f>
        <v>1</v>
      </c>
      <c r="R90" s="184">
        <v>100</v>
      </c>
      <c r="S90" s="204">
        <f>ROUND(SUMIFS(Age_Sex_PY[[#All],[Total Member Months by Age/Sex Band]], Age_Sex_PY[[#All],[Advanced Network ID]], $R90, Age_Sex_PY[[#All],[Insurance Category Code]],2), 2)</f>
        <v>0</v>
      </c>
      <c r="T90" s="202">
        <f>ROUND(SUMIFS(Age_Sex_PY[[#All],[Total Dollars Excluded from Spending After Applying Truncation at the Member Level]], Age_Sex_PY[[#All],[Advanced Network ID]], $R90, Age_Sex_PY[[#All],[Insurance Category Code]],2), 2)</f>
        <v>0</v>
      </c>
      <c r="U90" s="189">
        <f>ROUND(SUMIFS(Age_Sex_PY[[#All],[Count of Members whose Spending was Truncated]], Age_Sex_PY[[#All],[Advanced Network ID]], $R90, Age_Sex_PY[[#All],[Insurance Category Code]],2),2)</f>
        <v>0</v>
      </c>
      <c r="V90" s="202">
        <f>ROUND(SUMIFS(Age_Sex_PY[[#All],[Total Spending before Truncation is Applied]], Age_Sex_PY[[#All],[Advanced Network ID]], $R90, Age_Sex_PY[[#All],[Insurance Category Code]],2), 2)</f>
        <v>0</v>
      </c>
      <c r="W90" s="203">
        <f>ROUND(SUMIFS(Age_Sex_PY[[#All],[Total Spending After Applying Truncation at the Member Level]], Age_Sex_PY[[#All],[Advanced Network ID]], $R90, Age_Sex_PY[[#All],[Insurance Category Code]],2), 2)</f>
        <v>0</v>
      </c>
      <c r="X90" s="362" t="str">
        <f>IF(ROUND(S90,0)=ROUND(SUMIFS(AN_TME_PY[[#All],[Member Months]], AN_TME_PY[[#All],[Insurance Category Code]],2, AN_TME_PY[[#All],[Advanced Network/Insurance Carrier Org ID]],R90),0), "TRUE", ROUND(S90-SUMIFS(AN_TME_PY[[#All],[Member Months]], AN_TME_PY[[#All],[Insurance Category Code]],2, AN_TME_PY[[#All],[Advanced Network/Insurance Carrier Org ID]],R90),2))</f>
        <v>TRUE</v>
      </c>
      <c r="Y90" s="365" t="str">
        <f>IF(ROUND(T90,0)=ROUND(SUMIFS(AN_TME_PY[[#All],[Total Claims Excluded because of Truncation]], AN_TME_PY[[#All],[Insurance Category Code]],2, AN_TME_PY[[#All],[Advanced Network/Insurance Carrier Org ID]],R90),0), "TRUE", ROUND(T90-SUMIFS(AN_TME_PY[[#All],[Total Claims Excluded because of Truncation]], AN_TME_PY[[#All],[Insurance Category Code]],2, AN_TME_PY[[#All],[Advanced Network/Insurance Carrier Org ID]],R90),2))</f>
        <v>TRUE</v>
      </c>
      <c r="Z90" s="138" t="str">
        <f>IF(ROUND(U90,0)=ROUND(SUMIFS(AN_TME_PY[[#All],[Count of Members with Claims Truncated]], AN_TME_PY[[#All],[Insurance Category Code]],2, AN_TME_PY[[#All],[Advanced Network/Insurance Carrier Org ID]],R90),0), "TRUE", ROUND(U90-SUMIFS(AN_TME_PY[[#All],[Count of Members with Claims Truncated]], AN_TME_PY[[#All],[Insurance Category Code]],2, AN_TME_PY[[#All],[Advanced Network/Insurance Carrier Org ID]],R90),2))</f>
        <v>TRUE</v>
      </c>
      <c r="AA90" s="365" t="str">
        <f>IF(ROUND(V90,0)=ROUND(SUMIFS(AN_TME_PY[[#All],[TOTAL Non-Truncated Unadjusted Claims Expenses]], AN_TME_PY[[#All],[Insurance Category Code]],2, AN_TME_PY[[#All],[Advanced Network/Insurance Carrier Org ID]],R90),0), "TRUE", ROUND(V90-SUMIFS(AN_TME_PY[[#All],[TOTAL Non-Truncated Unadjusted Claims Expenses]], AN_TME_PY[[#All],[Insurance Category Code]],2, AN_TME_PY[[#All],[Advanced Network/Insurance Carrier Org ID]],R90),2))</f>
        <v>TRUE</v>
      </c>
      <c r="AB90" s="367" t="str">
        <f>IF(ROUND(W90,0)=ROUND(SUMIFS(AN_TME_PY[[#All],[TOTAL Truncated Unadjusted Claims Expenses (A21 -A19)]], AN_TME_PY[[#All],[Insurance Category Code]],2, AN_TME_PY[[#All],[Advanced Network/Insurance Carrier Org ID]],R90),0), "TRUE", ROUND(W90-SUMIFS(AN_TME_PY[[#All],[TOTAL Truncated Unadjusted Claims Expenses (A21 -A19)]], AN_TME_PY[[#All],[Insurance Category Code]],2, AN_TME_PY[[#All],[Advanced Network/Insurance Carrier Org ID]],R90),2))</f>
        <v>TRUE</v>
      </c>
      <c r="AC90" s="362" t="str">
        <f>IF(U90=0, "TRUE",IF((S90/12)&gt;U90,"TRUE",(S90/12)-U90))</f>
        <v>TRUE</v>
      </c>
      <c r="AD90" s="365" t="b">
        <f>ROUND(SUMIFS(AN_TME_PY[[#All],[TOTAL Non-Truncated Unadjusted Claims Expenses]], AN_TME_PY[[#All],[Insurance Category Code]],2, AN_TME_PY[[#All],[Advanced Network/Insurance Carrier Org ID]],R90), 2)&gt;=ROUND(SUMIFS(AN_TME_PY[[#All],[TOTAL Truncated Unadjusted Claims Expenses (A21 -A19)]], AN_TME_PY[[#All],[Insurance Category Code]], 2, AN_TME_PY[[#All],[Advanced Network/Insurance Carrier Org ID]],R90),2)</f>
        <v>1</v>
      </c>
      <c r="AE90" s="367" t="b">
        <f>ROUND(SUMIFS(AN_TME_PY[[#All],[TOTAL Truncated Unadjusted Claims Expenses (A21 -A19)]], AN_TME_PY[[#All],[Insurance Category Code]],2, AN_TME_PY[[#All],[Advanced Network/Insurance Carrier Org ID]],R90)+SUMIFS(AN_TME_PY[[#All],[Total Claims Excluded because of Truncation]], AN_TME_PY[[#All],[Insurance Category Code]],2, AN_TME_PY[[#All],[Advanced Network/Insurance Carrier Org ID]],R90),2)=ROUND(SUMIFS(AN_TME_PY[[#All],[TOTAL Non-Truncated Unadjusted Claims Expenses]], AN_TME_PY[[#All],[Insurance Category Code]],2, AN_TME_PY[[#All],[Advanced Network/Insurance Carrier Org ID]],R90), 2)</f>
        <v>1</v>
      </c>
      <c r="AH90" s="213" t="str">
        <f>IFERROR(S90/C90-1,"NA")</f>
        <v>NA</v>
      </c>
    </row>
    <row r="91" spans="2:34" x14ac:dyDescent="0.25">
      <c r="B91" s="184">
        <v>101</v>
      </c>
      <c r="C91" s="204">
        <f>ROUND(SUMIFS(Age_Sex_BY[[#All],[Total Member Months by Age/Sex Band]], Age_Sex_BY[[#All],[Advanced Network ID]], $B91, Age_Sex_BY[[#All],[Insurance Category Code]],2), 2)</f>
        <v>0</v>
      </c>
      <c r="D91" s="202">
        <f>ROUND(SUMIFS(Age_Sex_BY[[#All],[Total Dollars Excluded from Spending After Applying Truncation at the Member Level]], Age_Sex_BY[[#All],[Advanced Network ID]], $B91, Age_Sex_BY[[#All],[Insurance Category Code]],2), 2)</f>
        <v>0</v>
      </c>
      <c r="E91" s="189">
        <f>ROUND(SUMIFS(Age_Sex_BY[[#All],[Count of Members whose Spending was Truncated]], Age_Sex_BY[[#All],[Advanced Network ID]], $B91, Age_Sex_BY[[#All],[Insurance Category Code]],2),2)</f>
        <v>0</v>
      </c>
      <c r="F91" s="202">
        <f>ROUND(SUMIFS(Age_Sex_BY[[#All],[Total Spending before Truncation is Applied]], Age_Sex_BY[[#All],[Advanced Network ID]], $B91, Age_Sex_BY[[#All],[Insurance Category Code]],2), 2)</f>
        <v>0</v>
      </c>
      <c r="G91" s="203">
        <f>ROUND(SUMIFS(Age_Sex_BY[[#All],[Total Spending After Applying Truncation at the Member Level]], Age_Sex_BY[[#All],[Advanced Network ID]], $B91, Age_Sex_BY[[#All],[Insurance Category Code]],2), 2)</f>
        <v>0</v>
      </c>
      <c r="H91" s="362" t="str">
        <f>IF(ROUND(C91,0)=ROUND(SUMIFS(AN_TME_BY[[#All],[Member Months]], AN_TME_BY[[#All],[Insurance Category Code]],2, AN_TME_BY[[#All],[Advanced Network/Insurance Carrier Org ID]],B91),0), "TRUE", ROUND(C91-SUMIFS(AN_TME_BY[[#All],[Member Months]], AN_TME_BY[[#All],[Insurance Category Code]],2, AN_TME_BY[[#All],[Advanced Network/Insurance Carrier Org ID]],B91),2))</f>
        <v>TRUE</v>
      </c>
      <c r="I91" s="365" t="str">
        <f>IF(ROUND(D91,0)=ROUND(SUMIFS(AN_TME_BY[[#All],[Total Claims Excluded because of Truncation]], AN_TME_BY[[#All],[Insurance Category Code]],2, AN_TME_BY[[#All],[Advanced Network/Insurance Carrier Org ID]],B91),0), "TRUE", ROUND(D91-SUMIFS(AN_TME_BY[[#All],[Total Claims Excluded because of Truncation]], AN_TME_BY[[#All],[Insurance Category Code]],2, AN_TME_BY[[#All],[Advanced Network/Insurance Carrier Org ID]],B91),2))</f>
        <v>TRUE</v>
      </c>
      <c r="J91" s="138" t="str">
        <f>IF(ROUND(E91,0)=ROUND(SUMIFS(AN_TME_BY[[#All],[Count of Members with Claims Truncated]], AN_TME_BY[[#All],[Insurance Category Code]],2, AN_TME_BY[[#All],[Advanced Network/Insurance Carrier Org ID]],B91),0), "TRUE", ROUND(E91-SUMIFS(AN_TME_BY[[#All],[Count of Members with Claims Truncated]], AN_TME_BY[[#All],[Insurance Category Code]],2, AN_TME_BY[[#All],[Advanced Network/Insurance Carrier Org ID]],B91),2))</f>
        <v>TRUE</v>
      </c>
      <c r="K91" s="365" t="str">
        <f>IF(ROUND(F91,0)=ROUND(SUMIFS(AN_TME_BY[[#All],[TOTAL Non-Truncated Unadjusted Claims Expenses]], AN_TME_BY[[#All],[Insurance Category Code]],2, AN_TME_BY[[#All],[Advanced Network/Insurance Carrier Org ID]],B91),0), "TRUE", ROUND(F91-SUMIFS(AN_TME_BY[[#All],[TOTAL Non-Truncated Unadjusted Claims Expenses]], AN_TME_BY[[#All],[Insurance Category Code]],2, AN_TME_BY[[#All],[Advanced Network/Insurance Carrier Org ID]],B91),2))</f>
        <v>TRUE</v>
      </c>
      <c r="L91" s="367" t="str">
        <f>IF(ROUND(G91,0)=ROUND(SUMIFS(AN_TME_BY[[#All],[TOTAL Truncated Unadjusted Claims Expenses (A21 -A19)]], AN_TME_BY[[#All],[Insurance Category Code]],2, AN_TME_BY[[#All],[Advanced Network/Insurance Carrier Org ID]],B91),0), "TRUE", ROUND(G91-SUMIFS(AN_TME_BY[[#All],[TOTAL Truncated Unadjusted Claims Expenses (A21 -A19)]], AN_TME_BY[[#All],[Insurance Category Code]],2, AN_TME_BY[[#All],[Advanced Network/Insurance Carrier Org ID]],B91),2))</f>
        <v>TRUE</v>
      </c>
      <c r="M91" s="362" t="str">
        <f t="shared" ref="M91:M125" si="5">IF(E91=0, "TRUE",IF((C91/12)&gt;E91,"TRUE",(C91/12)-E91))</f>
        <v>TRUE</v>
      </c>
      <c r="N91" s="365" t="b">
        <f>ROUND(SUMIFS(AN_TME_BY[[#All],[TOTAL Non-Truncated Unadjusted Claims Expenses]], AN_TME_BY[[#All],[Insurance Category Code]],2, AN_TME_BY[[#All],[Advanced Network/Insurance Carrier Org ID]],B91), 2)&gt;=ROUND(SUMIFS(AN_TME_BY[[#All],[TOTAL Truncated Unadjusted Claims Expenses (A21 -A19)]], AN_TME_BY[[#All],[Insurance Category Code]], 2, AN_TME_BY[[#All],[Advanced Network/Insurance Carrier Org ID]],B91),2)</f>
        <v>1</v>
      </c>
      <c r="O91" s="367" t="b">
        <f>ROUND(SUMIFS(AN_TME_BY[[#All],[TOTAL Truncated Unadjusted Claims Expenses (A21 -A19)]], AN_TME_BY[[#All],[Insurance Category Code]],2, AN_TME_BY[[#All],[Advanced Network/Insurance Carrier Org ID]],B91)+SUMIFS(AN_TME_BY[[#All],[Total Claims Excluded because of Truncation]], AN_TME_BY[[#All],[Insurance Category Code]],2, AN_TME_BY[[#All],[Advanced Network/Insurance Carrier Org ID]],B91),2)=ROUND(SUMIFS(AN_TME_BY[[#All],[TOTAL Non-Truncated Unadjusted Claims Expenses]], AN_TME_BY[[#All],[Insurance Category Code]],2, AN_TME_BY[[#All],[Advanced Network/Insurance Carrier Org ID]],B91), 2)</f>
        <v>1</v>
      </c>
      <c r="R91" s="184">
        <v>101</v>
      </c>
      <c r="S91" s="204">
        <f>ROUND(SUMIFS(Age_Sex_PY[[#All],[Total Member Months by Age/Sex Band]], Age_Sex_PY[[#All],[Advanced Network ID]], $R91, Age_Sex_PY[[#All],[Insurance Category Code]],2), 2)</f>
        <v>0</v>
      </c>
      <c r="T91" s="202">
        <f>ROUND(SUMIFS(Age_Sex_PY[[#All],[Total Dollars Excluded from Spending After Applying Truncation at the Member Level]], Age_Sex_PY[[#All],[Advanced Network ID]], $R91, Age_Sex_PY[[#All],[Insurance Category Code]],2), 2)</f>
        <v>0</v>
      </c>
      <c r="U91" s="189">
        <f>ROUND(SUMIFS(Age_Sex_PY[[#All],[Count of Members whose Spending was Truncated]], Age_Sex_PY[[#All],[Advanced Network ID]], $R91, Age_Sex_PY[[#All],[Insurance Category Code]],2),2)</f>
        <v>0</v>
      </c>
      <c r="V91" s="202">
        <f>ROUND(SUMIFS(Age_Sex_PY[[#All],[Total Spending before Truncation is Applied]], Age_Sex_PY[[#All],[Advanced Network ID]], $R91, Age_Sex_PY[[#All],[Insurance Category Code]],2), 2)</f>
        <v>0</v>
      </c>
      <c r="W91" s="203">
        <f>ROUND(SUMIFS(Age_Sex_PY[[#All],[Total Spending After Applying Truncation at the Member Level]], Age_Sex_PY[[#All],[Advanced Network ID]], $R91, Age_Sex_PY[[#All],[Insurance Category Code]],2), 2)</f>
        <v>0</v>
      </c>
      <c r="X91" s="362" t="str">
        <f>IF(ROUND(S91,0)=ROUND(SUMIFS(AN_TME_PY[[#All],[Member Months]], AN_TME_PY[[#All],[Insurance Category Code]],2, AN_TME_PY[[#All],[Advanced Network/Insurance Carrier Org ID]],R91),0), "TRUE", ROUND(S91-SUMIFS(AN_TME_PY[[#All],[Member Months]], AN_TME_PY[[#All],[Insurance Category Code]],2, AN_TME_PY[[#All],[Advanced Network/Insurance Carrier Org ID]],R91),2))</f>
        <v>TRUE</v>
      </c>
      <c r="Y91" s="365" t="str">
        <f>IF(ROUND(T91,0)=ROUND(SUMIFS(AN_TME_PY[[#All],[Total Claims Excluded because of Truncation]], AN_TME_PY[[#All],[Insurance Category Code]],2, AN_TME_PY[[#All],[Advanced Network/Insurance Carrier Org ID]],R91),0), "TRUE", ROUND(T91-SUMIFS(AN_TME_PY[[#All],[Total Claims Excluded because of Truncation]], AN_TME_PY[[#All],[Insurance Category Code]],2, AN_TME_PY[[#All],[Advanced Network/Insurance Carrier Org ID]],R91),2))</f>
        <v>TRUE</v>
      </c>
      <c r="Z91" s="138" t="str">
        <f>IF(ROUND(U91,0)=ROUND(SUMIFS(AN_TME_PY[[#All],[Count of Members with Claims Truncated]], AN_TME_PY[[#All],[Insurance Category Code]],2, AN_TME_PY[[#All],[Advanced Network/Insurance Carrier Org ID]],R91),0), "TRUE", ROUND(U91-SUMIFS(AN_TME_PY[[#All],[Count of Members with Claims Truncated]], AN_TME_PY[[#All],[Insurance Category Code]],2, AN_TME_PY[[#All],[Advanced Network/Insurance Carrier Org ID]],R91),2))</f>
        <v>TRUE</v>
      </c>
      <c r="AA91" s="365" t="str">
        <f>IF(ROUND(V91,0)=ROUND(SUMIFS(AN_TME_PY[[#All],[TOTAL Non-Truncated Unadjusted Claims Expenses]], AN_TME_PY[[#All],[Insurance Category Code]],2, AN_TME_PY[[#All],[Advanced Network/Insurance Carrier Org ID]],R91),0), "TRUE", ROUND(V91-SUMIFS(AN_TME_PY[[#All],[TOTAL Non-Truncated Unadjusted Claims Expenses]], AN_TME_PY[[#All],[Insurance Category Code]],2, AN_TME_PY[[#All],[Advanced Network/Insurance Carrier Org ID]],R91),2))</f>
        <v>TRUE</v>
      </c>
      <c r="AB91" s="367" t="str">
        <f>IF(ROUND(W91,0)=ROUND(SUMIFS(AN_TME_PY[[#All],[TOTAL Truncated Unadjusted Claims Expenses (A21 -A19)]], AN_TME_PY[[#All],[Insurance Category Code]],2, AN_TME_PY[[#All],[Advanced Network/Insurance Carrier Org ID]],R91),0), "TRUE", ROUND(W91-SUMIFS(AN_TME_PY[[#All],[TOTAL Truncated Unadjusted Claims Expenses (A21 -A19)]], AN_TME_PY[[#All],[Insurance Category Code]],2, AN_TME_PY[[#All],[Advanced Network/Insurance Carrier Org ID]],R91),2))</f>
        <v>TRUE</v>
      </c>
      <c r="AC91" s="362" t="str">
        <f t="shared" ref="AC91:AC125" si="6">IF(U91=0, "TRUE",IF((S91/12)&gt;U91,"TRUE",(S91/12)-U91))</f>
        <v>TRUE</v>
      </c>
      <c r="AD91" s="365" t="b">
        <f>ROUND(SUMIFS(AN_TME_PY[[#All],[TOTAL Non-Truncated Unadjusted Claims Expenses]], AN_TME_PY[[#All],[Insurance Category Code]],2, AN_TME_PY[[#All],[Advanced Network/Insurance Carrier Org ID]],R91), 2)&gt;=ROUND(SUMIFS(AN_TME_PY[[#All],[TOTAL Truncated Unadjusted Claims Expenses (A21 -A19)]], AN_TME_PY[[#All],[Insurance Category Code]], 2, AN_TME_PY[[#All],[Advanced Network/Insurance Carrier Org ID]],R91),2)</f>
        <v>1</v>
      </c>
      <c r="AE91" s="367" t="b">
        <f>ROUND(SUMIFS(AN_TME_PY[[#All],[TOTAL Truncated Unadjusted Claims Expenses (A21 -A19)]], AN_TME_PY[[#All],[Insurance Category Code]],2, AN_TME_PY[[#All],[Advanced Network/Insurance Carrier Org ID]],R91)+SUMIFS(AN_TME_PY[[#All],[Total Claims Excluded because of Truncation]], AN_TME_PY[[#All],[Insurance Category Code]],2, AN_TME_PY[[#All],[Advanced Network/Insurance Carrier Org ID]],R91),2)=ROUND(SUMIFS(AN_TME_PY[[#All],[TOTAL Non-Truncated Unadjusted Claims Expenses]], AN_TME_PY[[#All],[Insurance Category Code]],2, AN_TME_PY[[#All],[Advanced Network/Insurance Carrier Org ID]],R91), 2)</f>
        <v>1</v>
      </c>
      <c r="AH91" s="213" t="str">
        <f t="shared" ref="AH91:AH125" si="7">IFERROR(S91/C91-1,"NA")</f>
        <v>NA</v>
      </c>
    </row>
    <row r="92" spans="2:34" x14ac:dyDescent="0.25">
      <c r="B92" s="184">
        <v>102</v>
      </c>
      <c r="C92" s="204">
        <f>ROUND(SUMIFS(Age_Sex_BY[[#All],[Total Member Months by Age/Sex Band]], Age_Sex_BY[[#All],[Advanced Network ID]], $B92, Age_Sex_BY[[#All],[Insurance Category Code]],2), 2)</f>
        <v>0</v>
      </c>
      <c r="D92" s="202">
        <f>ROUND(SUMIFS(Age_Sex_BY[[#All],[Total Dollars Excluded from Spending After Applying Truncation at the Member Level]], Age_Sex_BY[[#All],[Advanced Network ID]], $B92, Age_Sex_BY[[#All],[Insurance Category Code]],2), 2)</f>
        <v>0</v>
      </c>
      <c r="E92" s="189">
        <f>ROUND(SUMIFS(Age_Sex_BY[[#All],[Count of Members whose Spending was Truncated]], Age_Sex_BY[[#All],[Advanced Network ID]], $B92, Age_Sex_BY[[#All],[Insurance Category Code]],2),2)</f>
        <v>0</v>
      </c>
      <c r="F92" s="202">
        <f>ROUND(SUMIFS(Age_Sex_BY[[#All],[Total Spending before Truncation is Applied]], Age_Sex_BY[[#All],[Advanced Network ID]], $B92, Age_Sex_BY[[#All],[Insurance Category Code]],2), 2)</f>
        <v>0</v>
      </c>
      <c r="G92" s="203">
        <f>ROUND(SUMIFS(Age_Sex_BY[[#All],[Total Spending After Applying Truncation at the Member Level]], Age_Sex_BY[[#All],[Advanced Network ID]], $B92, Age_Sex_BY[[#All],[Insurance Category Code]],2), 2)</f>
        <v>0</v>
      </c>
      <c r="H92" s="362" t="str">
        <f>IF(ROUND(C92,0)=ROUND(SUMIFS(AN_TME_BY[[#All],[Member Months]], AN_TME_BY[[#All],[Insurance Category Code]],2, AN_TME_BY[[#All],[Advanced Network/Insurance Carrier Org ID]],B92),0), "TRUE", ROUND(C92-SUMIFS(AN_TME_BY[[#All],[Member Months]], AN_TME_BY[[#All],[Insurance Category Code]],2, AN_TME_BY[[#All],[Advanced Network/Insurance Carrier Org ID]],B92),2))</f>
        <v>TRUE</v>
      </c>
      <c r="I92" s="365" t="str">
        <f>IF(ROUND(D92,0)=ROUND(SUMIFS(AN_TME_BY[[#All],[Total Claims Excluded because of Truncation]], AN_TME_BY[[#All],[Insurance Category Code]],2, AN_TME_BY[[#All],[Advanced Network/Insurance Carrier Org ID]],B92),0), "TRUE", ROUND(D92-SUMIFS(AN_TME_BY[[#All],[Total Claims Excluded because of Truncation]], AN_TME_BY[[#All],[Insurance Category Code]],2, AN_TME_BY[[#All],[Advanced Network/Insurance Carrier Org ID]],B92),2))</f>
        <v>TRUE</v>
      </c>
      <c r="J92" s="138" t="str">
        <f>IF(ROUND(E92,0)=ROUND(SUMIFS(AN_TME_BY[[#All],[Count of Members with Claims Truncated]], AN_TME_BY[[#All],[Insurance Category Code]],2, AN_TME_BY[[#All],[Advanced Network/Insurance Carrier Org ID]],B92),0), "TRUE", ROUND(E92-SUMIFS(AN_TME_BY[[#All],[Count of Members with Claims Truncated]], AN_TME_BY[[#All],[Insurance Category Code]],2, AN_TME_BY[[#All],[Advanced Network/Insurance Carrier Org ID]],B92),2))</f>
        <v>TRUE</v>
      </c>
      <c r="K92" s="365" t="str">
        <f>IF(ROUND(F92,0)=ROUND(SUMIFS(AN_TME_BY[[#All],[TOTAL Non-Truncated Unadjusted Claims Expenses]], AN_TME_BY[[#All],[Insurance Category Code]],2, AN_TME_BY[[#All],[Advanced Network/Insurance Carrier Org ID]],B92),0), "TRUE", ROUND(F92-SUMIFS(AN_TME_BY[[#All],[TOTAL Non-Truncated Unadjusted Claims Expenses]], AN_TME_BY[[#All],[Insurance Category Code]],2, AN_TME_BY[[#All],[Advanced Network/Insurance Carrier Org ID]],B92),2))</f>
        <v>TRUE</v>
      </c>
      <c r="L92" s="367" t="str">
        <f>IF(ROUND(G92,0)=ROUND(SUMIFS(AN_TME_BY[[#All],[TOTAL Truncated Unadjusted Claims Expenses (A21 -A19)]], AN_TME_BY[[#All],[Insurance Category Code]],2, AN_TME_BY[[#All],[Advanced Network/Insurance Carrier Org ID]],B92),0), "TRUE", ROUND(G92-SUMIFS(AN_TME_BY[[#All],[TOTAL Truncated Unadjusted Claims Expenses (A21 -A19)]], AN_TME_BY[[#All],[Insurance Category Code]],2, AN_TME_BY[[#All],[Advanced Network/Insurance Carrier Org ID]],B92),2))</f>
        <v>TRUE</v>
      </c>
      <c r="M92" s="362" t="str">
        <f t="shared" si="5"/>
        <v>TRUE</v>
      </c>
      <c r="N92" s="365" t="b">
        <f>ROUND(SUMIFS(AN_TME_BY[[#All],[TOTAL Non-Truncated Unadjusted Claims Expenses]], AN_TME_BY[[#All],[Insurance Category Code]],2, AN_TME_BY[[#All],[Advanced Network/Insurance Carrier Org ID]],B92), 2)&gt;=ROUND(SUMIFS(AN_TME_BY[[#All],[TOTAL Truncated Unadjusted Claims Expenses (A21 -A19)]], AN_TME_BY[[#All],[Insurance Category Code]], 2, AN_TME_BY[[#All],[Advanced Network/Insurance Carrier Org ID]],B92),2)</f>
        <v>1</v>
      </c>
      <c r="O92" s="367" t="b">
        <f>ROUND(SUMIFS(AN_TME_BY[[#All],[TOTAL Truncated Unadjusted Claims Expenses (A21 -A19)]], AN_TME_BY[[#All],[Insurance Category Code]],2, AN_TME_BY[[#All],[Advanced Network/Insurance Carrier Org ID]],B92)+SUMIFS(AN_TME_BY[[#All],[Total Claims Excluded because of Truncation]], AN_TME_BY[[#All],[Insurance Category Code]],2, AN_TME_BY[[#All],[Advanced Network/Insurance Carrier Org ID]],B92),2)=ROUND(SUMIFS(AN_TME_BY[[#All],[TOTAL Non-Truncated Unadjusted Claims Expenses]], AN_TME_BY[[#All],[Insurance Category Code]],2, AN_TME_BY[[#All],[Advanced Network/Insurance Carrier Org ID]],B92), 2)</f>
        <v>1</v>
      </c>
      <c r="R92" s="184">
        <v>102</v>
      </c>
      <c r="S92" s="204">
        <f>ROUND(SUMIFS(Age_Sex_PY[[#All],[Total Member Months by Age/Sex Band]], Age_Sex_PY[[#All],[Advanced Network ID]], $R92, Age_Sex_PY[[#All],[Insurance Category Code]],2), 2)</f>
        <v>0</v>
      </c>
      <c r="T92" s="202">
        <f>ROUND(SUMIFS(Age_Sex_PY[[#All],[Total Dollars Excluded from Spending After Applying Truncation at the Member Level]], Age_Sex_PY[[#All],[Advanced Network ID]], $R92, Age_Sex_PY[[#All],[Insurance Category Code]],2), 2)</f>
        <v>0</v>
      </c>
      <c r="U92" s="189">
        <f>ROUND(SUMIFS(Age_Sex_PY[[#All],[Count of Members whose Spending was Truncated]], Age_Sex_PY[[#All],[Advanced Network ID]], $R92, Age_Sex_PY[[#All],[Insurance Category Code]],2),2)</f>
        <v>0</v>
      </c>
      <c r="V92" s="202">
        <f>ROUND(SUMIFS(Age_Sex_PY[[#All],[Total Spending before Truncation is Applied]], Age_Sex_PY[[#All],[Advanced Network ID]], $R92, Age_Sex_PY[[#All],[Insurance Category Code]],2), 2)</f>
        <v>0</v>
      </c>
      <c r="W92" s="203">
        <f>ROUND(SUMIFS(Age_Sex_PY[[#All],[Total Spending After Applying Truncation at the Member Level]], Age_Sex_PY[[#All],[Advanced Network ID]], $R92, Age_Sex_PY[[#All],[Insurance Category Code]],2), 2)</f>
        <v>0</v>
      </c>
      <c r="X92" s="362" t="str">
        <f>IF(ROUND(S92,0)=ROUND(SUMIFS(AN_TME_PY[[#All],[Member Months]], AN_TME_PY[[#All],[Insurance Category Code]],2, AN_TME_PY[[#All],[Advanced Network/Insurance Carrier Org ID]],R92),0), "TRUE", ROUND(S92-SUMIFS(AN_TME_PY[[#All],[Member Months]], AN_TME_PY[[#All],[Insurance Category Code]],2, AN_TME_PY[[#All],[Advanced Network/Insurance Carrier Org ID]],R92),2))</f>
        <v>TRUE</v>
      </c>
      <c r="Y92" s="365" t="str">
        <f>IF(ROUND(T92,0)=ROUND(SUMIFS(AN_TME_PY[[#All],[Total Claims Excluded because of Truncation]], AN_TME_PY[[#All],[Insurance Category Code]],2, AN_TME_PY[[#All],[Advanced Network/Insurance Carrier Org ID]],R92),0), "TRUE", ROUND(T92-SUMIFS(AN_TME_PY[[#All],[Total Claims Excluded because of Truncation]], AN_TME_PY[[#All],[Insurance Category Code]],2, AN_TME_PY[[#All],[Advanced Network/Insurance Carrier Org ID]],R92),2))</f>
        <v>TRUE</v>
      </c>
      <c r="Z92" s="138" t="str">
        <f>IF(ROUND(U92,0)=ROUND(SUMIFS(AN_TME_PY[[#All],[Count of Members with Claims Truncated]], AN_TME_PY[[#All],[Insurance Category Code]],2, AN_TME_PY[[#All],[Advanced Network/Insurance Carrier Org ID]],R92),0), "TRUE", ROUND(U92-SUMIFS(AN_TME_PY[[#All],[Count of Members with Claims Truncated]], AN_TME_PY[[#All],[Insurance Category Code]],2, AN_TME_PY[[#All],[Advanced Network/Insurance Carrier Org ID]],R92),2))</f>
        <v>TRUE</v>
      </c>
      <c r="AA92" s="365" t="str">
        <f>IF(ROUND(V92,0)=ROUND(SUMIFS(AN_TME_PY[[#All],[TOTAL Non-Truncated Unadjusted Claims Expenses]], AN_TME_PY[[#All],[Insurance Category Code]],2, AN_TME_PY[[#All],[Advanced Network/Insurance Carrier Org ID]],R92),0), "TRUE", ROUND(V92-SUMIFS(AN_TME_PY[[#All],[TOTAL Non-Truncated Unadjusted Claims Expenses]], AN_TME_PY[[#All],[Insurance Category Code]],2, AN_TME_PY[[#All],[Advanced Network/Insurance Carrier Org ID]],R92),2))</f>
        <v>TRUE</v>
      </c>
      <c r="AB92" s="367" t="str">
        <f>IF(ROUND(W92,0)=ROUND(SUMIFS(AN_TME_PY[[#All],[TOTAL Truncated Unadjusted Claims Expenses (A21 -A19)]], AN_TME_PY[[#All],[Insurance Category Code]],2, AN_TME_PY[[#All],[Advanced Network/Insurance Carrier Org ID]],R92),0), "TRUE", ROUND(W92-SUMIFS(AN_TME_PY[[#All],[TOTAL Truncated Unadjusted Claims Expenses (A21 -A19)]], AN_TME_PY[[#All],[Insurance Category Code]],2, AN_TME_PY[[#All],[Advanced Network/Insurance Carrier Org ID]],R92),2))</f>
        <v>TRUE</v>
      </c>
      <c r="AC92" s="362" t="str">
        <f t="shared" si="6"/>
        <v>TRUE</v>
      </c>
      <c r="AD92" s="365" t="b">
        <f>ROUND(SUMIFS(AN_TME_PY[[#All],[TOTAL Non-Truncated Unadjusted Claims Expenses]], AN_TME_PY[[#All],[Insurance Category Code]],2, AN_TME_PY[[#All],[Advanced Network/Insurance Carrier Org ID]],R92), 2)&gt;=ROUND(SUMIFS(AN_TME_PY[[#All],[TOTAL Truncated Unadjusted Claims Expenses (A21 -A19)]], AN_TME_PY[[#All],[Insurance Category Code]], 2, AN_TME_PY[[#All],[Advanced Network/Insurance Carrier Org ID]],R92),2)</f>
        <v>1</v>
      </c>
      <c r="AE92" s="367" t="b">
        <f>ROUND(SUMIFS(AN_TME_PY[[#All],[TOTAL Truncated Unadjusted Claims Expenses (A21 -A19)]], AN_TME_PY[[#All],[Insurance Category Code]],2, AN_TME_PY[[#All],[Advanced Network/Insurance Carrier Org ID]],R92)+SUMIFS(AN_TME_PY[[#All],[Total Claims Excluded because of Truncation]], AN_TME_PY[[#All],[Insurance Category Code]],2, AN_TME_PY[[#All],[Advanced Network/Insurance Carrier Org ID]],R92),2)=ROUND(SUMIFS(AN_TME_PY[[#All],[TOTAL Non-Truncated Unadjusted Claims Expenses]], AN_TME_PY[[#All],[Insurance Category Code]],2, AN_TME_PY[[#All],[Advanced Network/Insurance Carrier Org ID]],R92), 2)</f>
        <v>1</v>
      </c>
      <c r="AH92" s="213" t="str">
        <f t="shared" si="7"/>
        <v>NA</v>
      </c>
    </row>
    <row r="93" spans="2:34" x14ac:dyDescent="0.25">
      <c r="B93" s="184">
        <v>103</v>
      </c>
      <c r="C93" s="204">
        <f>ROUND(SUMIFS(Age_Sex_BY[[#All],[Total Member Months by Age/Sex Band]], Age_Sex_BY[[#All],[Advanced Network ID]], $B93, Age_Sex_BY[[#All],[Insurance Category Code]],2), 2)</f>
        <v>0</v>
      </c>
      <c r="D93" s="202">
        <f>ROUND(SUMIFS(Age_Sex_BY[[#All],[Total Dollars Excluded from Spending After Applying Truncation at the Member Level]], Age_Sex_BY[[#All],[Advanced Network ID]], $B93, Age_Sex_BY[[#All],[Insurance Category Code]],2), 2)</f>
        <v>0</v>
      </c>
      <c r="E93" s="189">
        <f>ROUND(SUMIFS(Age_Sex_BY[[#All],[Count of Members whose Spending was Truncated]], Age_Sex_BY[[#All],[Advanced Network ID]], $B93, Age_Sex_BY[[#All],[Insurance Category Code]],2),2)</f>
        <v>0</v>
      </c>
      <c r="F93" s="202">
        <f>ROUND(SUMIFS(Age_Sex_BY[[#All],[Total Spending before Truncation is Applied]], Age_Sex_BY[[#All],[Advanced Network ID]], $B93, Age_Sex_BY[[#All],[Insurance Category Code]],2), 2)</f>
        <v>0</v>
      </c>
      <c r="G93" s="203">
        <f>ROUND(SUMIFS(Age_Sex_BY[[#All],[Total Spending After Applying Truncation at the Member Level]], Age_Sex_BY[[#All],[Advanced Network ID]], $B93, Age_Sex_BY[[#All],[Insurance Category Code]],2), 2)</f>
        <v>0</v>
      </c>
      <c r="H93" s="362" t="str">
        <f>IF(ROUND(C93,0)=ROUND(SUMIFS(AN_TME_BY[[#All],[Member Months]], AN_TME_BY[[#All],[Insurance Category Code]],2, AN_TME_BY[[#All],[Advanced Network/Insurance Carrier Org ID]],B93),0), "TRUE", ROUND(C93-SUMIFS(AN_TME_BY[[#All],[Member Months]], AN_TME_BY[[#All],[Insurance Category Code]],2, AN_TME_BY[[#All],[Advanced Network/Insurance Carrier Org ID]],B93),2))</f>
        <v>TRUE</v>
      </c>
      <c r="I93" s="365" t="str">
        <f>IF(ROUND(D93,0)=ROUND(SUMIFS(AN_TME_BY[[#All],[Total Claims Excluded because of Truncation]], AN_TME_BY[[#All],[Insurance Category Code]],2, AN_TME_BY[[#All],[Advanced Network/Insurance Carrier Org ID]],B93),0), "TRUE", ROUND(D93-SUMIFS(AN_TME_BY[[#All],[Total Claims Excluded because of Truncation]], AN_TME_BY[[#All],[Insurance Category Code]],2, AN_TME_BY[[#All],[Advanced Network/Insurance Carrier Org ID]],B93),2))</f>
        <v>TRUE</v>
      </c>
      <c r="J93" s="138" t="str">
        <f>IF(ROUND(E93,0)=ROUND(SUMIFS(AN_TME_BY[[#All],[Count of Members with Claims Truncated]], AN_TME_BY[[#All],[Insurance Category Code]],2, AN_TME_BY[[#All],[Advanced Network/Insurance Carrier Org ID]],B93),0), "TRUE", ROUND(E93-SUMIFS(AN_TME_BY[[#All],[Count of Members with Claims Truncated]], AN_TME_BY[[#All],[Insurance Category Code]],2, AN_TME_BY[[#All],[Advanced Network/Insurance Carrier Org ID]],B93),2))</f>
        <v>TRUE</v>
      </c>
      <c r="K93" s="365" t="str">
        <f>IF(ROUND(F93,0)=ROUND(SUMIFS(AN_TME_BY[[#All],[TOTAL Non-Truncated Unadjusted Claims Expenses]], AN_TME_BY[[#All],[Insurance Category Code]],2, AN_TME_BY[[#All],[Advanced Network/Insurance Carrier Org ID]],B93),0), "TRUE", ROUND(F93-SUMIFS(AN_TME_BY[[#All],[TOTAL Non-Truncated Unadjusted Claims Expenses]], AN_TME_BY[[#All],[Insurance Category Code]],2, AN_TME_BY[[#All],[Advanced Network/Insurance Carrier Org ID]],B93),2))</f>
        <v>TRUE</v>
      </c>
      <c r="L93" s="367" t="str">
        <f>IF(ROUND(G93,0)=ROUND(SUMIFS(AN_TME_BY[[#All],[TOTAL Truncated Unadjusted Claims Expenses (A21 -A19)]], AN_TME_BY[[#All],[Insurance Category Code]],2, AN_TME_BY[[#All],[Advanced Network/Insurance Carrier Org ID]],B93),0), "TRUE", ROUND(G93-SUMIFS(AN_TME_BY[[#All],[TOTAL Truncated Unadjusted Claims Expenses (A21 -A19)]], AN_TME_BY[[#All],[Insurance Category Code]],2, AN_TME_BY[[#All],[Advanced Network/Insurance Carrier Org ID]],B93),2))</f>
        <v>TRUE</v>
      </c>
      <c r="M93" s="362" t="str">
        <f t="shared" si="5"/>
        <v>TRUE</v>
      </c>
      <c r="N93" s="365" t="b">
        <f>ROUND(SUMIFS(AN_TME_BY[[#All],[TOTAL Non-Truncated Unadjusted Claims Expenses]], AN_TME_BY[[#All],[Insurance Category Code]],2, AN_TME_BY[[#All],[Advanced Network/Insurance Carrier Org ID]],B93), 2)&gt;=ROUND(SUMIFS(AN_TME_BY[[#All],[TOTAL Truncated Unadjusted Claims Expenses (A21 -A19)]], AN_TME_BY[[#All],[Insurance Category Code]], 2, AN_TME_BY[[#All],[Advanced Network/Insurance Carrier Org ID]],B93),2)</f>
        <v>1</v>
      </c>
      <c r="O93" s="367" t="b">
        <f>ROUND(SUMIFS(AN_TME_BY[[#All],[TOTAL Truncated Unadjusted Claims Expenses (A21 -A19)]], AN_TME_BY[[#All],[Insurance Category Code]],2, AN_TME_BY[[#All],[Advanced Network/Insurance Carrier Org ID]],B93)+SUMIFS(AN_TME_BY[[#All],[Total Claims Excluded because of Truncation]], AN_TME_BY[[#All],[Insurance Category Code]],2, AN_TME_BY[[#All],[Advanced Network/Insurance Carrier Org ID]],B93),2)=ROUND(SUMIFS(AN_TME_BY[[#All],[TOTAL Non-Truncated Unadjusted Claims Expenses]], AN_TME_BY[[#All],[Insurance Category Code]],2, AN_TME_BY[[#All],[Advanced Network/Insurance Carrier Org ID]],B93), 2)</f>
        <v>1</v>
      </c>
      <c r="R93" s="184">
        <v>103</v>
      </c>
      <c r="S93" s="204">
        <f>ROUND(SUMIFS(Age_Sex_PY[[#All],[Total Member Months by Age/Sex Band]], Age_Sex_PY[[#All],[Advanced Network ID]], $R93, Age_Sex_PY[[#All],[Insurance Category Code]],2), 2)</f>
        <v>0</v>
      </c>
      <c r="T93" s="202">
        <f>ROUND(SUMIFS(Age_Sex_PY[[#All],[Total Dollars Excluded from Spending After Applying Truncation at the Member Level]], Age_Sex_PY[[#All],[Advanced Network ID]], $R93, Age_Sex_PY[[#All],[Insurance Category Code]],2), 2)</f>
        <v>0</v>
      </c>
      <c r="U93" s="189">
        <f>ROUND(SUMIFS(Age_Sex_PY[[#All],[Count of Members whose Spending was Truncated]], Age_Sex_PY[[#All],[Advanced Network ID]], $R93, Age_Sex_PY[[#All],[Insurance Category Code]],2),2)</f>
        <v>0</v>
      </c>
      <c r="V93" s="202">
        <f>ROUND(SUMIFS(Age_Sex_PY[[#All],[Total Spending before Truncation is Applied]], Age_Sex_PY[[#All],[Advanced Network ID]], $R93, Age_Sex_PY[[#All],[Insurance Category Code]],2), 2)</f>
        <v>0</v>
      </c>
      <c r="W93" s="203">
        <f>ROUND(SUMIFS(Age_Sex_PY[[#All],[Total Spending After Applying Truncation at the Member Level]], Age_Sex_PY[[#All],[Advanced Network ID]], $R93, Age_Sex_PY[[#All],[Insurance Category Code]],2), 2)</f>
        <v>0</v>
      </c>
      <c r="X93" s="362" t="str">
        <f>IF(ROUND(S93,0)=ROUND(SUMIFS(AN_TME_PY[[#All],[Member Months]], AN_TME_PY[[#All],[Insurance Category Code]],2, AN_TME_PY[[#All],[Advanced Network/Insurance Carrier Org ID]],R93),0), "TRUE", ROUND(S93-SUMIFS(AN_TME_PY[[#All],[Member Months]], AN_TME_PY[[#All],[Insurance Category Code]],2, AN_TME_PY[[#All],[Advanced Network/Insurance Carrier Org ID]],R93),2))</f>
        <v>TRUE</v>
      </c>
      <c r="Y93" s="365" t="str">
        <f>IF(ROUND(T93,0)=ROUND(SUMIFS(AN_TME_PY[[#All],[Total Claims Excluded because of Truncation]], AN_TME_PY[[#All],[Insurance Category Code]],2, AN_TME_PY[[#All],[Advanced Network/Insurance Carrier Org ID]],R93),0), "TRUE", ROUND(T93-SUMIFS(AN_TME_PY[[#All],[Total Claims Excluded because of Truncation]], AN_TME_PY[[#All],[Insurance Category Code]],2, AN_TME_PY[[#All],[Advanced Network/Insurance Carrier Org ID]],R93),2))</f>
        <v>TRUE</v>
      </c>
      <c r="Z93" s="138" t="str">
        <f>IF(ROUND(U93,0)=ROUND(SUMIFS(AN_TME_PY[[#All],[Count of Members with Claims Truncated]], AN_TME_PY[[#All],[Insurance Category Code]],2, AN_TME_PY[[#All],[Advanced Network/Insurance Carrier Org ID]],R93),0), "TRUE", ROUND(U93-SUMIFS(AN_TME_PY[[#All],[Count of Members with Claims Truncated]], AN_TME_PY[[#All],[Insurance Category Code]],2, AN_TME_PY[[#All],[Advanced Network/Insurance Carrier Org ID]],R93),2))</f>
        <v>TRUE</v>
      </c>
      <c r="AA93" s="365" t="str">
        <f>IF(ROUND(V93,0)=ROUND(SUMIFS(AN_TME_PY[[#All],[TOTAL Non-Truncated Unadjusted Claims Expenses]], AN_TME_PY[[#All],[Insurance Category Code]],2, AN_TME_PY[[#All],[Advanced Network/Insurance Carrier Org ID]],R93),0), "TRUE", ROUND(V93-SUMIFS(AN_TME_PY[[#All],[TOTAL Non-Truncated Unadjusted Claims Expenses]], AN_TME_PY[[#All],[Insurance Category Code]],2, AN_TME_PY[[#All],[Advanced Network/Insurance Carrier Org ID]],R93),2))</f>
        <v>TRUE</v>
      </c>
      <c r="AB93" s="367" t="str">
        <f>IF(ROUND(W93,0)=ROUND(SUMIFS(AN_TME_PY[[#All],[TOTAL Truncated Unadjusted Claims Expenses (A21 -A19)]], AN_TME_PY[[#All],[Insurance Category Code]],2, AN_TME_PY[[#All],[Advanced Network/Insurance Carrier Org ID]],R93),0), "TRUE", ROUND(W93-SUMIFS(AN_TME_PY[[#All],[TOTAL Truncated Unadjusted Claims Expenses (A21 -A19)]], AN_TME_PY[[#All],[Insurance Category Code]],2, AN_TME_PY[[#All],[Advanced Network/Insurance Carrier Org ID]],R93),2))</f>
        <v>TRUE</v>
      </c>
      <c r="AC93" s="362" t="str">
        <f t="shared" si="6"/>
        <v>TRUE</v>
      </c>
      <c r="AD93" s="365" t="b">
        <f>ROUND(SUMIFS(AN_TME_PY[[#All],[TOTAL Non-Truncated Unadjusted Claims Expenses]], AN_TME_PY[[#All],[Insurance Category Code]],2, AN_TME_PY[[#All],[Advanced Network/Insurance Carrier Org ID]],R93), 2)&gt;=ROUND(SUMIFS(AN_TME_PY[[#All],[TOTAL Truncated Unadjusted Claims Expenses (A21 -A19)]], AN_TME_PY[[#All],[Insurance Category Code]], 2, AN_TME_PY[[#All],[Advanced Network/Insurance Carrier Org ID]],R93),2)</f>
        <v>1</v>
      </c>
      <c r="AE93" s="367" t="b">
        <f>ROUND(SUMIFS(AN_TME_PY[[#All],[TOTAL Truncated Unadjusted Claims Expenses (A21 -A19)]], AN_TME_PY[[#All],[Insurance Category Code]],2, AN_TME_PY[[#All],[Advanced Network/Insurance Carrier Org ID]],R93)+SUMIFS(AN_TME_PY[[#All],[Total Claims Excluded because of Truncation]], AN_TME_PY[[#All],[Insurance Category Code]],2, AN_TME_PY[[#All],[Advanced Network/Insurance Carrier Org ID]],R93),2)=ROUND(SUMIFS(AN_TME_PY[[#All],[TOTAL Non-Truncated Unadjusted Claims Expenses]], AN_TME_PY[[#All],[Insurance Category Code]],2, AN_TME_PY[[#All],[Advanced Network/Insurance Carrier Org ID]],R93), 2)</f>
        <v>1</v>
      </c>
      <c r="AH93" s="213" t="str">
        <f t="shared" si="7"/>
        <v>NA</v>
      </c>
    </row>
    <row r="94" spans="2:34" x14ac:dyDescent="0.25">
      <c r="B94" s="184">
        <v>104</v>
      </c>
      <c r="C94" s="204">
        <f>ROUND(SUMIFS(Age_Sex_BY[[#All],[Total Member Months by Age/Sex Band]], Age_Sex_BY[[#All],[Advanced Network ID]], $B94, Age_Sex_BY[[#All],[Insurance Category Code]],2), 2)</f>
        <v>0</v>
      </c>
      <c r="D94" s="202">
        <f>ROUND(SUMIFS(Age_Sex_BY[[#All],[Total Dollars Excluded from Spending After Applying Truncation at the Member Level]], Age_Sex_BY[[#All],[Advanced Network ID]], $B94, Age_Sex_BY[[#All],[Insurance Category Code]],2), 2)</f>
        <v>0</v>
      </c>
      <c r="E94" s="189">
        <f>ROUND(SUMIFS(Age_Sex_BY[[#All],[Count of Members whose Spending was Truncated]], Age_Sex_BY[[#All],[Advanced Network ID]], $B94, Age_Sex_BY[[#All],[Insurance Category Code]],2),2)</f>
        <v>0</v>
      </c>
      <c r="F94" s="202">
        <f>ROUND(SUMIFS(Age_Sex_BY[[#All],[Total Spending before Truncation is Applied]], Age_Sex_BY[[#All],[Advanced Network ID]], $B94, Age_Sex_BY[[#All],[Insurance Category Code]],2), 2)</f>
        <v>0</v>
      </c>
      <c r="G94" s="203">
        <f>ROUND(SUMIFS(Age_Sex_BY[[#All],[Total Spending After Applying Truncation at the Member Level]], Age_Sex_BY[[#All],[Advanced Network ID]], $B94, Age_Sex_BY[[#All],[Insurance Category Code]],2), 2)</f>
        <v>0</v>
      </c>
      <c r="H94" s="362" t="str">
        <f>IF(ROUND(C94,0)=ROUND(SUMIFS(AN_TME_BY[[#All],[Member Months]], AN_TME_BY[[#All],[Insurance Category Code]],2, AN_TME_BY[[#All],[Advanced Network/Insurance Carrier Org ID]],B94),0), "TRUE", ROUND(C94-SUMIFS(AN_TME_BY[[#All],[Member Months]], AN_TME_BY[[#All],[Insurance Category Code]],2, AN_TME_BY[[#All],[Advanced Network/Insurance Carrier Org ID]],B94),2))</f>
        <v>TRUE</v>
      </c>
      <c r="I94" s="365" t="str">
        <f>IF(ROUND(D94,0)=ROUND(SUMIFS(AN_TME_BY[[#All],[Total Claims Excluded because of Truncation]], AN_TME_BY[[#All],[Insurance Category Code]],2, AN_TME_BY[[#All],[Advanced Network/Insurance Carrier Org ID]],B94),0), "TRUE", ROUND(D94-SUMIFS(AN_TME_BY[[#All],[Total Claims Excluded because of Truncation]], AN_TME_BY[[#All],[Insurance Category Code]],2, AN_TME_BY[[#All],[Advanced Network/Insurance Carrier Org ID]],B94),2))</f>
        <v>TRUE</v>
      </c>
      <c r="J94" s="138" t="str">
        <f>IF(ROUND(E94,0)=ROUND(SUMIFS(AN_TME_BY[[#All],[Count of Members with Claims Truncated]], AN_TME_BY[[#All],[Insurance Category Code]],2, AN_TME_BY[[#All],[Advanced Network/Insurance Carrier Org ID]],B94),0), "TRUE", ROUND(E94-SUMIFS(AN_TME_BY[[#All],[Count of Members with Claims Truncated]], AN_TME_BY[[#All],[Insurance Category Code]],2, AN_TME_BY[[#All],[Advanced Network/Insurance Carrier Org ID]],B94),2))</f>
        <v>TRUE</v>
      </c>
      <c r="K94" s="365" t="str">
        <f>IF(ROUND(F94,0)=ROUND(SUMIFS(AN_TME_BY[[#All],[TOTAL Non-Truncated Unadjusted Claims Expenses]], AN_TME_BY[[#All],[Insurance Category Code]],2, AN_TME_BY[[#All],[Advanced Network/Insurance Carrier Org ID]],B94),0), "TRUE", ROUND(F94-SUMIFS(AN_TME_BY[[#All],[TOTAL Non-Truncated Unadjusted Claims Expenses]], AN_TME_BY[[#All],[Insurance Category Code]],2, AN_TME_BY[[#All],[Advanced Network/Insurance Carrier Org ID]],B94),2))</f>
        <v>TRUE</v>
      </c>
      <c r="L94" s="367" t="str">
        <f>IF(ROUND(G94,0)=ROUND(SUMIFS(AN_TME_BY[[#All],[TOTAL Truncated Unadjusted Claims Expenses (A21 -A19)]], AN_TME_BY[[#All],[Insurance Category Code]],2, AN_TME_BY[[#All],[Advanced Network/Insurance Carrier Org ID]],B94),0), "TRUE", ROUND(G94-SUMIFS(AN_TME_BY[[#All],[TOTAL Truncated Unadjusted Claims Expenses (A21 -A19)]], AN_TME_BY[[#All],[Insurance Category Code]],2, AN_TME_BY[[#All],[Advanced Network/Insurance Carrier Org ID]],B94),2))</f>
        <v>TRUE</v>
      </c>
      <c r="M94" s="362" t="str">
        <f t="shared" si="5"/>
        <v>TRUE</v>
      </c>
      <c r="N94" s="365" t="b">
        <f>ROUND(SUMIFS(AN_TME_BY[[#All],[TOTAL Non-Truncated Unadjusted Claims Expenses]], AN_TME_BY[[#All],[Insurance Category Code]],2, AN_TME_BY[[#All],[Advanced Network/Insurance Carrier Org ID]],B94), 2)&gt;=ROUND(SUMIFS(AN_TME_BY[[#All],[TOTAL Truncated Unadjusted Claims Expenses (A21 -A19)]], AN_TME_BY[[#All],[Insurance Category Code]], 2, AN_TME_BY[[#All],[Advanced Network/Insurance Carrier Org ID]],B94),2)</f>
        <v>1</v>
      </c>
      <c r="O94" s="367" t="b">
        <f>ROUND(SUMIFS(AN_TME_BY[[#All],[TOTAL Truncated Unadjusted Claims Expenses (A21 -A19)]], AN_TME_BY[[#All],[Insurance Category Code]],2, AN_TME_BY[[#All],[Advanced Network/Insurance Carrier Org ID]],B94)+SUMIFS(AN_TME_BY[[#All],[Total Claims Excluded because of Truncation]], AN_TME_BY[[#All],[Insurance Category Code]],2, AN_TME_BY[[#All],[Advanced Network/Insurance Carrier Org ID]],B94),2)=ROUND(SUMIFS(AN_TME_BY[[#All],[TOTAL Non-Truncated Unadjusted Claims Expenses]], AN_TME_BY[[#All],[Insurance Category Code]],2, AN_TME_BY[[#All],[Advanced Network/Insurance Carrier Org ID]],B94), 2)</f>
        <v>1</v>
      </c>
      <c r="R94" s="184">
        <v>104</v>
      </c>
      <c r="S94" s="204">
        <f>ROUND(SUMIFS(Age_Sex_PY[[#All],[Total Member Months by Age/Sex Band]], Age_Sex_PY[[#All],[Advanced Network ID]], $R94, Age_Sex_PY[[#All],[Insurance Category Code]],2), 2)</f>
        <v>0</v>
      </c>
      <c r="T94" s="202">
        <f>ROUND(SUMIFS(Age_Sex_PY[[#All],[Total Dollars Excluded from Spending After Applying Truncation at the Member Level]], Age_Sex_PY[[#All],[Advanced Network ID]], $R94, Age_Sex_PY[[#All],[Insurance Category Code]],2), 2)</f>
        <v>0</v>
      </c>
      <c r="U94" s="189">
        <f>ROUND(SUMIFS(Age_Sex_PY[[#All],[Count of Members whose Spending was Truncated]], Age_Sex_PY[[#All],[Advanced Network ID]], $R94, Age_Sex_PY[[#All],[Insurance Category Code]],2),2)</f>
        <v>0</v>
      </c>
      <c r="V94" s="202">
        <f>ROUND(SUMIFS(Age_Sex_PY[[#All],[Total Spending before Truncation is Applied]], Age_Sex_PY[[#All],[Advanced Network ID]], $R94, Age_Sex_PY[[#All],[Insurance Category Code]],2), 2)</f>
        <v>0</v>
      </c>
      <c r="W94" s="203">
        <f>ROUND(SUMIFS(Age_Sex_PY[[#All],[Total Spending After Applying Truncation at the Member Level]], Age_Sex_PY[[#All],[Advanced Network ID]], $R94, Age_Sex_PY[[#All],[Insurance Category Code]],2), 2)</f>
        <v>0</v>
      </c>
      <c r="X94" s="362" t="str">
        <f>IF(ROUND(S94,0)=ROUND(SUMIFS(AN_TME_PY[[#All],[Member Months]], AN_TME_PY[[#All],[Insurance Category Code]],2, AN_TME_PY[[#All],[Advanced Network/Insurance Carrier Org ID]],R94),0), "TRUE", ROUND(S94-SUMIFS(AN_TME_PY[[#All],[Member Months]], AN_TME_PY[[#All],[Insurance Category Code]],2, AN_TME_PY[[#All],[Advanced Network/Insurance Carrier Org ID]],R94),2))</f>
        <v>TRUE</v>
      </c>
      <c r="Y94" s="365" t="str">
        <f>IF(ROUND(T94,0)=ROUND(SUMIFS(AN_TME_PY[[#All],[Total Claims Excluded because of Truncation]], AN_TME_PY[[#All],[Insurance Category Code]],2, AN_TME_PY[[#All],[Advanced Network/Insurance Carrier Org ID]],R94),0), "TRUE", ROUND(T94-SUMIFS(AN_TME_PY[[#All],[Total Claims Excluded because of Truncation]], AN_TME_PY[[#All],[Insurance Category Code]],2, AN_TME_PY[[#All],[Advanced Network/Insurance Carrier Org ID]],R94),2))</f>
        <v>TRUE</v>
      </c>
      <c r="Z94" s="138" t="str">
        <f>IF(ROUND(U94,0)=ROUND(SUMIFS(AN_TME_PY[[#All],[Count of Members with Claims Truncated]], AN_TME_PY[[#All],[Insurance Category Code]],2, AN_TME_PY[[#All],[Advanced Network/Insurance Carrier Org ID]],R94),0), "TRUE", ROUND(U94-SUMIFS(AN_TME_PY[[#All],[Count of Members with Claims Truncated]], AN_TME_PY[[#All],[Insurance Category Code]],2, AN_TME_PY[[#All],[Advanced Network/Insurance Carrier Org ID]],R94),2))</f>
        <v>TRUE</v>
      </c>
      <c r="AA94" s="365" t="str">
        <f>IF(ROUND(V94,0)=ROUND(SUMIFS(AN_TME_PY[[#All],[TOTAL Non-Truncated Unadjusted Claims Expenses]], AN_TME_PY[[#All],[Insurance Category Code]],2, AN_TME_PY[[#All],[Advanced Network/Insurance Carrier Org ID]],R94),0), "TRUE", ROUND(V94-SUMIFS(AN_TME_PY[[#All],[TOTAL Non-Truncated Unadjusted Claims Expenses]], AN_TME_PY[[#All],[Insurance Category Code]],2, AN_TME_PY[[#All],[Advanced Network/Insurance Carrier Org ID]],R94),2))</f>
        <v>TRUE</v>
      </c>
      <c r="AB94" s="367" t="str">
        <f>IF(ROUND(W94,0)=ROUND(SUMIFS(AN_TME_PY[[#All],[TOTAL Truncated Unadjusted Claims Expenses (A21 -A19)]], AN_TME_PY[[#All],[Insurance Category Code]],2, AN_TME_PY[[#All],[Advanced Network/Insurance Carrier Org ID]],R94),0), "TRUE", ROUND(W94-SUMIFS(AN_TME_PY[[#All],[TOTAL Truncated Unadjusted Claims Expenses (A21 -A19)]], AN_TME_PY[[#All],[Insurance Category Code]],2, AN_TME_PY[[#All],[Advanced Network/Insurance Carrier Org ID]],R94),2))</f>
        <v>TRUE</v>
      </c>
      <c r="AC94" s="362" t="str">
        <f t="shared" si="6"/>
        <v>TRUE</v>
      </c>
      <c r="AD94" s="365" t="b">
        <f>ROUND(SUMIFS(AN_TME_PY[[#All],[TOTAL Non-Truncated Unadjusted Claims Expenses]], AN_TME_PY[[#All],[Insurance Category Code]],2, AN_TME_PY[[#All],[Advanced Network/Insurance Carrier Org ID]],R94), 2)&gt;=ROUND(SUMIFS(AN_TME_PY[[#All],[TOTAL Truncated Unadjusted Claims Expenses (A21 -A19)]], AN_TME_PY[[#All],[Insurance Category Code]], 2, AN_TME_PY[[#All],[Advanced Network/Insurance Carrier Org ID]],R94),2)</f>
        <v>1</v>
      </c>
      <c r="AE94" s="367" t="b">
        <f>ROUND(SUMIFS(AN_TME_PY[[#All],[TOTAL Truncated Unadjusted Claims Expenses (A21 -A19)]], AN_TME_PY[[#All],[Insurance Category Code]],2, AN_TME_PY[[#All],[Advanced Network/Insurance Carrier Org ID]],R94)+SUMIFS(AN_TME_PY[[#All],[Total Claims Excluded because of Truncation]], AN_TME_PY[[#All],[Insurance Category Code]],2, AN_TME_PY[[#All],[Advanced Network/Insurance Carrier Org ID]],R94),2)=ROUND(SUMIFS(AN_TME_PY[[#All],[TOTAL Non-Truncated Unadjusted Claims Expenses]], AN_TME_PY[[#All],[Insurance Category Code]],2, AN_TME_PY[[#All],[Advanced Network/Insurance Carrier Org ID]],R94), 2)</f>
        <v>1</v>
      </c>
      <c r="AH94" s="213" t="str">
        <f t="shared" si="7"/>
        <v>NA</v>
      </c>
    </row>
    <row r="95" spans="2:34" x14ac:dyDescent="0.25">
      <c r="B95" s="184">
        <v>105</v>
      </c>
      <c r="C95" s="204">
        <f>ROUND(SUMIFS(Age_Sex_BY[[#All],[Total Member Months by Age/Sex Band]], Age_Sex_BY[[#All],[Advanced Network ID]], $B95, Age_Sex_BY[[#All],[Insurance Category Code]],2), 2)</f>
        <v>0</v>
      </c>
      <c r="D95" s="202">
        <f>ROUND(SUMIFS(Age_Sex_BY[[#All],[Total Dollars Excluded from Spending After Applying Truncation at the Member Level]], Age_Sex_BY[[#All],[Advanced Network ID]], $B95, Age_Sex_BY[[#All],[Insurance Category Code]],2), 2)</f>
        <v>0</v>
      </c>
      <c r="E95" s="189">
        <f>ROUND(SUMIFS(Age_Sex_BY[[#All],[Count of Members whose Spending was Truncated]], Age_Sex_BY[[#All],[Advanced Network ID]], $B95, Age_Sex_BY[[#All],[Insurance Category Code]],2),2)</f>
        <v>0</v>
      </c>
      <c r="F95" s="202">
        <f>ROUND(SUMIFS(Age_Sex_BY[[#All],[Total Spending before Truncation is Applied]], Age_Sex_BY[[#All],[Advanced Network ID]], $B95, Age_Sex_BY[[#All],[Insurance Category Code]],2), 2)</f>
        <v>0</v>
      </c>
      <c r="G95" s="203">
        <f>ROUND(SUMIFS(Age_Sex_BY[[#All],[Total Spending After Applying Truncation at the Member Level]], Age_Sex_BY[[#All],[Advanced Network ID]], $B95, Age_Sex_BY[[#All],[Insurance Category Code]],2), 2)</f>
        <v>0</v>
      </c>
      <c r="H95" s="362" t="str">
        <f>IF(ROUND(C95,0)=ROUND(SUMIFS(AN_TME_BY[[#All],[Member Months]], AN_TME_BY[[#All],[Insurance Category Code]],2, AN_TME_BY[[#All],[Advanced Network/Insurance Carrier Org ID]],B95),0), "TRUE", ROUND(C95-SUMIFS(AN_TME_BY[[#All],[Member Months]], AN_TME_BY[[#All],[Insurance Category Code]],2, AN_TME_BY[[#All],[Advanced Network/Insurance Carrier Org ID]],B95),2))</f>
        <v>TRUE</v>
      </c>
      <c r="I95" s="365" t="str">
        <f>IF(ROUND(D95,0)=ROUND(SUMIFS(AN_TME_BY[[#All],[Total Claims Excluded because of Truncation]], AN_TME_BY[[#All],[Insurance Category Code]],2, AN_TME_BY[[#All],[Advanced Network/Insurance Carrier Org ID]],B95),0), "TRUE", ROUND(D95-SUMIFS(AN_TME_BY[[#All],[Total Claims Excluded because of Truncation]], AN_TME_BY[[#All],[Insurance Category Code]],2, AN_TME_BY[[#All],[Advanced Network/Insurance Carrier Org ID]],B95),2))</f>
        <v>TRUE</v>
      </c>
      <c r="J95" s="138" t="str">
        <f>IF(ROUND(E95,0)=ROUND(SUMIFS(AN_TME_BY[[#All],[Count of Members with Claims Truncated]], AN_TME_BY[[#All],[Insurance Category Code]],2, AN_TME_BY[[#All],[Advanced Network/Insurance Carrier Org ID]],B95),0), "TRUE", ROUND(E95-SUMIFS(AN_TME_BY[[#All],[Count of Members with Claims Truncated]], AN_TME_BY[[#All],[Insurance Category Code]],2, AN_TME_BY[[#All],[Advanced Network/Insurance Carrier Org ID]],B95),2))</f>
        <v>TRUE</v>
      </c>
      <c r="K95" s="365" t="str">
        <f>IF(ROUND(F95,0)=ROUND(SUMIFS(AN_TME_BY[[#All],[TOTAL Non-Truncated Unadjusted Claims Expenses]], AN_TME_BY[[#All],[Insurance Category Code]],2, AN_TME_BY[[#All],[Advanced Network/Insurance Carrier Org ID]],B95),0), "TRUE", ROUND(F95-SUMIFS(AN_TME_BY[[#All],[TOTAL Non-Truncated Unadjusted Claims Expenses]], AN_TME_BY[[#All],[Insurance Category Code]],2, AN_TME_BY[[#All],[Advanced Network/Insurance Carrier Org ID]],B95),2))</f>
        <v>TRUE</v>
      </c>
      <c r="L95" s="367" t="str">
        <f>IF(ROUND(G95,0)=ROUND(SUMIFS(AN_TME_BY[[#All],[TOTAL Truncated Unadjusted Claims Expenses (A21 -A19)]], AN_TME_BY[[#All],[Insurance Category Code]],2, AN_TME_BY[[#All],[Advanced Network/Insurance Carrier Org ID]],B95),0), "TRUE", ROUND(G95-SUMIFS(AN_TME_BY[[#All],[TOTAL Truncated Unadjusted Claims Expenses (A21 -A19)]], AN_TME_BY[[#All],[Insurance Category Code]],2, AN_TME_BY[[#All],[Advanced Network/Insurance Carrier Org ID]],B95),2))</f>
        <v>TRUE</v>
      </c>
      <c r="M95" s="362" t="str">
        <f t="shared" si="5"/>
        <v>TRUE</v>
      </c>
      <c r="N95" s="365" t="b">
        <f>ROUND(SUMIFS(AN_TME_BY[[#All],[TOTAL Non-Truncated Unadjusted Claims Expenses]], AN_TME_BY[[#All],[Insurance Category Code]],2, AN_TME_BY[[#All],[Advanced Network/Insurance Carrier Org ID]],B95), 2)&gt;=ROUND(SUMIFS(AN_TME_BY[[#All],[TOTAL Truncated Unadjusted Claims Expenses (A21 -A19)]], AN_TME_BY[[#All],[Insurance Category Code]], 2, AN_TME_BY[[#All],[Advanced Network/Insurance Carrier Org ID]],B95),2)</f>
        <v>1</v>
      </c>
      <c r="O95" s="367" t="b">
        <f>ROUND(SUMIFS(AN_TME_BY[[#All],[TOTAL Truncated Unadjusted Claims Expenses (A21 -A19)]], AN_TME_BY[[#All],[Insurance Category Code]],2, AN_TME_BY[[#All],[Advanced Network/Insurance Carrier Org ID]],B95)+SUMIFS(AN_TME_BY[[#All],[Total Claims Excluded because of Truncation]], AN_TME_BY[[#All],[Insurance Category Code]],2, AN_TME_BY[[#All],[Advanced Network/Insurance Carrier Org ID]],B95),2)=ROUND(SUMIFS(AN_TME_BY[[#All],[TOTAL Non-Truncated Unadjusted Claims Expenses]], AN_TME_BY[[#All],[Insurance Category Code]],2, AN_TME_BY[[#All],[Advanced Network/Insurance Carrier Org ID]],B95), 2)</f>
        <v>1</v>
      </c>
      <c r="R95" s="184">
        <v>105</v>
      </c>
      <c r="S95" s="204">
        <f>ROUND(SUMIFS(Age_Sex_PY[[#All],[Total Member Months by Age/Sex Band]], Age_Sex_PY[[#All],[Advanced Network ID]], $R95, Age_Sex_PY[[#All],[Insurance Category Code]],2), 2)</f>
        <v>0</v>
      </c>
      <c r="T95" s="202">
        <f>ROUND(SUMIFS(Age_Sex_PY[[#All],[Total Dollars Excluded from Spending After Applying Truncation at the Member Level]], Age_Sex_PY[[#All],[Advanced Network ID]], $R95, Age_Sex_PY[[#All],[Insurance Category Code]],2), 2)</f>
        <v>0</v>
      </c>
      <c r="U95" s="189">
        <f>ROUND(SUMIFS(Age_Sex_PY[[#All],[Count of Members whose Spending was Truncated]], Age_Sex_PY[[#All],[Advanced Network ID]], $R95, Age_Sex_PY[[#All],[Insurance Category Code]],2),2)</f>
        <v>0</v>
      </c>
      <c r="V95" s="202">
        <f>ROUND(SUMIFS(Age_Sex_PY[[#All],[Total Spending before Truncation is Applied]], Age_Sex_PY[[#All],[Advanced Network ID]], $R95, Age_Sex_PY[[#All],[Insurance Category Code]],2), 2)</f>
        <v>0</v>
      </c>
      <c r="W95" s="203">
        <f>ROUND(SUMIFS(Age_Sex_PY[[#All],[Total Spending After Applying Truncation at the Member Level]], Age_Sex_PY[[#All],[Advanced Network ID]], $R95, Age_Sex_PY[[#All],[Insurance Category Code]],2), 2)</f>
        <v>0</v>
      </c>
      <c r="X95" s="362" t="str">
        <f>IF(ROUND(S95,0)=ROUND(SUMIFS(AN_TME_PY[[#All],[Member Months]], AN_TME_PY[[#All],[Insurance Category Code]],2, AN_TME_PY[[#All],[Advanced Network/Insurance Carrier Org ID]],R95),0), "TRUE", ROUND(S95-SUMIFS(AN_TME_PY[[#All],[Member Months]], AN_TME_PY[[#All],[Insurance Category Code]],2, AN_TME_PY[[#All],[Advanced Network/Insurance Carrier Org ID]],R95),2))</f>
        <v>TRUE</v>
      </c>
      <c r="Y95" s="365" t="str">
        <f>IF(ROUND(T95,0)=ROUND(SUMIFS(AN_TME_PY[[#All],[Total Claims Excluded because of Truncation]], AN_TME_PY[[#All],[Insurance Category Code]],2, AN_TME_PY[[#All],[Advanced Network/Insurance Carrier Org ID]],R95),0), "TRUE", ROUND(T95-SUMIFS(AN_TME_PY[[#All],[Total Claims Excluded because of Truncation]], AN_TME_PY[[#All],[Insurance Category Code]],2, AN_TME_PY[[#All],[Advanced Network/Insurance Carrier Org ID]],R95),2))</f>
        <v>TRUE</v>
      </c>
      <c r="Z95" s="138" t="str">
        <f>IF(ROUND(U95,0)=ROUND(SUMIFS(AN_TME_PY[[#All],[Count of Members with Claims Truncated]], AN_TME_PY[[#All],[Insurance Category Code]],2, AN_TME_PY[[#All],[Advanced Network/Insurance Carrier Org ID]],R95),0), "TRUE", ROUND(U95-SUMIFS(AN_TME_PY[[#All],[Count of Members with Claims Truncated]], AN_TME_PY[[#All],[Insurance Category Code]],2, AN_TME_PY[[#All],[Advanced Network/Insurance Carrier Org ID]],R95),2))</f>
        <v>TRUE</v>
      </c>
      <c r="AA95" s="365" t="str">
        <f>IF(ROUND(V95,0)=ROUND(SUMIFS(AN_TME_PY[[#All],[TOTAL Non-Truncated Unadjusted Claims Expenses]], AN_TME_PY[[#All],[Insurance Category Code]],2, AN_TME_PY[[#All],[Advanced Network/Insurance Carrier Org ID]],R95),0), "TRUE", ROUND(V95-SUMIFS(AN_TME_PY[[#All],[TOTAL Non-Truncated Unadjusted Claims Expenses]], AN_TME_PY[[#All],[Insurance Category Code]],2, AN_TME_PY[[#All],[Advanced Network/Insurance Carrier Org ID]],R95),2))</f>
        <v>TRUE</v>
      </c>
      <c r="AB95" s="367" t="str">
        <f>IF(ROUND(W95,0)=ROUND(SUMIFS(AN_TME_PY[[#All],[TOTAL Truncated Unadjusted Claims Expenses (A21 -A19)]], AN_TME_PY[[#All],[Insurance Category Code]],2, AN_TME_PY[[#All],[Advanced Network/Insurance Carrier Org ID]],R95),0), "TRUE", ROUND(W95-SUMIFS(AN_TME_PY[[#All],[TOTAL Truncated Unadjusted Claims Expenses (A21 -A19)]], AN_TME_PY[[#All],[Insurance Category Code]],2, AN_TME_PY[[#All],[Advanced Network/Insurance Carrier Org ID]],R95),2))</f>
        <v>TRUE</v>
      </c>
      <c r="AC95" s="362" t="str">
        <f t="shared" si="6"/>
        <v>TRUE</v>
      </c>
      <c r="AD95" s="365" t="b">
        <f>ROUND(SUMIFS(AN_TME_PY[[#All],[TOTAL Non-Truncated Unadjusted Claims Expenses]], AN_TME_PY[[#All],[Insurance Category Code]],2, AN_TME_PY[[#All],[Advanced Network/Insurance Carrier Org ID]],R95), 2)&gt;=ROUND(SUMIFS(AN_TME_PY[[#All],[TOTAL Truncated Unadjusted Claims Expenses (A21 -A19)]], AN_TME_PY[[#All],[Insurance Category Code]], 2, AN_TME_PY[[#All],[Advanced Network/Insurance Carrier Org ID]],R95),2)</f>
        <v>1</v>
      </c>
      <c r="AE95" s="367" t="b">
        <f>ROUND(SUMIFS(AN_TME_PY[[#All],[TOTAL Truncated Unadjusted Claims Expenses (A21 -A19)]], AN_TME_PY[[#All],[Insurance Category Code]],2, AN_TME_PY[[#All],[Advanced Network/Insurance Carrier Org ID]],R95)+SUMIFS(AN_TME_PY[[#All],[Total Claims Excluded because of Truncation]], AN_TME_PY[[#All],[Insurance Category Code]],2, AN_TME_PY[[#All],[Advanced Network/Insurance Carrier Org ID]],R95),2)=ROUND(SUMIFS(AN_TME_PY[[#All],[TOTAL Non-Truncated Unadjusted Claims Expenses]], AN_TME_PY[[#All],[Insurance Category Code]],2, AN_TME_PY[[#All],[Advanced Network/Insurance Carrier Org ID]],R95), 2)</f>
        <v>1</v>
      </c>
      <c r="AH95" s="213" t="str">
        <f t="shared" si="7"/>
        <v>NA</v>
      </c>
    </row>
    <row r="96" spans="2:34" x14ac:dyDescent="0.25">
      <c r="B96" s="184">
        <v>106</v>
      </c>
      <c r="C96" s="204">
        <f>ROUND(SUMIFS(Age_Sex_BY[[#All],[Total Member Months by Age/Sex Band]], Age_Sex_BY[[#All],[Advanced Network ID]], $B96, Age_Sex_BY[[#All],[Insurance Category Code]],2), 2)</f>
        <v>0</v>
      </c>
      <c r="D96" s="202">
        <f>ROUND(SUMIFS(Age_Sex_BY[[#All],[Total Dollars Excluded from Spending After Applying Truncation at the Member Level]], Age_Sex_BY[[#All],[Advanced Network ID]], $B96, Age_Sex_BY[[#All],[Insurance Category Code]],2), 2)</f>
        <v>0</v>
      </c>
      <c r="E96" s="189">
        <f>ROUND(SUMIFS(Age_Sex_BY[[#All],[Count of Members whose Spending was Truncated]], Age_Sex_BY[[#All],[Advanced Network ID]], $B96, Age_Sex_BY[[#All],[Insurance Category Code]],2),2)</f>
        <v>0</v>
      </c>
      <c r="F96" s="202">
        <f>ROUND(SUMIFS(Age_Sex_BY[[#All],[Total Spending before Truncation is Applied]], Age_Sex_BY[[#All],[Advanced Network ID]], $B96, Age_Sex_BY[[#All],[Insurance Category Code]],2), 2)</f>
        <v>0</v>
      </c>
      <c r="G96" s="203">
        <f>ROUND(SUMIFS(Age_Sex_BY[[#All],[Total Spending After Applying Truncation at the Member Level]], Age_Sex_BY[[#All],[Advanced Network ID]], $B96, Age_Sex_BY[[#All],[Insurance Category Code]],2), 2)</f>
        <v>0</v>
      </c>
      <c r="H96" s="362" t="str">
        <f>IF(ROUND(C96,0)=ROUND(SUMIFS(AN_TME_BY[[#All],[Member Months]], AN_TME_BY[[#All],[Insurance Category Code]],2, AN_TME_BY[[#All],[Advanced Network/Insurance Carrier Org ID]],B96),0), "TRUE", ROUND(C96-SUMIFS(AN_TME_BY[[#All],[Member Months]], AN_TME_BY[[#All],[Insurance Category Code]],2, AN_TME_BY[[#All],[Advanced Network/Insurance Carrier Org ID]],B96),2))</f>
        <v>TRUE</v>
      </c>
      <c r="I96" s="365" t="str">
        <f>IF(ROUND(D96,0)=ROUND(SUMIFS(AN_TME_BY[[#All],[Total Claims Excluded because of Truncation]], AN_TME_BY[[#All],[Insurance Category Code]],2, AN_TME_BY[[#All],[Advanced Network/Insurance Carrier Org ID]],B96),0), "TRUE", ROUND(D96-SUMIFS(AN_TME_BY[[#All],[Total Claims Excluded because of Truncation]], AN_TME_BY[[#All],[Insurance Category Code]],2, AN_TME_BY[[#All],[Advanced Network/Insurance Carrier Org ID]],B96),2))</f>
        <v>TRUE</v>
      </c>
      <c r="J96" s="138" t="str">
        <f>IF(ROUND(E96,0)=ROUND(SUMIFS(AN_TME_BY[[#All],[Count of Members with Claims Truncated]], AN_TME_BY[[#All],[Insurance Category Code]],2, AN_TME_BY[[#All],[Advanced Network/Insurance Carrier Org ID]],B96),0), "TRUE", ROUND(E96-SUMIFS(AN_TME_BY[[#All],[Count of Members with Claims Truncated]], AN_TME_BY[[#All],[Insurance Category Code]],2, AN_TME_BY[[#All],[Advanced Network/Insurance Carrier Org ID]],B96),2))</f>
        <v>TRUE</v>
      </c>
      <c r="K96" s="365" t="str">
        <f>IF(ROUND(F96,0)=ROUND(SUMIFS(AN_TME_BY[[#All],[TOTAL Non-Truncated Unadjusted Claims Expenses]], AN_TME_BY[[#All],[Insurance Category Code]],2, AN_TME_BY[[#All],[Advanced Network/Insurance Carrier Org ID]],B96),0), "TRUE", ROUND(F96-SUMIFS(AN_TME_BY[[#All],[TOTAL Non-Truncated Unadjusted Claims Expenses]], AN_TME_BY[[#All],[Insurance Category Code]],2, AN_TME_BY[[#All],[Advanced Network/Insurance Carrier Org ID]],B96),2))</f>
        <v>TRUE</v>
      </c>
      <c r="L96" s="367" t="str">
        <f>IF(ROUND(G96,0)=ROUND(SUMIFS(AN_TME_BY[[#All],[TOTAL Truncated Unadjusted Claims Expenses (A21 -A19)]], AN_TME_BY[[#All],[Insurance Category Code]],2, AN_TME_BY[[#All],[Advanced Network/Insurance Carrier Org ID]],B96),0), "TRUE", ROUND(G96-SUMIFS(AN_TME_BY[[#All],[TOTAL Truncated Unadjusted Claims Expenses (A21 -A19)]], AN_TME_BY[[#All],[Insurance Category Code]],2, AN_TME_BY[[#All],[Advanced Network/Insurance Carrier Org ID]],B96),2))</f>
        <v>TRUE</v>
      </c>
      <c r="M96" s="362" t="str">
        <f t="shared" si="5"/>
        <v>TRUE</v>
      </c>
      <c r="N96" s="365" t="b">
        <f>ROUND(SUMIFS(AN_TME_BY[[#All],[TOTAL Non-Truncated Unadjusted Claims Expenses]], AN_TME_BY[[#All],[Insurance Category Code]],2, AN_TME_BY[[#All],[Advanced Network/Insurance Carrier Org ID]],B96), 2)&gt;=ROUND(SUMIFS(AN_TME_BY[[#All],[TOTAL Truncated Unadjusted Claims Expenses (A21 -A19)]], AN_TME_BY[[#All],[Insurance Category Code]], 2, AN_TME_BY[[#All],[Advanced Network/Insurance Carrier Org ID]],B96),2)</f>
        <v>1</v>
      </c>
      <c r="O96" s="367" t="b">
        <f>ROUND(SUMIFS(AN_TME_BY[[#All],[TOTAL Truncated Unadjusted Claims Expenses (A21 -A19)]], AN_TME_BY[[#All],[Insurance Category Code]],2, AN_TME_BY[[#All],[Advanced Network/Insurance Carrier Org ID]],B96)+SUMIFS(AN_TME_BY[[#All],[Total Claims Excluded because of Truncation]], AN_TME_BY[[#All],[Insurance Category Code]],2, AN_TME_BY[[#All],[Advanced Network/Insurance Carrier Org ID]],B96),2)=ROUND(SUMIFS(AN_TME_BY[[#All],[TOTAL Non-Truncated Unadjusted Claims Expenses]], AN_TME_BY[[#All],[Insurance Category Code]],2, AN_TME_BY[[#All],[Advanced Network/Insurance Carrier Org ID]],B96), 2)</f>
        <v>1</v>
      </c>
      <c r="R96" s="184">
        <v>106</v>
      </c>
      <c r="S96" s="204">
        <f>ROUND(SUMIFS(Age_Sex_PY[[#All],[Total Member Months by Age/Sex Band]], Age_Sex_PY[[#All],[Advanced Network ID]], $R96, Age_Sex_PY[[#All],[Insurance Category Code]],2), 2)</f>
        <v>0</v>
      </c>
      <c r="T96" s="202">
        <f>ROUND(SUMIFS(Age_Sex_PY[[#All],[Total Dollars Excluded from Spending After Applying Truncation at the Member Level]], Age_Sex_PY[[#All],[Advanced Network ID]], $R96, Age_Sex_PY[[#All],[Insurance Category Code]],2), 2)</f>
        <v>0</v>
      </c>
      <c r="U96" s="189">
        <f>ROUND(SUMIFS(Age_Sex_PY[[#All],[Count of Members whose Spending was Truncated]], Age_Sex_PY[[#All],[Advanced Network ID]], $R96, Age_Sex_PY[[#All],[Insurance Category Code]],2),2)</f>
        <v>0</v>
      </c>
      <c r="V96" s="202">
        <f>ROUND(SUMIFS(Age_Sex_PY[[#All],[Total Spending before Truncation is Applied]], Age_Sex_PY[[#All],[Advanced Network ID]], $R96, Age_Sex_PY[[#All],[Insurance Category Code]],2), 2)</f>
        <v>0</v>
      </c>
      <c r="W96" s="203">
        <f>ROUND(SUMIFS(Age_Sex_PY[[#All],[Total Spending After Applying Truncation at the Member Level]], Age_Sex_PY[[#All],[Advanced Network ID]], $R96, Age_Sex_PY[[#All],[Insurance Category Code]],2), 2)</f>
        <v>0</v>
      </c>
      <c r="X96" s="362" t="str">
        <f>IF(ROUND(S96,0)=ROUND(SUMIFS(AN_TME_PY[[#All],[Member Months]], AN_TME_PY[[#All],[Insurance Category Code]],2, AN_TME_PY[[#All],[Advanced Network/Insurance Carrier Org ID]],R96),0), "TRUE", ROUND(S96-SUMIFS(AN_TME_PY[[#All],[Member Months]], AN_TME_PY[[#All],[Insurance Category Code]],2, AN_TME_PY[[#All],[Advanced Network/Insurance Carrier Org ID]],R96),2))</f>
        <v>TRUE</v>
      </c>
      <c r="Y96" s="365" t="str">
        <f>IF(ROUND(T96,0)=ROUND(SUMIFS(AN_TME_PY[[#All],[Total Claims Excluded because of Truncation]], AN_TME_PY[[#All],[Insurance Category Code]],2, AN_TME_PY[[#All],[Advanced Network/Insurance Carrier Org ID]],R96),0), "TRUE", ROUND(T96-SUMIFS(AN_TME_PY[[#All],[Total Claims Excluded because of Truncation]], AN_TME_PY[[#All],[Insurance Category Code]],2, AN_TME_PY[[#All],[Advanced Network/Insurance Carrier Org ID]],R96),2))</f>
        <v>TRUE</v>
      </c>
      <c r="Z96" s="138" t="str">
        <f>IF(ROUND(U96,0)=ROUND(SUMIFS(AN_TME_PY[[#All],[Count of Members with Claims Truncated]], AN_TME_PY[[#All],[Insurance Category Code]],2, AN_TME_PY[[#All],[Advanced Network/Insurance Carrier Org ID]],R96),0), "TRUE", ROUND(U96-SUMIFS(AN_TME_PY[[#All],[Count of Members with Claims Truncated]], AN_TME_PY[[#All],[Insurance Category Code]],2, AN_TME_PY[[#All],[Advanced Network/Insurance Carrier Org ID]],R96),2))</f>
        <v>TRUE</v>
      </c>
      <c r="AA96" s="365" t="str">
        <f>IF(ROUND(V96,0)=ROUND(SUMIFS(AN_TME_PY[[#All],[TOTAL Non-Truncated Unadjusted Claims Expenses]], AN_TME_PY[[#All],[Insurance Category Code]],2, AN_TME_PY[[#All],[Advanced Network/Insurance Carrier Org ID]],R96),0), "TRUE", ROUND(V96-SUMIFS(AN_TME_PY[[#All],[TOTAL Non-Truncated Unadjusted Claims Expenses]], AN_TME_PY[[#All],[Insurance Category Code]],2, AN_TME_PY[[#All],[Advanced Network/Insurance Carrier Org ID]],R96),2))</f>
        <v>TRUE</v>
      </c>
      <c r="AB96" s="367" t="str">
        <f>IF(ROUND(W96,0)=ROUND(SUMIFS(AN_TME_PY[[#All],[TOTAL Truncated Unadjusted Claims Expenses (A21 -A19)]], AN_TME_PY[[#All],[Insurance Category Code]],2, AN_TME_PY[[#All],[Advanced Network/Insurance Carrier Org ID]],R96),0), "TRUE", ROUND(W96-SUMIFS(AN_TME_PY[[#All],[TOTAL Truncated Unadjusted Claims Expenses (A21 -A19)]], AN_TME_PY[[#All],[Insurance Category Code]],2, AN_TME_PY[[#All],[Advanced Network/Insurance Carrier Org ID]],R96),2))</f>
        <v>TRUE</v>
      </c>
      <c r="AC96" s="362" t="str">
        <f t="shared" si="6"/>
        <v>TRUE</v>
      </c>
      <c r="AD96" s="365" t="b">
        <f>ROUND(SUMIFS(AN_TME_PY[[#All],[TOTAL Non-Truncated Unadjusted Claims Expenses]], AN_TME_PY[[#All],[Insurance Category Code]],2, AN_TME_PY[[#All],[Advanced Network/Insurance Carrier Org ID]],R96), 2)&gt;=ROUND(SUMIFS(AN_TME_PY[[#All],[TOTAL Truncated Unadjusted Claims Expenses (A21 -A19)]], AN_TME_PY[[#All],[Insurance Category Code]], 2, AN_TME_PY[[#All],[Advanced Network/Insurance Carrier Org ID]],R96),2)</f>
        <v>1</v>
      </c>
      <c r="AE96" s="367" t="b">
        <f>ROUND(SUMIFS(AN_TME_PY[[#All],[TOTAL Truncated Unadjusted Claims Expenses (A21 -A19)]], AN_TME_PY[[#All],[Insurance Category Code]],2, AN_TME_PY[[#All],[Advanced Network/Insurance Carrier Org ID]],R96)+SUMIFS(AN_TME_PY[[#All],[Total Claims Excluded because of Truncation]], AN_TME_PY[[#All],[Insurance Category Code]],2, AN_TME_PY[[#All],[Advanced Network/Insurance Carrier Org ID]],R96),2)=ROUND(SUMIFS(AN_TME_PY[[#All],[TOTAL Non-Truncated Unadjusted Claims Expenses]], AN_TME_PY[[#All],[Insurance Category Code]],2, AN_TME_PY[[#All],[Advanced Network/Insurance Carrier Org ID]],R96), 2)</f>
        <v>1</v>
      </c>
      <c r="AH96" s="213" t="str">
        <f t="shared" si="7"/>
        <v>NA</v>
      </c>
    </row>
    <row r="97" spans="2:34" x14ac:dyDescent="0.25">
      <c r="B97" s="184">
        <v>107</v>
      </c>
      <c r="C97" s="204">
        <f>ROUND(SUMIFS(Age_Sex_BY[[#All],[Total Member Months by Age/Sex Band]], Age_Sex_BY[[#All],[Advanced Network ID]], $B97, Age_Sex_BY[[#All],[Insurance Category Code]],2), 2)</f>
        <v>0</v>
      </c>
      <c r="D97" s="202">
        <f>ROUND(SUMIFS(Age_Sex_BY[[#All],[Total Dollars Excluded from Spending After Applying Truncation at the Member Level]], Age_Sex_BY[[#All],[Advanced Network ID]], $B97, Age_Sex_BY[[#All],[Insurance Category Code]],2), 2)</f>
        <v>0</v>
      </c>
      <c r="E97" s="189">
        <f>ROUND(SUMIFS(Age_Sex_BY[[#All],[Count of Members whose Spending was Truncated]], Age_Sex_BY[[#All],[Advanced Network ID]], $B97, Age_Sex_BY[[#All],[Insurance Category Code]],2),2)</f>
        <v>0</v>
      </c>
      <c r="F97" s="202">
        <f>ROUND(SUMIFS(Age_Sex_BY[[#All],[Total Spending before Truncation is Applied]], Age_Sex_BY[[#All],[Advanced Network ID]], $B97, Age_Sex_BY[[#All],[Insurance Category Code]],2), 2)</f>
        <v>0</v>
      </c>
      <c r="G97" s="203">
        <f>ROUND(SUMIFS(Age_Sex_BY[[#All],[Total Spending After Applying Truncation at the Member Level]], Age_Sex_BY[[#All],[Advanced Network ID]], $B97, Age_Sex_BY[[#All],[Insurance Category Code]],2), 2)</f>
        <v>0</v>
      </c>
      <c r="H97" s="362" t="str">
        <f>IF(ROUND(C97,0)=ROUND(SUMIFS(AN_TME_BY[[#All],[Member Months]], AN_TME_BY[[#All],[Insurance Category Code]],2, AN_TME_BY[[#All],[Advanced Network/Insurance Carrier Org ID]],B97),0), "TRUE", ROUND(C97-SUMIFS(AN_TME_BY[[#All],[Member Months]], AN_TME_BY[[#All],[Insurance Category Code]],2, AN_TME_BY[[#All],[Advanced Network/Insurance Carrier Org ID]],B97),2))</f>
        <v>TRUE</v>
      </c>
      <c r="I97" s="365" t="str">
        <f>IF(ROUND(D97,0)=ROUND(SUMIFS(AN_TME_BY[[#All],[Total Claims Excluded because of Truncation]], AN_TME_BY[[#All],[Insurance Category Code]],2, AN_TME_BY[[#All],[Advanced Network/Insurance Carrier Org ID]],B97),0), "TRUE", ROUND(D97-SUMIFS(AN_TME_BY[[#All],[Total Claims Excluded because of Truncation]], AN_TME_BY[[#All],[Insurance Category Code]],2, AN_TME_BY[[#All],[Advanced Network/Insurance Carrier Org ID]],B97),2))</f>
        <v>TRUE</v>
      </c>
      <c r="J97" s="138" t="str">
        <f>IF(ROUND(E97,0)=ROUND(SUMIFS(AN_TME_BY[[#All],[Count of Members with Claims Truncated]], AN_TME_BY[[#All],[Insurance Category Code]],2, AN_TME_BY[[#All],[Advanced Network/Insurance Carrier Org ID]],B97),0), "TRUE", ROUND(E97-SUMIFS(AN_TME_BY[[#All],[Count of Members with Claims Truncated]], AN_TME_BY[[#All],[Insurance Category Code]],2, AN_TME_BY[[#All],[Advanced Network/Insurance Carrier Org ID]],B97),2))</f>
        <v>TRUE</v>
      </c>
      <c r="K97" s="365" t="str">
        <f>IF(ROUND(F97,0)=ROUND(SUMIFS(AN_TME_BY[[#All],[TOTAL Non-Truncated Unadjusted Claims Expenses]], AN_TME_BY[[#All],[Insurance Category Code]],2, AN_TME_BY[[#All],[Advanced Network/Insurance Carrier Org ID]],B97),0), "TRUE", ROUND(F97-SUMIFS(AN_TME_BY[[#All],[TOTAL Non-Truncated Unadjusted Claims Expenses]], AN_TME_BY[[#All],[Insurance Category Code]],2, AN_TME_BY[[#All],[Advanced Network/Insurance Carrier Org ID]],B97),2))</f>
        <v>TRUE</v>
      </c>
      <c r="L97" s="367" t="str">
        <f>IF(ROUND(G97,0)=ROUND(SUMIFS(AN_TME_BY[[#All],[TOTAL Truncated Unadjusted Claims Expenses (A21 -A19)]], AN_TME_BY[[#All],[Insurance Category Code]],2, AN_TME_BY[[#All],[Advanced Network/Insurance Carrier Org ID]],B97),0), "TRUE", ROUND(G97-SUMIFS(AN_TME_BY[[#All],[TOTAL Truncated Unadjusted Claims Expenses (A21 -A19)]], AN_TME_BY[[#All],[Insurance Category Code]],2, AN_TME_BY[[#All],[Advanced Network/Insurance Carrier Org ID]],B97),2))</f>
        <v>TRUE</v>
      </c>
      <c r="M97" s="362" t="str">
        <f t="shared" si="5"/>
        <v>TRUE</v>
      </c>
      <c r="N97" s="365" t="b">
        <f>ROUND(SUMIFS(AN_TME_BY[[#All],[TOTAL Non-Truncated Unadjusted Claims Expenses]], AN_TME_BY[[#All],[Insurance Category Code]],2, AN_TME_BY[[#All],[Advanced Network/Insurance Carrier Org ID]],B97), 2)&gt;=ROUND(SUMIFS(AN_TME_BY[[#All],[TOTAL Truncated Unadjusted Claims Expenses (A21 -A19)]], AN_TME_BY[[#All],[Insurance Category Code]], 2, AN_TME_BY[[#All],[Advanced Network/Insurance Carrier Org ID]],B97),2)</f>
        <v>1</v>
      </c>
      <c r="O97" s="367" t="b">
        <f>ROUND(SUMIFS(AN_TME_BY[[#All],[TOTAL Truncated Unadjusted Claims Expenses (A21 -A19)]], AN_TME_BY[[#All],[Insurance Category Code]],2, AN_TME_BY[[#All],[Advanced Network/Insurance Carrier Org ID]],B97)+SUMIFS(AN_TME_BY[[#All],[Total Claims Excluded because of Truncation]], AN_TME_BY[[#All],[Insurance Category Code]],2, AN_TME_BY[[#All],[Advanced Network/Insurance Carrier Org ID]],B97),2)=ROUND(SUMIFS(AN_TME_BY[[#All],[TOTAL Non-Truncated Unadjusted Claims Expenses]], AN_TME_BY[[#All],[Insurance Category Code]],2, AN_TME_BY[[#All],[Advanced Network/Insurance Carrier Org ID]],B97), 2)</f>
        <v>1</v>
      </c>
      <c r="R97" s="184">
        <v>107</v>
      </c>
      <c r="S97" s="204">
        <f>ROUND(SUMIFS(Age_Sex_PY[[#All],[Total Member Months by Age/Sex Band]], Age_Sex_PY[[#All],[Advanced Network ID]], $R97, Age_Sex_PY[[#All],[Insurance Category Code]],2), 2)</f>
        <v>0</v>
      </c>
      <c r="T97" s="202">
        <f>ROUND(SUMIFS(Age_Sex_PY[[#All],[Total Dollars Excluded from Spending After Applying Truncation at the Member Level]], Age_Sex_PY[[#All],[Advanced Network ID]], $R97, Age_Sex_PY[[#All],[Insurance Category Code]],2), 2)</f>
        <v>0</v>
      </c>
      <c r="U97" s="189">
        <f>ROUND(SUMIFS(Age_Sex_PY[[#All],[Count of Members whose Spending was Truncated]], Age_Sex_PY[[#All],[Advanced Network ID]], $R97, Age_Sex_PY[[#All],[Insurance Category Code]],2),2)</f>
        <v>0</v>
      </c>
      <c r="V97" s="202">
        <f>ROUND(SUMIFS(Age_Sex_PY[[#All],[Total Spending before Truncation is Applied]], Age_Sex_PY[[#All],[Advanced Network ID]], $R97, Age_Sex_PY[[#All],[Insurance Category Code]],2), 2)</f>
        <v>0</v>
      </c>
      <c r="W97" s="203">
        <f>ROUND(SUMIFS(Age_Sex_PY[[#All],[Total Spending After Applying Truncation at the Member Level]], Age_Sex_PY[[#All],[Advanced Network ID]], $R97, Age_Sex_PY[[#All],[Insurance Category Code]],2), 2)</f>
        <v>0</v>
      </c>
      <c r="X97" s="362" t="str">
        <f>IF(ROUND(S97,0)=ROUND(SUMIFS(AN_TME_PY[[#All],[Member Months]], AN_TME_PY[[#All],[Insurance Category Code]],2, AN_TME_PY[[#All],[Advanced Network/Insurance Carrier Org ID]],R97),0), "TRUE", ROUND(S97-SUMIFS(AN_TME_PY[[#All],[Member Months]], AN_TME_PY[[#All],[Insurance Category Code]],2, AN_TME_PY[[#All],[Advanced Network/Insurance Carrier Org ID]],R97),2))</f>
        <v>TRUE</v>
      </c>
      <c r="Y97" s="365" t="str">
        <f>IF(ROUND(T97,0)=ROUND(SUMIFS(AN_TME_PY[[#All],[Total Claims Excluded because of Truncation]], AN_TME_PY[[#All],[Insurance Category Code]],2, AN_TME_PY[[#All],[Advanced Network/Insurance Carrier Org ID]],R97),0), "TRUE", ROUND(T97-SUMIFS(AN_TME_PY[[#All],[Total Claims Excluded because of Truncation]], AN_TME_PY[[#All],[Insurance Category Code]],2, AN_TME_PY[[#All],[Advanced Network/Insurance Carrier Org ID]],R97),2))</f>
        <v>TRUE</v>
      </c>
      <c r="Z97" s="138" t="str">
        <f>IF(ROUND(U97,0)=ROUND(SUMIFS(AN_TME_PY[[#All],[Count of Members with Claims Truncated]], AN_TME_PY[[#All],[Insurance Category Code]],2, AN_TME_PY[[#All],[Advanced Network/Insurance Carrier Org ID]],R97),0), "TRUE", ROUND(U97-SUMIFS(AN_TME_PY[[#All],[Count of Members with Claims Truncated]], AN_TME_PY[[#All],[Insurance Category Code]],2, AN_TME_PY[[#All],[Advanced Network/Insurance Carrier Org ID]],R97),2))</f>
        <v>TRUE</v>
      </c>
      <c r="AA97" s="365" t="str">
        <f>IF(ROUND(V97,0)=ROUND(SUMIFS(AN_TME_PY[[#All],[TOTAL Non-Truncated Unadjusted Claims Expenses]], AN_TME_PY[[#All],[Insurance Category Code]],2, AN_TME_PY[[#All],[Advanced Network/Insurance Carrier Org ID]],R97),0), "TRUE", ROUND(V97-SUMIFS(AN_TME_PY[[#All],[TOTAL Non-Truncated Unadjusted Claims Expenses]], AN_TME_PY[[#All],[Insurance Category Code]],2, AN_TME_PY[[#All],[Advanced Network/Insurance Carrier Org ID]],R97),2))</f>
        <v>TRUE</v>
      </c>
      <c r="AB97" s="367" t="str">
        <f>IF(ROUND(W97,0)=ROUND(SUMIFS(AN_TME_PY[[#All],[TOTAL Truncated Unadjusted Claims Expenses (A21 -A19)]], AN_TME_PY[[#All],[Insurance Category Code]],2, AN_TME_PY[[#All],[Advanced Network/Insurance Carrier Org ID]],R97),0), "TRUE", ROUND(W97-SUMIFS(AN_TME_PY[[#All],[TOTAL Truncated Unadjusted Claims Expenses (A21 -A19)]], AN_TME_PY[[#All],[Insurance Category Code]],2, AN_TME_PY[[#All],[Advanced Network/Insurance Carrier Org ID]],R97),2))</f>
        <v>TRUE</v>
      </c>
      <c r="AC97" s="362" t="str">
        <f t="shared" si="6"/>
        <v>TRUE</v>
      </c>
      <c r="AD97" s="365" t="b">
        <f>ROUND(SUMIFS(AN_TME_PY[[#All],[TOTAL Non-Truncated Unadjusted Claims Expenses]], AN_TME_PY[[#All],[Insurance Category Code]],2, AN_TME_PY[[#All],[Advanced Network/Insurance Carrier Org ID]],R97), 2)&gt;=ROUND(SUMIFS(AN_TME_PY[[#All],[TOTAL Truncated Unadjusted Claims Expenses (A21 -A19)]], AN_TME_PY[[#All],[Insurance Category Code]], 2, AN_TME_PY[[#All],[Advanced Network/Insurance Carrier Org ID]],R97),2)</f>
        <v>1</v>
      </c>
      <c r="AE97" s="367" t="b">
        <f>ROUND(SUMIFS(AN_TME_PY[[#All],[TOTAL Truncated Unadjusted Claims Expenses (A21 -A19)]], AN_TME_PY[[#All],[Insurance Category Code]],2, AN_TME_PY[[#All],[Advanced Network/Insurance Carrier Org ID]],R97)+SUMIFS(AN_TME_PY[[#All],[Total Claims Excluded because of Truncation]], AN_TME_PY[[#All],[Insurance Category Code]],2, AN_TME_PY[[#All],[Advanced Network/Insurance Carrier Org ID]],R97),2)=ROUND(SUMIFS(AN_TME_PY[[#All],[TOTAL Non-Truncated Unadjusted Claims Expenses]], AN_TME_PY[[#All],[Insurance Category Code]],2, AN_TME_PY[[#All],[Advanced Network/Insurance Carrier Org ID]],R97), 2)</f>
        <v>1</v>
      </c>
      <c r="AH97" s="213" t="str">
        <f t="shared" si="7"/>
        <v>NA</v>
      </c>
    </row>
    <row r="98" spans="2:34" x14ac:dyDescent="0.25">
      <c r="B98" s="184">
        <v>108</v>
      </c>
      <c r="C98" s="204">
        <f>ROUND(SUMIFS(Age_Sex_BY[[#All],[Total Member Months by Age/Sex Band]], Age_Sex_BY[[#All],[Advanced Network ID]], $B98, Age_Sex_BY[[#All],[Insurance Category Code]],2), 2)</f>
        <v>0</v>
      </c>
      <c r="D98" s="202">
        <f>ROUND(SUMIFS(Age_Sex_BY[[#All],[Total Dollars Excluded from Spending After Applying Truncation at the Member Level]], Age_Sex_BY[[#All],[Advanced Network ID]], $B98, Age_Sex_BY[[#All],[Insurance Category Code]],2), 2)</f>
        <v>0</v>
      </c>
      <c r="E98" s="189">
        <f>ROUND(SUMIFS(Age_Sex_BY[[#All],[Count of Members whose Spending was Truncated]], Age_Sex_BY[[#All],[Advanced Network ID]], $B98, Age_Sex_BY[[#All],[Insurance Category Code]],2),2)</f>
        <v>0</v>
      </c>
      <c r="F98" s="202">
        <f>ROUND(SUMIFS(Age_Sex_BY[[#All],[Total Spending before Truncation is Applied]], Age_Sex_BY[[#All],[Advanced Network ID]], $B98, Age_Sex_BY[[#All],[Insurance Category Code]],2), 2)</f>
        <v>0</v>
      </c>
      <c r="G98" s="203">
        <f>ROUND(SUMIFS(Age_Sex_BY[[#All],[Total Spending After Applying Truncation at the Member Level]], Age_Sex_BY[[#All],[Advanced Network ID]], $B98, Age_Sex_BY[[#All],[Insurance Category Code]],2), 2)</f>
        <v>0</v>
      </c>
      <c r="H98" s="362" t="str">
        <f>IF(ROUND(C98,0)=ROUND(SUMIFS(AN_TME_BY[[#All],[Member Months]], AN_TME_BY[[#All],[Insurance Category Code]],2, AN_TME_BY[[#All],[Advanced Network/Insurance Carrier Org ID]],B98),0), "TRUE", ROUND(C98-SUMIFS(AN_TME_BY[[#All],[Member Months]], AN_TME_BY[[#All],[Insurance Category Code]],2, AN_TME_BY[[#All],[Advanced Network/Insurance Carrier Org ID]],B98),2))</f>
        <v>TRUE</v>
      </c>
      <c r="I98" s="365" t="str">
        <f>IF(ROUND(D98,0)=ROUND(SUMIFS(AN_TME_BY[[#All],[Total Claims Excluded because of Truncation]], AN_TME_BY[[#All],[Insurance Category Code]],2, AN_TME_BY[[#All],[Advanced Network/Insurance Carrier Org ID]],B98),0), "TRUE", ROUND(D98-SUMIFS(AN_TME_BY[[#All],[Total Claims Excluded because of Truncation]], AN_TME_BY[[#All],[Insurance Category Code]],2, AN_TME_BY[[#All],[Advanced Network/Insurance Carrier Org ID]],B98),2))</f>
        <v>TRUE</v>
      </c>
      <c r="J98" s="138" t="str">
        <f>IF(ROUND(E98,0)=ROUND(SUMIFS(AN_TME_BY[[#All],[Count of Members with Claims Truncated]], AN_TME_BY[[#All],[Insurance Category Code]],2, AN_TME_BY[[#All],[Advanced Network/Insurance Carrier Org ID]],B98),0), "TRUE", ROUND(E98-SUMIFS(AN_TME_BY[[#All],[Count of Members with Claims Truncated]], AN_TME_BY[[#All],[Insurance Category Code]],2, AN_TME_BY[[#All],[Advanced Network/Insurance Carrier Org ID]],B98),2))</f>
        <v>TRUE</v>
      </c>
      <c r="K98" s="365" t="str">
        <f>IF(ROUND(F98,0)=ROUND(SUMIFS(AN_TME_BY[[#All],[TOTAL Non-Truncated Unadjusted Claims Expenses]], AN_TME_BY[[#All],[Insurance Category Code]],2, AN_TME_BY[[#All],[Advanced Network/Insurance Carrier Org ID]],B98),0), "TRUE", ROUND(F98-SUMIFS(AN_TME_BY[[#All],[TOTAL Non-Truncated Unadjusted Claims Expenses]], AN_TME_BY[[#All],[Insurance Category Code]],2, AN_TME_BY[[#All],[Advanced Network/Insurance Carrier Org ID]],B98),2))</f>
        <v>TRUE</v>
      </c>
      <c r="L98" s="367" t="str">
        <f>IF(ROUND(G98,0)=ROUND(SUMIFS(AN_TME_BY[[#All],[TOTAL Truncated Unadjusted Claims Expenses (A21 -A19)]], AN_TME_BY[[#All],[Insurance Category Code]],2, AN_TME_BY[[#All],[Advanced Network/Insurance Carrier Org ID]],B98),0), "TRUE", ROUND(G98-SUMIFS(AN_TME_BY[[#All],[TOTAL Truncated Unadjusted Claims Expenses (A21 -A19)]], AN_TME_BY[[#All],[Insurance Category Code]],2, AN_TME_BY[[#All],[Advanced Network/Insurance Carrier Org ID]],B98),2))</f>
        <v>TRUE</v>
      </c>
      <c r="M98" s="362" t="str">
        <f t="shared" si="5"/>
        <v>TRUE</v>
      </c>
      <c r="N98" s="365" t="b">
        <f>ROUND(SUMIFS(AN_TME_BY[[#All],[TOTAL Non-Truncated Unadjusted Claims Expenses]], AN_TME_BY[[#All],[Insurance Category Code]],2, AN_TME_BY[[#All],[Advanced Network/Insurance Carrier Org ID]],B98), 2)&gt;=ROUND(SUMIFS(AN_TME_BY[[#All],[TOTAL Truncated Unadjusted Claims Expenses (A21 -A19)]], AN_TME_BY[[#All],[Insurance Category Code]], 2, AN_TME_BY[[#All],[Advanced Network/Insurance Carrier Org ID]],B98),2)</f>
        <v>1</v>
      </c>
      <c r="O98" s="367" t="b">
        <f>ROUND(SUMIFS(AN_TME_BY[[#All],[TOTAL Truncated Unadjusted Claims Expenses (A21 -A19)]], AN_TME_BY[[#All],[Insurance Category Code]],2, AN_TME_BY[[#All],[Advanced Network/Insurance Carrier Org ID]],B98)+SUMIFS(AN_TME_BY[[#All],[Total Claims Excluded because of Truncation]], AN_TME_BY[[#All],[Insurance Category Code]],2, AN_TME_BY[[#All],[Advanced Network/Insurance Carrier Org ID]],B98),2)=ROUND(SUMIFS(AN_TME_BY[[#All],[TOTAL Non-Truncated Unadjusted Claims Expenses]], AN_TME_BY[[#All],[Insurance Category Code]],2, AN_TME_BY[[#All],[Advanced Network/Insurance Carrier Org ID]],B98), 2)</f>
        <v>1</v>
      </c>
      <c r="R98" s="184">
        <v>108</v>
      </c>
      <c r="S98" s="204">
        <f>ROUND(SUMIFS(Age_Sex_PY[[#All],[Total Member Months by Age/Sex Band]], Age_Sex_PY[[#All],[Advanced Network ID]], $R98, Age_Sex_PY[[#All],[Insurance Category Code]],2), 2)</f>
        <v>0</v>
      </c>
      <c r="T98" s="202">
        <f>ROUND(SUMIFS(Age_Sex_PY[[#All],[Total Dollars Excluded from Spending After Applying Truncation at the Member Level]], Age_Sex_PY[[#All],[Advanced Network ID]], $R98, Age_Sex_PY[[#All],[Insurance Category Code]],2), 2)</f>
        <v>0</v>
      </c>
      <c r="U98" s="189">
        <f>ROUND(SUMIFS(Age_Sex_PY[[#All],[Count of Members whose Spending was Truncated]], Age_Sex_PY[[#All],[Advanced Network ID]], $R98, Age_Sex_PY[[#All],[Insurance Category Code]],2),2)</f>
        <v>0</v>
      </c>
      <c r="V98" s="202">
        <f>ROUND(SUMIFS(Age_Sex_PY[[#All],[Total Spending before Truncation is Applied]], Age_Sex_PY[[#All],[Advanced Network ID]], $R98, Age_Sex_PY[[#All],[Insurance Category Code]],2), 2)</f>
        <v>0</v>
      </c>
      <c r="W98" s="203">
        <f>ROUND(SUMIFS(Age_Sex_PY[[#All],[Total Spending After Applying Truncation at the Member Level]], Age_Sex_PY[[#All],[Advanced Network ID]], $R98, Age_Sex_PY[[#All],[Insurance Category Code]],2), 2)</f>
        <v>0</v>
      </c>
      <c r="X98" s="362" t="str">
        <f>IF(ROUND(S98,0)=ROUND(SUMIFS(AN_TME_PY[[#All],[Member Months]], AN_TME_PY[[#All],[Insurance Category Code]],2, AN_TME_PY[[#All],[Advanced Network/Insurance Carrier Org ID]],R98),0), "TRUE", ROUND(S98-SUMIFS(AN_TME_PY[[#All],[Member Months]], AN_TME_PY[[#All],[Insurance Category Code]],2, AN_TME_PY[[#All],[Advanced Network/Insurance Carrier Org ID]],R98),2))</f>
        <v>TRUE</v>
      </c>
      <c r="Y98" s="365" t="str">
        <f>IF(ROUND(T98,0)=ROUND(SUMIFS(AN_TME_PY[[#All],[Total Claims Excluded because of Truncation]], AN_TME_PY[[#All],[Insurance Category Code]],2, AN_TME_PY[[#All],[Advanced Network/Insurance Carrier Org ID]],R98),0), "TRUE", ROUND(T98-SUMIFS(AN_TME_PY[[#All],[Total Claims Excluded because of Truncation]], AN_TME_PY[[#All],[Insurance Category Code]],2, AN_TME_PY[[#All],[Advanced Network/Insurance Carrier Org ID]],R98),2))</f>
        <v>TRUE</v>
      </c>
      <c r="Z98" s="138" t="str">
        <f>IF(ROUND(U98,0)=ROUND(SUMIFS(AN_TME_PY[[#All],[Count of Members with Claims Truncated]], AN_TME_PY[[#All],[Insurance Category Code]],2, AN_TME_PY[[#All],[Advanced Network/Insurance Carrier Org ID]],R98),0), "TRUE", ROUND(U98-SUMIFS(AN_TME_PY[[#All],[Count of Members with Claims Truncated]], AN_TME_PY[[#All],[Insurance Category Code]],2, AN_TME_PY[[#All],[Advanced Network/Insurance Carrier Org ID]],R98),2))</f>
        <v>TRUE</v>
      </c>
      <c r="AA98" s="365" t="str">
        <f>IF(ROUND(V98,0)=ROUND(SUMIFS(AN_TME_PY[[#All],[TOTAL Non-Truncated Unadjusted Claims Expenses]], AN_TME_PY[[#All],[Insurance Category Code]],2, AN_TME_PY[[#All],[Advanced Network/Insurance Carrier Org ID]],R98),0), "TRUE", ROUND(V98-SUMIFS(AN_TME_PY[[#All],[TOTAL Non-Truncated Unadjusted Claims Expenses]], AN_TME_PY[[#All],[Insurance Category Code]],2, AN_TME_PY[[#All],[Advanced Network/Insurance Carrier Org ID]],R98),2))</f>
        <v>TRUE</v>
      </c>
      <c r="AB98" s="367" t="str">
        <f>IF(ROUND(W98,0)=ROUND(SUMIFS(AN_TME_PY[[#All],[TOTAL Truncated Unadjusted Claims Expenses (A21 -A19)]], AN_TME_PY[[#All],[Insurance Category Code]],2, AN_TME_PY[[#All],[Advanced Network/Insurance Carrier Org ID]],R98),0), "TRUE", ROUND(W98-SUMIFS(AN_TME_PY[[#All],[TOTAL Truncated Unadjusted Claims Expenses (A21 -A19)]], AN_TME_PY[[#All],[Insurance Category Code]],2, AN_TME_PY[[#All],[Advanced Network/Insurance Carrier Org ID]],R98),2))</f>
        <v>TRUE</v>
      </c>
      <c r="AC98" s="362" t="str">
        <f t="shared" si="6"/>
        <v>TRUE</v>
      </c>
      <c r="AD98" s="365" t="b">
        <f>ROUND(SUMIFS(AN_TME_PY[[#All],[TOTAL Non-Truncated Unadjusted Claims Expenses]], AN_TME_PY[[#All],[Insurance Category Code]],2, AN_TME_PY[[#All],[Advanced Network/Insurance Carrier Org ID]],R98), 2)&gt;=ROUND(SUMIFS(AN_TME_PY[[#All],[TOTAL Truncated Unadjusted Claims Expenses (A21 -A19)]], AN_TME_PY[[#All],[Insurance Category Code]], 2, AN_TME_PY[[#All],[Advanced Network/Insurance Carrier Org ID]],R98),2)</f>
        <v>1</v>
      </c>
      <c r="AE98" s="367" t="b">
        <f>ROUND(SUMIFS(AN_TME_PY[[#All],[TOTAL Truncated Unadjusted Claims Expenses (A21 -A19)]], AN_TME_PY[[#All],[Insurance Category Code]],2, AN_TME_PY[[#All],[Advanced Network/Insurance Carrier Org ID]],R98)+SUMIFS(AN_TME_PY[[#All],[Total Claims Excluded because of Truncation]], AN_TME_PY[[#All],[Insurance Category Code]],2, AN_TME_PY[[#All],[Advanced Network/Insurance Carrier Org ID]],R98),2)=ROUND(SUMIFS(AN_TME_PY[[#All],[TOTAL Non-Truncated Unadjusted Claims Expenses]], AN_TME_PY[[#All],[Insurance Category Code]],2, AN_TME_PY[[#All],[Advanced Network/Insurance Carrier Org ID]],R98), 2)</f>
        <v>1</v>
      </c>
      <c r="AH98" s="213" t="str">
        <f t="shared" si="7"/>
        <v>NA</v>
      </c>
    </row>
    <row r="99" spans="2:34" x14ac:dyDescent="0.25">
      <c r="B99" s="184">
        <v>109</v>
      </c>
      <c r="C99" s="204">
        <f>ROUND(SUMIFS(Age_Sex_BY[[#All],[Total Member Months by Age/Sex Band]], Age_Sex_BY[[#All],[Advanced Network ID]], $B99, Age_Sex_BY[[#All],[Insurance Category Code]],2), 2)</f>
        <v>0</v>
      </c>
      <c r="D99" s="202">
        <f>ROUND(SUMIFS(Age_Sex_BY[[#All],[Total Dollars Excluded from Spending After Applying Truncation at the Member Level]], Age_Sex_BY[[#All],[Advanced Network ID]], $B99, Age_Sex_BY[[#All],[Insurance Category Code]],2), 2)</f>
        <v>0</v>
      </c>
      <c r="E99" s="189">
        <f>ROUND(SUMIFS(Age_Sex_BY[[#All],[Count of Members whose Spending was Truncated]], Age_Sex_BY[[#All],[Advanced Network ID]], $B99, Age_Sex_BY[[#All],[Insurance Category Code]],2),2)</f>
        <v>0</v>
      </c>
      <c r="F99" s="202">
        <f>ROUND(SUMIFS(Age_Sex_BY[[#All],[Total Spending before Truncation is Applied]], Age_Sex_BY[[#All],[Advanced Network ID]], $B99, Age_Sex_BY[[#All],[Insurance Category Code]],2), 2)</f>
        <v>0</v>
      </c>
      <c r="G99" s="203">
        <f>ROUND(SUMIFS(Age_Sex_BY[[#All],[Total Spending After Applying Truncation at the Member Level]], Age_Sex_BY[[#All],[Advanced Network ID]], $B99, Age_Sex_BY[[#All],[Insurance Category Code]],2), 2)</f>
        <v>0</v>
      </c>
      <c r="H99" s="362" t="str">
        <f>IF(ROUND(C99,0)=ROUND(SUMIFS(AN_TME_BY[[#All],[Member Months]], AN_TME_BY[[#All],[Insurance Category Code]],2, AN_TME_BY[[#All],[Advanced Network/Insurance Carrier Org ID]],B99),0), "TRUE", ROUND(C99-SUMIFS(AN_TME_BY[[#All],[Member Months]], AN_TME_BY[[#All],[Insurance Category Code]],2, AN_TME_BY[[#All],[Advanced Network/Insurance Carrier Org ID]],B99),2))</f>
        <v>TRUE</v>
      </c>
      <c r="I99" s="365" t="str">
        <f>IF(ROUND(D99,0)=ROUND(SUMIFS(AN_TME_BY[[#All],[Total Claims Excluded because of Truncation]], AN_TME_BY[[#All],[Insurance Category Code]],2, AN_TME_BY[[#All],[Advanced Network/Insurance Carrier Org ID]],B99),0), "TRUE", ROUND(D99-SUMIFS(AN_TME_BY[[#All],[Total Claims Excluded because of Truncation]], AN_TME_BY[[#All],[Insurance Category Code]],2, AN_TME_BY[[#All],[Advanced Network/Insurance Carrier Org ID]],B99),2))</f>
        <v>TRUE</v>
      </c>
      <c r="J99" s="138" t="str">
        <f>IF(ROUND(E99,0)=ROUND(SUMIFS(AN_TME_BY[[#All],[Count of Members with Claims Truncated]], AN_TME_BY[[#All],[Insurance Category Code]],2, AN_TME_BY[[#All],[Advanced Network/Insurance Carrier Org ID]],B99),0), "TRUE", ROUND(E99-SUMIFS(AN_TME_BY[[#All],[Count of Members with Claims Truncated]], AN_TME_BY[[#All],[Insurance Category Code]],2, AN_TME_BY[[#All],[Advanced Network/Insurance Carrier Org ID]],B99),2))</f>
        <v>TRUE</v>
      </c>
      <c r="K99" s="365" t="str">
        <f>IF(ROUND(F99,0)=ROUND(SUMIFS(AN_TME_BY[[#All],[TOTAL Non-Truncated Unadjusted Claims Expenses]], AN_TME_BY[[#All],[Insurance Category Code]],2, AN_TME_BY[[#All],[Advanced Network/Insurance Carrier Org ID]],B99),0), "TRUE", ROUND(F99-SUMIFS(AN_TME_BY[[#All],[TOTAL Non-Truncated Unadjusted Claims Expenses]], AN_TME_BY[[#All],[Insurance Category Code]],2, AN_TME_BY[[#All],[Advanced Network/Insurance Carrier Org ID]],B99),2))</f>
        <v>TRUE</v>
      </c>
      <c r="L99" s="367" t="str">
        <f>IF(ROUND(G99,0)=ROUND(SUMIFS(AN_TME_BY[[#All],[TOTAL Truncated Unadjusted Claims Expenses (A21 -A19)]], AN_TME_BY[[#All],[Insurance Category Code]],2, AN_TME_BY[[#All],[Advanced Network/Insurance Carrier Org ID]],B99),0), "TRUE", ROUND(G99-SUMIFS(AN_TME_BY[[#All],[TOTAL Truncated Unadjusted Claims Expenses (A21 -A19)]], AN_TME_BY[[#All],[Insurance Category Code]],2, AN_TME_BY[[#All],[Advanced Network/Insurance Carrier Org ID]],B99),2))</f>
        <v>TRUE</v>
      </c>
      <c r="M99" s="362" t="str">
        <f t="shared" si="5"/>
        <v>TRUE</v>
      </c>
      <c r="N99" s="365" t="b">
        <f>ROUND(SUMIFS(AN_TME_BY[[#All],[TOTAL Non-Truncated Unadjusted Claims Expenses]], AN_TME_BY[[#All],[Insurance Category Code]],2, AN_TME_BY[[#All],[Advanced Network/Insurance Carrier Org ID]],B99), 2)&gt;=ROUND(SUMIFS(AN_TME_BY[[#All],[TOTAL Truncated Unadjusted Claims Expenses (A21 -A19)]], AN_TME_BY[[#All],[Insurance Category Code]], 2, AN_TME_BY[[#All],[Advanced Network/Insurance Carrier Org ID]],B99),2)</f>
        <v>1</v>
      </c>
      <c r="O99" s="367" t="b">
        <f>ROUND(SUMIFS(AN_TME_BY[[#All],[TOTAL Truncated Unadjusted Claims Expenses (A21 -A19)]], AN_TME_BY[[#All],[Insurance Category Code]],2, AN_TME_BY[[#All],[Advanced Network/Insurance Carrier Org ID]],B99)+SUMIFS(AN_TME_BY[[#All],[Total Claims Excluded because of Truncation]], AN_TME_BY[[#All],[Insurance Category Code]],2, AN_TME_BY[[#All],[Advanced Network/Insurance Carrier Org ID]],B99),2)=ROUND(SUMIFS(AN_TME_BY[[#All],[TOTAL Non-Truncated Unadjusted Claims Expenses]], AN_TME_BY[[#All],[Insurance Category Code]],2, AN_TME_BY[[#All],[Advanced Network/Insurance Carrier Org ID]],B99), 2)</f>
        <v>1</v>
      </c>
      <c r="R99" s="184">
        <v>109</v>
      </c>
      <c r="S99" s="204">
        <f>ROUND(SUMIFS(Age_Sex_PY[[#All],[Total Member Months by Age/Sex Band]], Age_Sex_PY[[#All],[Advanced Network ID]], $R99, Age_Sex_PY[[#All],[Insurance Category Code]],2), 2)</f>
        <v>0</v>
      </c>
      <c r="T99" s="202">
        <f>ROUND(SUMIFS(Age_Sex_PY[[#All],[Total Dollars Excluded from Spending After Applying Truncation at the Member Level]], Age_Sex_PY[[#All],[Advanced Network ID]], $R99, Age_Sex_PY[[#All],[Insurance Category Code]],2), 2)</f>
        <v>0</v>
      </c>
      <c r="U99" s="189">
        <f>ROUND(SUMIFS(Age_Sex_PY[[#All],[Count of Members whose Spending was Truncated]], Age_Sex_PY[[#All],[Advanced Network ID]], $R99, Age_Sex_PY[[#All],[Insurance Category Code]],2),2)</f>
        <v>0</v>
      </c>
      <c r="V99" s="202">
        <f>ROUND(SUMIFS(Age_Sex_PY[[#All],[Total Spending before Truncation is Applied]], Age_Sex_PY[[#All],[Advanced Network ID]], $R99, Age_Sex_PY[[#All],[Insurance Category Code]],2), 2)</f>
        <v>0</v>
      </c>
      <c r="W99" s="203">
        <f>ROUND(SUMIFS(Age_Sex_PY[[#All],[Total Spending After Applying Truncation at the Member Level]], Age_Sex_PY[[#All],[Advanced Network ID]], $R99, Age_Sex_PY[[#All],[Insurance Category Code]],2), 2)</f>
        <v>0</v>
      </c>
      <c r="X99" s="362" t="str">
        <f>IF(ROUND(S99,0)=ROUND(SUMIFS(AN_TME_PY[[#All],[Member Months]], AN_TME_PY[[#All],[Insurance Category Code]],2, AN_TME_PY[[#All],[Advanced Network/Insurance Carrier Org ID]],R99),0), "TRUE", ROUND(S99-SUMIFS(AN_TME_PY[[#All],[Member Months]], AN_TME_PY[[#All],[Insurance Category Code]],2, AN_TME_PY[[#All],[Advanced Network/Insurance Carrier Org ID]],R99),2))</f>
        <v>TRUE</v>
      </c>
      <c r="Y99" s="365" t="str">
        <f>IF(ROUND(T99,0)=ROUND(SUMIFS(AN_TME_PY[[#All],[Total Claims Excluded because of Truncation]], AN_TME_PY[[#All],[Insurance Category Code]],2, AN_TME_PY[[#All],[Advanced Network/Insurance Carrier Org ID]],R99),0), "TRUE", ROUND(T99-SUMIFS(AN_TME_PY[[#All],[Total Claims Excluded because of Truncation]], AN_TME_PY[[#All],[Insurance Category Code]],2, AN_TME_PY[[#All],[Advanced Network/Insurance Carrier Org ID]],R99),2))</f>
        <v>TRUE</v>
      </c>
      <c r="Z99" s="138" t="str">
        <f>IF(ROUND(U99,0)=ROUND(SUMIFS(AN_TME_PY[[#All],[Count of Members with Claims Truncated]], AN_TME_PY[[#All],[Insurance Category Code]],2, AN_TME_PY[[#All],[Advanced Network/Insurance Carrier Org ID]],R99),0), "TRUE", ROUND(U99-SUMIFS(AN_TME_PY[[#All],[Count of Members with Claims Truncated]], AN_TME_PY[[#All],[Insurance Category Code]],2, AN_TME_PY[[#All],[Advanced Network/Insurance Carrier Org ID]],R99),2))</f>
        <v>TRUE</v>
      </c>
      <c r="AA99" s="365" t="str">
        <f>IF(ROUND(V99,0)=ROUND(SUMIFS(AN_TME_PY[[#All],[TOTAL Non-Truncated Unadjusted Claims Expenses]], AN_TME_PY[[#All],[Insurance Category Code]],2, AN_TME_PY[[#All],[Advanced Network/Insurance Carrier Org ID]],R99),0), "TRUE", ROUND(V99-SUMIFS(AN_TME_PY[[#All],[TOTAL Non-Truncated Unadjusted Claims Expenses]], AN_TME_PY[[#All],[Insurance Category Code]],2, AN_TME_PY[[#All],[Advanced Network/Insurance Carrier Org ID]],R99),2))</f>
        <v>TRUE</v>
      </c>
      <c r="AB99" s="367" t="str">
        <f>IF(ROUND(W99,0)=ROUND(SUMIFS(AN_TME_PY[[#All],[TOTAL Truncated Unadjusted Claims Expenses (A21 -A19)]], AN_TME_PY[[#All],[Insurance Category Code]],2, AN_TME_PY[[#All],[Advanced Network/Insurance Carrier Org ID]],R99),0), "TRUE", ROUND(W99-SUMIFS(AN_TME_PY[[#All],[TOTAL Truncated Unadjusted Claims Expenses (A21 -A19)]], AN_TME_PY[[#All],[Insurance Category Code]],2, AN_TME_PY[[#All],[Advanced Network/Insurance Carrier Org ID]],R99),2))</f>
        <v>TRUE</v>
      </c>
      <c r="AC99" s="362" t="str">
        <f t="shared" si="6"/>
        <v>TRUE</v>
      </c>
      <c r="AD99" s="365" t="b">
        <f>ROUND(SUMIFS(AN_TME_PY[[#All],[TOTAL Non-Truncated Unadjusted Claims Expenses]], AN_TME_PY[[#All],[Insurance Category Code]],2, AN_TME_PY[[#All],[Advanced Network/Insurance Carrier Org ID]],R99), 2)&gt;=ROUND(SUMIFS(AN_TME_PY[[#All],[TOTAL Truncated Unadjusted Claims Expenses (A21 -A19)]], AN_TME_PY[[#All],[Insurance Category Code]], 2, AN_TME_PY[[#All],[Advanced Network/Insurance Carrier Org ID]],R99),2)</f>
        <v>1</v>
      </c>
      <c r="AE99" s="367" t="b">
        <f>ROUND(SUMIFS(AN_TME_PY[[#All],[TOTAL Truncated Unadjusted Claims Expenses (A21 -A19)]], AN_TME_PY[[#All],[Insurance Category Code]],2, AN_TME_PY[[#All],[Advanced Network/Insurance Carrier Org ID]],R99)+SUMIFS(AN_TME_PY[[#All],[Total Claims Excluded because of Truncation]], AN_TME_PY[[#All],[Insurance Category Code]],2, AN_TME_PY[[#All],[Advanced Network/Insurance Carrier Org ID]],R99),2)=ROUND(SUMIFS(AN_TME_PY[[#All],[TOTAL Non-Truncated Unadjusted Claims Expenses]], AN_TME_PY[[#All],[Insurance Category Code]],2, AN_TME_PY[[#All],[Advanced Network/Insurance Carrier Org ID]],R99), 2)</f>
        <v>1</v>
      </c>
      <c r="AH99" s="213" t="str">
        <f t="shared" si="7"/>
        <v>NA</v>
      </c>
    </row>
    <row r="100" spans="2:34" x14ac:dyDescent="0.25">
      <c r="B100" s="184">
        <v>110</v>
      </c>
      <c r="C100" s="204">
        <f>ROUND(SUMIFS(Age_Sex_BY[[#All],[Total Member Months by Age/Sex Band]], Age_Sex_BY[[#All],[Advanced Network ID]], $B100, Age_Sex_BY[[#All],[Insurance Category Code]],2), 2)</f>
        <v>0</v>
      </c>
      <c r="D100" s="202">
        <f>ROUND(SUMIFS(Age_Sex_BY[[#All],[Total Dollars Excluded from Spending After Applying Truncation at the Member Level]], Age_Sex_BY[[#All],[Advanced Network ID]], $B100, Age_Sex_BY[[#All],[Insurance Category Code]],2), 2)</f>
        <v>0</v>
      </c>
      <c r="E100" s="189">
        <f>ROUND(SUMIFS(Age_Sex_BY[[#All],[Count of Members whose Spending was Truncated]], Age_Sex_BY[[#All],[Advanced Network ID]], $B100, Age_Sex_BY[[#All],[Insurance Category Code]],2),2)</f>
        <v>0</v>
      </c>
      <c r="F100" s="202">
        <f>ROUND(SUMIFS(Age_Sex_BY[[#All],[Total Spending before Truncation is Applied]], Age_Sex_BY[[#All],[Advanced Network ID]], $B100, Age_Sex_BY[[#All],[Insurance Category Code]],2), 2)</f>
        <v>0</v>
      </c>
      <c r="G100" s="203">
        <f>ROUND(SUMIFS(Age_Sex_BY[[#All],[Total Spending After Applying Truncation at the Member Level]], Age_Sex_BY[[#All],[Advanced Network ID]], $B100, Age_Sex_BY[[#All],[Insurance Category Code]],2), 2)</f>
        <v>0</v>
      </c>
      <c r="H100" s="362" t="str">
        <f>IF(ROUND(C100,0)=ROUND(SUMIFS(AN_TME_BY[[#All],[Member Months]], AN_TME_BY[[#All],[Insurance Category Code]],2, AN_TME_BY[[#All],[Advanced Network/Insurance Carrier Org ID]],B100),0), "TRUE", ROUND(C100-SUMIFS(AN_TME_BY[[#All],[Member Months]], AN_TME_BY[[#All],[Insurance Category Code]],2, AN_TME_BY[[#All],[Advanced Network/Insurance Carrier Org ID]],B100),2))</f>
        <v>TRUE</v>
      </c>
      <c r="I100" s="365" t="str">
        <f>IF(ROUND(D100,0)=ROUND(SUMIFS(AN_TME_BY[[#All],[Total Claims Excluded because of Truncation]], AN_TME_BY[[#All],[Insurance Category Code]],2, AN_TME_BY[[#All],[Advanced Network/Insurance Carrier Org ID]],B100),0), "TRUE", ROUND(D100-SUMIFS(AN_TME_BY[[#All],[Total Claims Excluded because of Truncation]], AN_TME_BY[[#All],[Insurance Category Code]],2, AN_TME_BY[[#All],[Advanced Network/Insurance Carrier Org ID]],B100),2))</f>
        <v>TRUE</v>
      </c>
      <c r="J100" s="138" t="str">
        <f>IF(ROUND(E100,0)=ROUND(SUMIFS(AN_TME_BY[[#All],[Count of Members with Claims Truncated]], AN_TME_BY[[#All],[Insurance Category Code]],2, AN_TME_BY[[#All],[Advanced Network/Insurance Carrier Org ID]],B100),0), "TRUE", ROUND(E100-SUMIFS(AN_TME_BY[[#All],[Count of Members with Claims Truncated]], AN_TME_BY[[#All],[Insurance Category Code]],2, AN_TME_BY[[#All],[Advanced Network/Insurance Carrier Org ID]],B100),2))</f>
        <v>TRUE</v>
      </c>
      <c r="K100" s="365" t="str">
        <f>IF(ROUND(F100,0)=ROUND(SUMIFS(AN_TME_BY[[#All],[TOTAL Non-Truncated Unadjusted Claims Expenses]], AN_TME_BY[[#All],[Insurance Category Code]],2, AN_TME_BY[[#All],[Advanced Network/Insurance Carrier Org ID]],B100),0), "TRUE", ROUND(F100-SUMIFS(AN_TME_BY[[#All],[TOTAL Non-Truncated Unadjusted Claims Expenses]], AN_TME_BY[[#All],[Insurance Category Code]],2, AN_TME_BY[[#All],[Advanced Network/Insurance Carrier Org ID]],B100),2))</f>
        <v>TRUE</v>
      </c>
      <c r="L100" s="367" t="str">
        <f>IF(ROUND(G100,0)=ROUND(SUMIFS(AN_TME_BY[[#All],[TOTAL Truncated Unadjusted Claims Expenses (A21 -A19)]], AN_TME_BY[[#All],[Insurance Category Code]],2, AN_TME_BY[[#All],[Advanced Network/Insurance Carrier Org ID]],B100),0), "TRUE", ROUND(G100-SUMIFS(AN_TME_BY[[#All],[TOTAL Truncated Unadjusted Claims Expenses (A21 -A19)]], AN_TME_BY[[#All],[Insurance Category Code]],2, AN_TME_BY[[#All],[Advanced Network/Insurance Carrier Org ID]],B100),2))</f>
        <v>TRUE</v>
      </c>
      <c r="M100" s="362" t="str">
        <f t="shared" si="5"/>
        <v>TRUE</v>
      </c>
      <c r="N100" s="365" t="b">
        <f>ROUND(SUMIFS(AN_TME_BY[[#All],[TOTAL Non-Truncated Unadjusted Claims Expenses]], AN_TME_BY[[#All],[Insurance Category Code]],2, AN_TME_BY[[#All],[Advanced Network/Insurance Carrier Org ID]],B100), 2)&gt;=ROUND(SUMIFS(AN_TME_BY[[#All],[TOTAL Truncated Unadjusted Claims Expenses (A21 -A19)]], AN_TME_BY[[#All],[Insurance Category Code]], 2, AN_TME_BY[[#All],[Advanced Network/Insurance Carrier Org ID]],B100),2)</f>
        <v>1</v>
      </c>
      <c r="O100" s="367" t="b">
        <f>ROUND(SUMIFS(AN_TME_BY[[#All],[TOTAL Truncated Unadjusted Claims Expenses (A21 -A19)]], AN_TME_BY[[#All],[Insurance Category Code]],2, AN_TME_BY[[#All],[Advanced Network/Insurance Carrier Org ID]],B100)+SUMIFS(AN_TME_BY[[#All],[Total Claims Excluded because of Truncation]], AN_TME_BY[[#All],[Insurance Category Code]],2, AN_TME_BY[[#All],[Advanced Network/Insurance Carrier Org ID]],B100),2)=ROUND(SUMIFS(AN_TME_BY[[#All],[TOTAL Non-Truncated Unadjusted Claims Expenses]], AN_TME_BY[[#All],[Insurance Category Code]],2, AN_TME_BY[[#All],[Advanced Network/Insurance Carrier Org ID]],B100), 2)</f>
        <v>1</v>
      </c>
      <c r="R100" s="184">
        <v>110</v>
      </c>
      <c r="S100" s="204">
        <f>ROUND(SUMIFS(Age_Sex_PY[[#All],[Total Member Months by Age/Sex Band]], Age_Sex_PY[[#All],[Advanced Network ID]], $R100, Age_Sex_PY[[#All],[Insurance Category Code]],2), 2)</f>
        <v>0</v>
      </c>
      <c r="T100" s="202">
        <f>ROUND(SUMIFS(Age_Sex_PY[[#All],[Total Dollars Excluded from Spending After Applying Truncation at the Member Level]], Age_Sex_PY[[#All],[Advanced Network ID]], $R100, Age_Sex_PY[[#All],[Insurance Category Code]],2), 2)</f>
        <v>0</v>
      </c>
      <c r="U100" s="189">
        <f>ROUND(SUMIFS(Age_Sex_PY[[#All],[Count of Members whose Spending was Truncated]], Age_Sex_PY[[#All],[Advanced Network ID]], $R100, Age_Sex_PY[[#All],[Insurance Category Code]],2),2)</f>
        <v>0</v>
      </c>
      <c r="V100" s="202">
        <f>ROUND(SUMIFS(Age_Sex_PY[[#All],[Total Spending before Truncation is Applied]], Age_Sex_PY[[#All],[Advanced Network ID]], $R100, Age_Sex_PY[[#All],[Insurance Category Code]],2), 2)</f>
        <v>0</v>
      </c>
      <c r="W100" s="203">
        <f>ROUND(SUMIFS(Age_Sex_PY[[#All],[Total Spending After Applying Truncation at the Member Level]], Age_Sex_PY[[#All],[Advanced Network ID]], $R100, Age_Sex_PY[[#All],[Insurance Category Code]],2), 2)</f>
        <v>0</v>
      </c>
      <c r="X100" s="362" t="str">
        <f>IF(ROUND(S100,0)=ROUND(SUMIFS(AN_TME_PY[[#All],[Member Months]], AN_TME_PY[[#All],[Insurance Category Code]],2, AN_TME_PY[[#All],[Advanced Network/Insurance Carrier Org ID]],R100),0), "TRUE", ROUND(S100-SUMIFS(AN_TME_PY[[#All],[Member Months]], AN_TME_PY[[#All],[Insurance Category Code]],2, AN_TME_PY[[#All],[Advanced Network/Insurance Carrier Org ID]],R100),2))</f>
        <v>TRUE</v>
      </c>
      <c r="Y100" s="365" t="str">
        <f>IF(ROUND(T100,0)=ROUND(SUMIFS(AN_TME_PY[[#All],[Total Claims Excluded because of Truncation]], AN_TME_PY[[#All],[Insurance Category Code]],2, AN_TME_PY[[#All],[Advanced Network/Insurance Carrier Org ID]],R100),0), "TRUE", ROUND(T100-SUMIFS(AN_TME_PY[[#All],[Total Claims Excluded because of Truncation]], AN_TME_PY[[#All],[Insurance Category Code]],2, AN_TME_PY[[#All],[Advanced Network/Insurance Carrier Org ID]],R100),2))</f>
        <v>TRUE</v>
      </c>
      <c r="Z100" s="138" t="str">
        <f>IF(ROUND(U100,0)=ROUND(SUMIFS(AN_TME_PY[[#All],[Count of Members with Claims Truncated]], AN_TME_PY[[#All],[Insurance Category Code]],2, AN_TME_PY[[#All],[Advanced Network/Insurance Carrier Org ID]],R100),0), "TRUE", ROUND(U100-SUMIFS(AN_TME_PY[[#All],[Count of Members with Claims Truncated]], AN_TME_PY[[#All],[Insurance Category Code]],2, AN_TME_PY[[#All],[Advanced Network/Insurance Carrier Org ID]],R100),2))</f>
        <v>TRUE</v>
      </c>
      <c r="AA100" s="365" t="str">
        <f>IF(ROUND(V100,0)=ROUND(SUMIFS(AN_TME_PY[[#All],[TOTAL Non-Truncated Unadjusted Claims Expenses]], AN_TME_PY[[#All],[Insurance Category Code]],2, AN_TME_PY[[#All],[Advanced Network/Insurance Carrier Org ID]],R100),0), "TRUE", ROUND(V100-SUMIFS(AN_TME_PY[[#All],[TOTAL Non-Truncated Unadjusted Claims Expenses]], AN_TME_PY[[#All],[Insurance Category Code]],2, AN_TME_PY[[#All],[Advanced Network/Insurance Carrier Org ID]],R100),2))</f>
        <v>TRUE</v>
      </c>
      <c r="AB100" s="367" t="str">
        <f>IF(ROUND(W100,0)=ROUND(SUMIFS(AN_TME_PY[[#All],[TOTAL Truncated Unadjusted Claims Expenses (A21 -A19)]], AN_TME_PY[[#All],[Insurance Category Code]],2, AN_TME_PY[[#All],[Advanced Network/Insurance Carrier Org ID]],R100),0), "TRUE", ROUND(W100-SUMIFS(AN_TME_PY[[#All],[TOTAL Truncated Unadjusted Claims Expenses (A21 -A19)]], AN_TME_PY[[#All],[Insurance Category Code]],2, AN_TME_PY[[#All],[Advanced Network/Insurance Carrier Org ID]],R100),2))</f>
        <v>TRUE</v>
      </c>
      <c r="AC100" s="362" t="str">
        <f t="shared" si="6"/>
        <v>TRUE</v>
      </c>
      <c r="AD100" s="365" t="b">
        <f>ROUND(SUMIFS(AN_TME_PY[[#All],[TOTAL Non-Truncated Unadjusted Claims Expenses]], AN_TME_PY[[#All],[Insurance Category Code]],2, AN_TME_PY[[#All],[Advanced Network/Insurance Carrier Org ID]],R100), 2)&gt;=ROUND(SUMIFS(AN_TME_PY[[#All],[TOTAL Truncated Unadjusted Claims Expenses (A21 -A19)]], AN_TME_PY[[#All],[Insurance Category Code]], 2, AN_TME_PY[[#All],[Advanced Network/Insurance Carrier Org ID]],R100),2)</f>
        <v>1</v>
      </c>
      <c r="AE100" s="367" t="b">
        <f>ROUND(SUMIFS(AN_TME_PY[[#All],[TOTAL Truncated Unadjusted Claims Expenses (A21 -A19)]], AN_TME_PY[[#All],[Insurance Category Code]],2, AN_TME_PY[[#All],[Advanced Network/Insurance Carrier Org ID]],R100)+SUMIFS(AN_TME_PY[[#All],[Total Claims Excluded because of Truncation]], AN_TME_PY[[#All],[Insurance Category Code]],2, AN_TME_PY[[#All],[Advanced Network/Insurance Carrier Org ID]],R100),2)=ROUND(SUMIFS(AN_TME_PY[[#All],[TOTAL Non-Truncated Unadjusted Claims Expenses]], AN_TME_PY[[#All],[Insurance Category Code]],2, AN_TME_PY[[#All],[Advanced Network/Insurance Carrier Org ID]],R100), 2)</f>
        <v>1</v>
      </c>
      <c r="AH100" s="213" t="str">
        <f t="shared" si="7"/>
        <v>NA</v>
      </c>
    </row>
    <row r="101" spans="2:34" x14ac:dyDescent="0.25">
      <c r="B101" s="184">
        <v>111</v>
      </c>
      <c r="C101" s="204">
        <f>ROUND(SUMIFS(Age_Sex_BY[[#All],[Total Member Months by Age/Sex Band]], Age_Sex_BY[[#All],[Advanced Network ID]], $B101, Age_Sex_BY[[#All],[Insurance Category Code]],2), 2)</f>
        <v>0</v>
      </c>
      <c r="D101" s="202">
        <f>ROUND(SUMIFS(Age_Sex_BY[[#All],[Total Dollars Excluded from Spending After Applying Truncation at the Member Level]], Age_Sex_BY[[#All],[Advanced Network ID]], $B101, Age_Sex_BY[[#All],[Insurance Category Code]],2), 2)</f>
        <v>0</v>
      </c>
      <c r="E101" s="189">
        <f>ROUND(SUMIFS(Age_Sex_BY[[#All],[Count of Members whose Spending was Truncated]], Age_Sex_BY[[#All],[Advanced Network ID]], $B101, Age_Sex_BY[[#All],[Insurance Category Code]],2),2)</f>
        <v>0</v>
      </c>
      <c r="F101" s="202">
        <f>ROUND(SUMIFS(Age_Sex_BY[[#All],[Total Spending before Truncation is Applied]], Age_Sex_BY[[#All],[Advanced Network ID]], $B101, Age_Sex_BY[[#All],[Insurance Category Code]],2), 2)</f>
        <v>0</v>
      </c>
      <c r="G101" s="203">
        <f>ROUND(SUMIFS(Age_Sex_BY[[#All],[Total Spending After Applying Truncation at the Member Level]], Age_Sex_BY[[#All],[Advanced Network ID]], $B101, Age_Sex_BY[[#All],[Insurance Category Code]],2), 2)</f>
        <v>0</v>
      </c>
      <c r="H101" s="362" t="str">
        <f>IF(ROUND(C101,0)=ROUND(SUMIFS(AN_TME_BY[[#All],[Member Months]], AN_TME_BY[[#All],[Insurance Category Code]],2, AN_TME_BY[[#All],[Advanced Network/Insurance Carrier Org ID]],B101),0), "TRUE", ROUND(C101-SUMIFS(AN_TME_BY[[#All],[Member Months]], AN_TME_BY[[#All],[Insurance Category Code]],2, AN_TME_BY[[#All],[Advanced Network/Insurance Carrier Org ID]],B101),2))</f>
        <v>TRUE</v>
      </c>
      <c r="I101" s="365" t="str">
        <f>IF(ROUND(D101,0)=ROUND(SUMIFS(AN_TME_BY[[#All],[Total Claims Excluded because of Truncation]], AN_TME_BY[[#All],[Insurance Category Code]],2, AN_TME_BY[[#All],[Advanced Network/Insurance Carrier Org ID]],B101),0), "TRUE", ROUND(D101-SUMIFS(AN_TME_BY[[#All],[Total Claims Excluded because of Truncation]], AN_TME_BY[[#All],[Insurance Category Code]],2, AN_TME_BY[[#All],[Advanced Network/Insurance Carrier Org ID]],B101),2))</f>
        <v>TRUE</v>
      </c>
      <c r="J101" s="138" t="str">
        <f>IF(ROUND(E101,0)=ROUND(SUMIFS(AN_TME_BY[[#All],[Count of Members with Claims Truncated]], AN_TME_BY[[#All],[Insurance Category Code]],2, AN_TME_BY[[#All],[Advanced Network/Insurance Carrier Org ID]],B101),0), "TRUE", ROUND(E101-SUMIFS(AN_TME_BY[[#All],[Count of Members with Claims Truncated]], AN_TME_BY[[#All],[Insurance Category Code]],2, AN_TME_BY[[#All],[Advanced Network/Insurance Carrier Org ID]],B101),2))</f>
        <v>TRUE</v>
      </c>
      <c r="K101" s="365" t="str">
        <f>IF(ROUND(F101,0)=ROUND(SUMIFS(AN_TME_BY[[#All],[TOTAL Non-Truncated Unadjusted Claims Expenses]], AN_TME_BY[[#All],[Insurance Category Code]],2, AN_TME_BY[[#All],[Advanced Network/Insurance Carrier Org ID]],B101),0), "TRUE", ROUND(F101-SUMIFS(AN_TME_BY[[#All],[TOTAL Non-Truncated Unadjusted Claims Expenses]], AN_TME_BY[[#All],[Insurance Category Code]],2, AN_TME_BY[[#All],[Advanced Network/Insurance Carrier Org ID]],B101),2))</f>
        <v>TRUE</v>
      </c>
      <c r="L101" s="367" t="str">
        <f>IF(ROUND(G101,0)=ROUND(SUMIFS(AN_TME_BY[[#All],[TOTAL Truncated Unadjusted Claims Expenses (A21 -A19)]], AN_TME_BY[[#All],[Insurance Category Code]],2, AN_TME_BY[[#All],[Advanced Network/Insurance Carrier Org ID]],B101),0), "TRUE", ROUND(G101-SUMIFS(AN_TME_BY[[#All],[TOTAL Truncated Unadjusted Claims Expenses (A21 -A19)]], AN_TME_BY[[#All],[Insurance Category Code]],2, AN_TME_BY[[#All],[Advanced Network/Insurance Carrier Org ID]],B101),2))</f>
        <v>TRUE</v>
      </c>
      <c r="M101" s="362" t="str">
        <f t="shared" si="5"/>
        <v>TRUE</v>
      </c>
      <c r="N101" s="365" t="b">
        <f>ROUND(SUMIFS(AN_TME_BY[[#All],[TOTAL Non-Truncated Unadjusted Claims Expenses]], AN_TME_BY[[#All],[Insurance Category Code]],2, AN_TME_BY[[#All],[Advanced Network/Insurance Carrier Org ID]],B101), 2)&gt;=ROUND(SUMIFS(AN_TME_BY[[#All],[TOTAL Truncated Unadjusted Claims Expenses (A21 -A19)]], AN_TME_BY[[#All],[Insurance Category Code]], 2, AN_TME_BY[[#All],[Advanced Network/Insurance Carrier Org ID]],B101),2)</f>
        <v>1</v>
      </c>
      <c r="O101" s="367" t="b">
        <f>ROUND(SUMIFS(AN_TME_BY[[#All],[TOTAL Truncated Unadjusted Claims Expenses (A21 -A19)]], AN_TME_BY[[#All],[Insurance Category Code]],2, AN_TME_BY[[#All],[Advanced Network/Insurance Carrier Org ID]],B101)+SUMIFS(AN_TME_BY[[#All],[Total Claims Excluded because of Truncation]], AN_TME_BY[[#All],[Insurance Category Code]],2, AN_TME_BY[[#All],[Advanced Network/Insurance Carrier Org ID]],B101),2)=ROUND(SUMIFS(AN_TME_BY[[#All],[TOTAL Non-Truncated Unadjusted Claims Expenses]], AN_TME_BY[[#All],[Insurance Category Code]],2, AN_TME_BY[[#All],[Advanced Network/Insurance Carrier Org ID]],B101), 2)</f>
        <v>1</v>
      </c>
      <c r="R101" s="184">
        <v>111</v>
      </c>
      <c r="S101" s="204">
        <f>ROUND(SUMIFS(Age_Sex_PY[[#All],[Total Member Months by Age/Sex Band]], Age_Sex_PY[[#All],[Advanced Network ID]], $R101, Age_Sex_PY[[#All],[Insurance Category Code]],2), 2)</f>
        <v>0</v>
      </c>
      <c r="T101" s="202">
        <f>ROUND(SUMIFS(Age_Sex_PY[[#All],[Total Dollars Excluded from Spending After Applying Truncation at the Member Level]], Age_Sex_PY[[#All],[Advanced Network ID]], $R101, Age_Sex_PY[[#All],[Insurance Category Code]],2), 2)</f>
        <v>0</v>
      </c>
      <c r="U101" s="189">
        <f>ROUND(SUMIFS(Age_Sex_PY[[#All],[Count of Members whose Spending was Truncated]], Age_Sex_PY[[#All],[Advanced Network ID]], $R101, Age_Sex_PY[[#All],[Insurance Category Code]],2),2)</f>
        <v>0</v>
      </c>
      <c r="V101" s="202">
        <f>ROUND(SUMIFS(Age_Sex_PY[[#All],[Total Spending before Truncation is Applied]], Age_Sex_PY[[#All],[Advanced Network ID]], $R101, Age_Sex_PY[[#All],[Insurance Category Code]],2), 2)</f>
        <v>0</v>
      </c>
      <c r="W101" s="203">
        <f>ROUND(SUMIFS(Age_Sex_PY[[#All],[Total Spending After Applying Truncation at the Member Level]], Age_Sex_PY[[#All],[Advanced Network ID]], $R101, Age_Sex_PY[[#All],[Insurance Category Code]],2), 2)</f>
        <v>0</v>
      </c>
      <c r="X101" s="362" t="str">
        <f>IF(ROUND(S101,0)=ROUND(SUMIFS(AN_TME_PY[[#All],[Member Months]], AN_TME_PY[[#All],[Insurance Category Code]],2, AN_TME_PY[[#All],[Advanced Network/Insurance Carrier Org ID]],R101),0), "TRUE", ROUND(S101-SUMIFS(AN_TME_PY[[#All],[Member Months]], AN_TME_PY[[#All],[Insurance Category Code]],2, AN_TME_PY[[#All],[Advanced Network/Insurance Carrier Org ID]],R101),2))</f>
        <v>TRUE</v>
      </c>
      <c r="Y101" s="365" t="str">
        <f>IF(ROUND(T101,0)=ROUND(SUMIFS(AN_TME_PY[[#All],[Total Claims Excluded because of Truncation]], AN_TME_PY[[#All],[Insurance Category Code]],2, AN_TME_PY[[#All],[Advanced Network/Insurance Carrier Org ID]],R101),0), "TRUE", ROUND(T101-SUMIFS(AN_TME_PY[[#All],[Total Claims Excluded because of Truncation]], AN_TME_PY[[#All],[Insurance Category Code]],2, AN_TME_PY[[#All],[Advanced Network/Insurance Carrier Org ID]],R101),2))</f>
        <v>TRUE</v>
      </c>
      <c r="Z101" s="138" t="str">
        <f>IF(ROUND(U101,0)=ROUND(SUMIFS(AN_TME_PY[[#All],[Count of Members with Claims Truncated]], AN_TME_PY[[#All],[Insurance Category Code]],2, AN_TME_PY[[#All],[Advanced Network/Insurance Carrier Org ID]],R101),0), "TRUE", ROUND(U101-SUMIFS(AN_TME_PY[[#All],[Count of Members with Claims Truncated]], AN_TME_PY[[#All],[Insurance Category Code]],2, AN_TME_PY[[#All],[Advanced Network/Insurance Carrier Org ID]],R101),2))</f>
        <v>TRUE</v>
      </c>
      <c r="AA101" s="365" t="str">
        <f>IF(ROUND(V101,0)=ROUND(SUMIFS(AN_TME_PY[[#All],[TOTAL Non-Truncated Unadjusted Claims Expenses]], AN_TME_PY[[#All],[Insurance Category Code]],2, AN_TME_PY[[#All],[Advanced Network/Insurance Carrier Org ID]],R101),0), "TRUE", ROUND(V101-SUMIFS(AN_TME_PY[[#All],[TOTAL Non-Truncated Unadjusted Claims Expenses]], AN_TME_PY[[#All],[Insurance Category Code]],2, AN_TME_PY[[#All],[Advanced Network/Insurance Carrier Org ID]],R101),2))</f>
        <v>TRUE</v>
      </c>
      <c r="AB101" s="367" t="str">
        <f>IF(ROUND(W101,0)=ROUND(SUMIFS(AN_TME_PY[[#All],[TOTAL Truncated Unadjusted Claims Expenses (A21 -A19)]], AN_TME_PY[[#All],[Insurance Category Code]],2, AN_TME_PY[[#All],[Advanced Network/Insurance Carrier Org ID]],R101),0), "TRUE", ROUND(W101-SUMIFS(AN_TME_PY[[#All],[TOTAL Truncated Unadjusted Claims Expenses (A21 -A19)]], AN_TME_PY[[#All],[Insurance Category Code]],2, AN_TME_PY[[#All],[Advanced Network/Insurance Carrier Org ID]],R101),2))</f>
        <v>TRUE</v>
      </c>
      <c r="AC101" s="362" t="str">
        <f t="shared" si="6"/>
        <v>TRUE</v>
      </c>
      <c r="AD101" s="365" t="b">
        <f>ROUND(SUMIFS(AN_TME_PY[[#All],[TOTAL Non-Truncated Unadjusted Claims Expenses]], AN_TME_PY[[#All],[Insurance Category Code]],2, AN_TME_PY[[#All],[Advanced Network/Insurance Carrier Org ID]],R101), 2)&gt;=ROUND(SUMIFS(AN_TME_PY[[#All],[TOTAL Truncated Unadjusted Claims Expenses (A21 -A19)]], AN_TME_PY[[#All],[Insurance Category Code]], 2, AN_TME_PY[[#All],[Advanced Network/Insurance Carrier Org ID]],R101),2)</f>
        <v>1</v>
      </c>
      <c r="AE101" s="367" t="b">
        <f>ROUND(SUMIFS(AN_TME_PY[[#All],[TOTAL Truncated Unadjusted Claims Expenses (A21 -A19)]], AN_TME_PY[[#All],[Insurance Category Code]],2, AN_TME_PY[[#All],[Advanced Network/Insurance Carrier Org ID]],R101)+SUMIFS(AN_TME_PY[[#All],[Total Claims Excluded because of Truncation]], AN_TME_PY[[#All],[Insurance Category Code]],2, AN_TME_PY[[#All],[Advanced Network/Insurance Carrier Org ID]],R101),2)=ROUND(SUMIFS(AN_TME_PY[[#All],[TOTAL Non-Truncated Unadjusted Claims Expenses]], AN_TME_PY[[#All],[Insurance Category Code]],2, AN_TME_PY[[#All],[Advanced Network/Insurance Carrier Org ID]],R101), 2)</f>
        <v>1</v>
      </c>
      <c r="AH101" s="213" t="str">
        <f t="shared" si="7"/>
        <v>NA</v>
      </c>
    </row>
    <row r="102" spans="2:34" x14ac:dyDescent="0.25">
      <c r="B102" s="184">
        <v>112</v>
      </c>
      <c r="C102" s="204">
        <f>ROUND(SUMIFS(Age_Sex_BY[[#All],[Total Member Months by Age/Sex Band]], Age_Sex_BY[[#All],[Advanced Network ID]], $B102, Age_Sex_BY[[#All],[Insurance Category Code]],2), 2)</f>
        <v>0</v>
      </c>
      <c r="D102" s="202">
        <f>ROUND(SUMIFS(Age_Sex_BY[[#All],[Total Dollars Excluded from Spending After Applying Truncation at the Member Level]], Age_Sex_BY[[#All],[Advanced Network ID]], $B102, Age_Sex_BY[[#All],[Insurance Category Code]],2), 2)</f>
        <v>0</v>
      </c>
      <c r="E102" s="189">
        <f>ROUND(SUMIFS(Age_Sex_BY[[#All],[Count of Members whose Spending was Truncated]], Age_Sex_BY[[#All],[Advanced Network ID]], $B102, Age_Sex_BY[[#All],[Insurance Category Code]],2),2)</f>
        <v>0</v>
      </c>
      <c r="F102" s="202">
        <f>ROUND(SUMIFS(Age_Sex_BY[[#All],[Total Spending before Truncation is Applied]], Age_Sex_BY[[#All],[Advanced Network ID]], $B102, Age_Sex_BY[[#All],[Insurance Category Code]],2), 2)</f>
        <v>0</v>
      </c>
      <c r="G102" s="203">
        <f>ROUND(SUMIFS(Age_Sex_BY[[#All],[Total Spending After Applying Truncation at the Member Level]], Age_Sex_BY[[#All],[Advanced Network ID]], $B102, Age_Sex_BY[[#All],[Insurance Category Code]],2), 2)</f>
        <v>0</v>
      </c>
      <c r="H102" s="362" t="str">
        <f>IF(ROUND(C102,0)=ROUND(SUMIFS(AN_TME_BY[[#All],[Member Months]], AN_TME_BY[[#All],[Insurance Category Code]],2, AN_TME_BY[[#All],[Advanced Network/Insurance Carrier Org ID]],B102),0), "TRUE", ROUND(C102-SUMIFS(AN_TME_BY[[#All],[Member Months]], AN_TME_BY[[#All],[Insurance Category Code]],2, AN_TME_BY[[#All],[Advanced Network/Insurance Carrier Org ID]],B102),2))</f>
        <v>TRUE</v>
      </c>
      <c r="I102" s="365" t="str">
        <f>IF(ROUND(D102,0)=ROUND(SUMIFS(AN_TME_BY[[#All],[Total Claims Excluded because of Truncation]], AN_TME_BY[[#All],[Insurance Category Code]],2, AN_TME_BY[[#All],[Advanced Network/Insurance Carrier Org ID]],B102),0), "TRUE", ROUND(D102-SUMIFS(AN_TME_BY[[#All],[Total Claims Excluded because of Truncation]], AN_TME_BY[[#All],[Insurance Category Code]],2, AN_TME_BY[[#All],[Advanced Network/Insurance Carrier Org ID]],B102),2))</f>
        <v>TRUE</v>
      </c>
      <c r="J102" s="138" t="str">
        <f>IF(ROUND(E102,0)=ROUND(SUMIFS(AN_TME_BY[[#All],[Count of Members with Claims Truncated]], AN_TME_BY[[#All],[Insurance Category Code]],2, AN_TME_BY[[#All],[Advanced Network/Insurance Carrier Org ID]],B102),0), "TRUE", ROUND(E102-SUMIFS(AN_TME_BY[[#All],[Count of Members with Claims Truncated]], AN_TME_BY[[#All],[Insurance Category Code]],2, AN_TME_BY[[#All],[Advanced Network/Insurance Carrier Org ID]],B102),2))</f>
        <v>TRUE</v>
      </c>
      <c r="K102" s="365" t="str">
        <f>IF(ROUND(F102,0)=ROUND(SUMIFS(AN_TME_BY[[#All],[TOTAL Non-Truncated Unadjusted Claims Expenses]], AN_TME_BY[[#All],[Insurance Category Code]],2, AN_TME_BY[[#All],[Advanced Network/Insurance Carrier Org ID]],B102),0), "TRUE", ROUND(F102-SUMIFS(AN_TME_BY[[#All],[TOTAL Non-Truncated Unadjusted Claims Expenses]], AN_TME_BY[[#All],[Insurance Category Code]],2, AN_TME_BY[[#All],[Advanced Network/Insurance Carrier Org ID]],B102),2))</f>
        <v>TRUE</v>
      </c>
      <c r="L102" s="367" t="str">
        <f>IF(ROUND(G102,0)=ROUND(SUMIFS(AN_TME_BY[[#All],[TOTAL Truncated Unadjusted Claims Expenses (A21 -A19)]], AN_TME_BY[[#All],[Insurance Category Code]],2, AN_TME_BY[[#All],[Advanced Network/Insurance Carrier Org ID]],B102),0), "TRUE", ROUND(G102-SUMIFS(AN_TME_BY[[#All],[TOTAL Truncated Unadjusted Claims Expenses (A21 -A19)]], AN_TME_BY[[#All],[Insurance Category Code]],2, AN_TME_BY[[#All],[Advanced Network/Insurance Carrier Org ID]],B102),2))</f>
        <v>TRUE</v>
      </c>
      <c r="M102" s="362" t="str">
        <f t="shared" si="5"/>
        <v>TRUE</v>
      </c>
      <c r="N102" s="365" t="b">
        <f>ROUND(SUMIFS(AN_TME_BY[[#All],[TOTAL Non-Truncated Unadjusted Claims Expenses]], AN_TME_BY[[#All],[Insurance Category Code]],2, AN_TME_BY[[#All],[Advanced Network/Insurance Carrier Org ID]],B102), 2)&gt;=ROUND(SUMIFS(AN_TME_BY[[#All],[TOTAL Truncated Unadjusted Claims Expenses (A21 -A19)]], AN_TME_BY[[#All],[Insurance Category Code]], 2, AN_TME_BY[[#All],[Advanced Network/Insurance Carrier Org ID]],B102),2)</f>
        <v>1</v>
      </c>
      <c r="O102" s="367" t="b">
        <f>ROUND(SUMIFS(AN_TME_BY[[#All],[TOTAL Truncated Unadjusted Claims Expenses (A21 -A19)]], AN_TME_BY[[#All],[Insurance Category Code]],2, AN_TME_BY[[#All],[Advanced Network/Insurance Carrier Org ID]],B102)+SUMIFS(AN_TME_BY[[#All],[Total Claims Excluded because of Truncation]], AN_TME_BY[[#All],[Insurance Category Code]],2, AN_TME_BY[[#All],[Advanced Network/Insurance Carrier Org ID]],B102),2)=ROUND(SUMIFS(AN_TME_BY[[#All],[TOTAL Non-Truncated Unadjusted Claims Expenses]], AN_TME_BY[[#All],[Insurance Category Code]],2, AN_TME_BY[[#All],[Advanced Network/Insurance Carrier Org ID]],B102), 2)</f>
        <v>1</v>
      </c>
      <c r="R102" s="184">
        <v>112</v>
      </c>
      <c r="S102" s="204">
        <f>ROUND(SUMIFS(Age_Sex_PY[[#All],[Total Member Months by Age/Sex Band]], Age_Sex_PY[[#All],[Advanced Network ID]], $R102, Age_Sex_PY[[#All],[Insurance Category Code]],2), 2)</f>
        <v>0</v>
      </c>
      <c r="T102" s="202">
        <f>ROUND(SUMIFS(Age_Sex_PY[[#All],[Total Dollars Excluded from Spending After Applying Truncation at the Member Level]], Age_Sex_PY[[#All],[Advanced Network ID]], $R102, Age_Sex_PY[[#All],[Insurance Category Code]],2), 2)</f>
        <v>0</v>
      </c>
      <c r="U102" s="189">
        <f>ROUND(SUMIFS(Age_Sex_PY[[#All],[Count of Members whose Spending was Truncated]], Age_Sex_PY[[#All],[Advanced Network ID]], $R102, Age_Sex_PY[[#All],[Insurance Category Code]],2),2)</f>
        <v>0</v>
      </c>
      <c r="V102" s="202">
        <f>ROUND(SUMIFS(Age_Sex_PY[[#All],[Total Spending before Truncation is Applied]], Age_Sex_PY[[#All],[Advanced Network ID]], $R102, Age_Sex_PY[[#All],[Insurance Category Code]],2), 2)</f>
        <v>0</v>
      </c>
      <c r="W102" s="203">
        <f>ROUND(SUMIFS(Age_Sex_PY[[#All],[Total Spending After Applying Truncation at the Member Level]], Age_Sex_PY[[#All],[Advanced Network ID]], $R102, Age_Sex_PY[[#All],[Insurance Category Code]],2), 2)</f>
        <v>0</v>
      </c>
      <c r="X102" s="362" t="str">
        <f>IF(ROUND(S102,0)=ROUND(SUMIFS(AN_TME_PY[[#All],[Member Months]], AN_TME_PY[[#All],[Insurance Category Code]],2, AN_TME_PY[[#All],[Advanced Network/Insurance Carrier Org ID]],R102),0), "TRUE", ROUND(S102-SUMIFS(AN_TME_PY[[#All],[Member Months]], AN_TME_PY[[#All],[Insurance Category Code]],2, AN_TME_PY[[#All],[Advanced Network/Insurance Carrier Org ID]],R102),2))</f>
        <v>TRUE</v>
      </c>
      <c r="Y102" s="365" t="str">
        <f>IF(ROUND(T102,0)=ROUND(SUMIFS(AN_TME_PY[[#All],[Total Claims Excluded because of Truncation]], AN_TME_PY[[#All],[Insurance Category Code]],2, AN_TME_PY[[#All],[Advanced Network/Insurance Carrier Org ID]],R102),0), "TRUE", ROUND(T102-SUMIFS(AN_TME_PY[[#All],[Total Claims Excluded because of Truncation]], AN_TME_PY[[#All],[Insurance Category Code]],2, AN_TME_PY[[#All],[Advanced Network/Insurance Carrier Org ID]],R102),2))</f>
        <v>TRUE</v>
      </c>
      <c r="Z102" s="138" t="str">
        <f>IF(ROUND(U102,0)=ROUND(SUMIFS(AN_TME_PY[[#All],[Count of Members with Claims Truncated]], AN_TME_PY[[#All],[Insurance Category Code]],2, AN_TME_PY[[#All],[Advanced Network/Insurance Carrier Org ID]],R102),0), "TRUE", ROUND(U102-SUMIFS(AN_TME_PY[[#All],[Count of Members with Claims Truncated]], AN_TME_PY[[#All],[Insurance Category Code]],2, AN_TME_PY[[#All],[Advanced Network/Insurance Carrier Org ID]],R102),2))</f>
        <v>TRUE</v>
      </c>
      <c r="AA102" s="365" t="str">
        <f>IF(ROUND(V102,0)=ROUND(SUMIFS(AN_TME_PY[[#All],[TOTAL Non-Truncated Unadjusted Claims Expenses]], AN_TME_PY[[#All],[Insurance Category Code]],2, AN_TME_PY[[#All],[Advanced Network/Insurance Carrier Org ID]],R102),0), "TRUE", ROUND(V102-SUMIFS(AN_TME_PY[[#All],[TOTAL Non-Truncated Unadjusted Claims Expenses]], AN_TME_PY[[#All],[Insurance Category Code]],2, AN_TME_PY[[#All],[Advanced Network/Insurance Carrier Org ID]],R102),2))</f>
        <v>TRUE</v>
      </c>
      <c r="AB102" s="367" t="str">
        <f>IF(ROUND(W102,0)=ROUND(SUMIFS(AN_TME_PY[[#All],[TOTAL Truncated Unadjusted Claims Expenses (A21 -A19)]], AN_TME_PY[[#All],[Insurance Category Code]],2, AN_TME_PY[[#All],[Advanced Network/Insurance Carrier Org ID]],R102),0), "TRUE", ROUND(W102-SUMIFS(AN_TME_PY[[#All],[TOTAL Truncated Unadjusted Claims Expenses (A21 -A19)]], AN_TME_PY[[#All],[Insurance Category Code]],2, AN_TME_PY[[#All],[Advanced Network/Insurance Carrier Org ID]],R102),2))</f>
        <v>TRUE</v>
      </c>
      <c r="AC102" s="362" t="str">
        <f t="shared" si="6"/>
        <v>TRUE</v>
      </c>
      <c r="AD102" s="365" t="b">
        <f>ROUND(SUMIFS(AN_TME_PY[[#All],[TOTAL Non-Truncated Unadjusted Claims Expenses]], AN_TME_PY[[#All],[Insurance Category Code]],2, AN_TME_PY[[#All],[Advanced Network/Insurance Carrier Org ID]],R102), 2)&gt;=ROUND(SUMIFS(AN_TME_PY[[#All],[TOTAL Truncated Unadjusted Claims Expenses (A21 -A19)]], AN_TME_PY[[#All],[Insurance Category Code]], 2, AN_TME_PY[[#All],[Advanced Network/Insurance Carrier Org ID]],R102),2)</f>
        <v>1</v>
      </c>
      <c r="AE102" s="367" t="b">
        <f>ROUND(SUMIFS(AN_TME_PY[[#All],[TOTAL Truncated Unadjusted Claims Expenses (A21 -A19)]], AN_TME_PY[[#All],[Insurance Category Code]],2, AN_TME_PY[[#All],[Advanced Network/Insurance Carrier Org ID]],R102)+SUMIFS(AN_TME_PY[[#All],[Total Claims Excluded because of Truncation]], AN_TME_PY[[#All],[Insurance Category Code]],2, AN_TME_PY[[#All],[Advanced Network/Insurance Carrier Org ID]],R102),2)=ROUND(SUMIFS(AN_TME_PY[[#All],[TOTAL Non-Truncated Unadjusted Claims Expenses]], AN_TME_PY[[#All],[Insurance Category Code]],2, AN_TME_PY[[#All],[Advanced Network/Insurance Carrier Org ID]],R102), 2)</f>
        <v>1</v>
      </c>
      <c r="AH102" s="213" t="str">
        <f t="shared" si="7"/>
        <v>NA</v>
      </c>
    </row>
    <row r="103" spans="2:34" x14ac:dyDescent="0.25">
      <c r="B103" s="184">
        <v>113</v>
      </c>
      <c r="C103" s="204">
        <f>ROUND(SUMIFS(Age_Sex_BY[[#All],[Total Member Months by Age/Sex Band]], Age_Sex_BY[[#All],[Advanced Network ID]], $B103, Age_Sex_BY[[#All],[Insurance Category Code]],2), 2)</f>
        <v>0</v>
      </c>
      <c r="D103" s="202">
        <f>ROUND(SUMIFS(Age_Sex_BY[[#All],[Total Dollars Excluded from Spending After Applying Truncation at the Member Level]], Age_Sex_BY[[#All],[Advanced Network ID]], $B103, Age_Sex_BY[[#All],[Insurance Category Code]],2), 2)</f>
        <v>0</v>
      </c>
      <c r="E103" s="189">
        <f>ROUND(SUMIFS(Age_Sex_BY[[#All],[Count of Members whose Spending was Truncated]], Age_Sex_BY[[#All],[Advanced Network ID]], $B103, Age_Sex_BY[[#All],[Insurance Category Code]],2),2)</f>
        <v>0</v>
      </c>
      <c r="F103" s="202">
        <f>ROUND(SUMIFS(Age_Sex_BY[[#All],[Total Spending before Truncation is Applied]], Age_Sex_BY[[#All],[Advanced Network ID]], $B103, Age_Sex_BY[[#All],[Insurance Category Code]],2), 2)</f>
        <v>0</v>
      </c>
      <c r="G103" s="203">
        <f>ROUND(SUMIFS(Age_Sex_BY[[#All],[Total Spending After Applying Truncation at the Member Level]], Age_Sex_BY[[#All],[Advanced Network ID]], $B103, Age_Sex_BY[[#All],[Insurance Category Code]],2), 2)</f>
        <v>0</v>
      </c>
      <c r="H103" s="362" t="str">
        <f>IF(ROUND(C103,0)=ROUND(SUMIFS(AN_TME_BY[[#All],[Member Months]], AN_TME_BY[[#All],[Insurance Category Code]],2, AN_TME_BY[[#All],[Advanced Network/Insurance Carrier Org ID]],B103),0), "TRUE", ROUND(C103-SUMIFS(AN_TME_BY[[#All],[Member Months]], AN_TME_BY[[#All],[Insurance Category Code]],2, AN_TME_BY[[#All],[Advanced Network/Insurance Carrier Org ID]],B103),2))</f>
        <v>TRUE</v>
      </c>
      <c r="I103" s="365" t="str">
        <f>IF(ROUND(D103,0)=ROUND(SUMIFS(AN_TME_BY[[#All],[Total Claims Excluded because of Truncation]], AN_TME_BY[[#All],[Insurance Category Code]],2, AN_TME_BY[[#All],[Advanced Network/Insurance Carrier Org ID]],B103),0), "TRUE", ROUND(D103-SUMIFS(AN_TME_BY[[#All],[Total Claims Excluded because of Truncation]], AN_TME_BY[[#All],[Insurance Category Code]],2, AN_TME_BY[[#All],[Advanced Network/Insurance Carrier Org ID]],B103),2))</f>
        <v>TRUE</v>
      </c>
      <c r="J103" s="138" t="str">
        <f>IF(ROUND(E103,0)=ROUND(SUMIFS(AN_TME_BY[[#All],[Count of Members with Claims Truncated]], AN_TME_BY[[#All],[Insurance Category Code]],2, AN_TME_BY[[#All],[Advanced Network/Insurance Carrier Org ID]],B103),0), "TRUE", ROUND(E103-SUMIFS(AN_TME_BY[[#All],[Count of Members with Claims Truncated]], AN_TME_BY[[#All],[Insurance Category Code]],2, AN_TME_BY[[#All],[Advanced Network/Insurance Carrier Org ID]],B103),2))</f>
        <v>TRUE</v>
      </c>
      <c r="K103" s="365" t="str">
        <f>IF(ROUND(F103,0)=ROUND(SUMIFS(AN_TME_BY[[#All],[TOTAL Non-Truncated Unadjusted Claims Expenses]], AN_TME_BY[[#All],[Insurance Category Code]],2, AN_TME_BY[[#All],[Advanced Network/Insurance Carrier Org ID]],B103),0), "TRUE", ROUND(F103-SUMIFS(AN_TME_BY[[#All],[TOTAL Non-Truncated Unadjusted Claims Expenses]], AN_TME_BY[[#All],[Insurance Category Code]],2, AN_TME_BY[[#All],[Advanced Network/Insurance Carrier Org ID]],B103),2))</f>
        <v>TRUE</v>
      </c>
      <c r="L103" s="367" t="str">
        <f>IF(ROUND(G103,0)=ROUND(SUMIFS(AN_TME_BY[[#All],[TOTAL Truncated Unadjusted Claims Expenses (A21 -A19)]], AN_TME_BY[[#All],[Insurance Category Code]],2, AN_TME_BY[[#All],[Advanced Network/Insurance Carrier Org ID]],B103),0), "TRUE", ROUND(G103-SUMIFS(AN_TME_BY[[#All],[TOTAL Truncated Unadjusted Claims Expenses (A21 -A19)]], AN_TME_BY[[#All],[Insurance Category Code]],2, AN_TME_BY[[#All],[Advanced Network/Insurance Carrier Org ID]],B103),2))</f>
        <v>TRUE</v>
      </c>
      <c r="M103" s="362" t="str">
        <f t="shared" si="5"/>
        <v>TRUE</v>
      </c>
      <c r="N103" s="365" t="b">
        <f>ROUND(SUMIFS(AN_TME_BY[[#All],[TOTAL Non-Truncated Unadjusted Claims Expenses]], AN_TME_BY[[#All],[Insurance Category Code]],2, AN_TME_BY[[#All],[Advanced Network/Insurance Carrier Org ID]],B103), 2)&gt;=ROUND(SUMIFS(AN_TME_BY[[#All],[TOTAL Truncated Unadjusted Claims Expenses (A21 -A19)]], AN_TME_BY[[#All],[Insurance Category Code]], 2, AN_TME_BY[[#All],[Advanced Network/Insurance Carrier Org ID]],B103),2)</f>
        <v>1</v>
      </c>
      <c r="O103" s="367" t="b">
        <f>ROUND(SUMIFS(AN_TME_BY[[#All],[TOTAL Truncated Unadjusted Claims Expenses (A21 -A19)]], AN_TME_BY[[#All],[Insurance Category Code]],2, AN_TME_BY[[#All],[Advanced Network/Insurance Carrier Org ID]],B103)+SUMIFS(AN_TME_BY[[#All],[Total Claims Excluded because of Truncation]], AN_TME_BY[[#All],[Insurance Category Code]],2, AN_TME_BY[[#All],[Advanced Network/Insurance Carrier Org ID]],B103),2)=ROUND(SUMIFS(AN_TME_BY[[#All],[TOTAL Non-Truncated Unadjusted Claims Expenses]], AN_TME_BY[[#All],[Insurance Category Code]],2, AN_TME_BY[[#All],[Advanced Network/Insurance Carrier Org ID]],B103), 2)</f>
        <v>1</v>
      </c>
      <c r="R103" s="184">
        <v>113</v>
      </c>
      <c r="S103" s="204">
        <f>ROUND(SUMIFS(Age_Sex_PY[[#All],[Total Member Months by Age/Sex Band]], Age_Sex_PY[[#All],[Advanced Network ID]], $R103, Age_Sex_PY[[#All],[Insurance Category Code]],2), 2)</f>
        <v>0</v>
      </c>
      <c r="T103" s="202">
        <f>ROUND(SUMIFS(Age_Sex_PY[[#All],[Total Dollars Excluded from Spending After Applying Truncation at the Member Level]], Age_Sex_PY[[#All],[Advanced Network ID]], $R103, Age_Sex_PY[[#All],[Insurance Category Code]],2), 2)</f>
        <v>0</v>
      </c>
      <c r="U103" s="189">
        <f>ROUND(SUMIFS(Age_Sex_PY[[#All],[Count of Members whose Spending was Truncated]], Age_Sex_PY[[#All],[Advanced Network ID]], $R103, Age_Sex_PY[[#All],[Insurance Category Code]],2),2)</f>
        <v>0</v>
      </c>
      <c r="V103" s="202">
        <f>ROUND(SUMIFS(Age_Sex_PY[[#All],[Total Spending before Truncation is Applied]], Age_Sex_PY[[#All],[Advanced Network ID]], $R103, Age_Sex_PY[[#All],[Insurance Category Code]],2), 2)</f>
        <v>0</v>
      </c>
      <c r="W103" s="203">
        <f>ROUND(SUMIFS(Age_Sex_PY[[#All],[Total Spending After Applying Truncation at the Member Level]], Age_Sex_PY[[#All],[Advanced Network ID]], $R103, Age_Sex_PY[[#All],[Insurance Category Code]],2), 2)</f>
        <v>0</v>
      </c>
      <c r="X103" s="362" t="str">
        <f>IF(ROUND(S103,0)=ROUND(SUMIFS(AN_TME_PY[[#All],[Member Months]], AN_TME_PY[[#All],[Insurance Category Code]],2, AN_TME_PY[[#All],[Advanced Network/Insurance Carrier Org ID]],R103),0), "TRUE", ROUND(S103-SUMIFS(AN_TME_PY[[#All],[Member Months]], AN_TME_PY[[#All],[Insurance Category Code]],2, AN_TME_PY[[#All],[Advanced Network/Insurance Carrier Org ID]],R103),2))</f>
        <v>TRUE</v>
      </c>
      <c r="Y103" s="365" t="str">
        <f>IF(ROUND(T103,0)=ROUND(SUMIFS(AN_TME_PY[[#All],[Total Claims Excluded because of Truncation]], AN_TME_PY[[#All],[Insurance Category Code]],2, AN_TME_PY[[#All],[Advanced Network/Insurance Carrier Org ID]],R103),0), "TRUE", ROUND(T103-SUMIFS(AN_TME_PY[[#All],[Total Claims Excluded because of Truncation]], AN_TME_PY[[#All],[Insurance Category Code]],2, AN_TME_PY[[#All],[Advanced Network/Insurance Carrier Org ID]],R103),2))</f>
        <v>TRUE</v>
      </c>
      <c r="Z103" s="138" t="str">
        <f>IF(ROUND(U103,0)=ROUND(SUMIFS(AN_TME_PY[[#All],[Count of Members with Claims Truncated]], AN_TME_PY[[#All],[Insurance Category Code]],2, AN_TME_PY[[#All],[Advanced Network/Insurance Carrier Org ID]],R103),0), "TRUE", ROUND(U103-SUMIFS(AN_TME_PY[[#All],[Count of Members with Claims Truncated]], AN_TME_PY[[#All],[Insurance Category Code]],2, AN_TME_PY[[#All],[Advanced Network/Insurance Carrier Org ID]],R103),2))</f>
        <v>TRUE</v>
      </c>
      <c r="AA103" s="365" t="str">
        <f>IF(ROUND(V103,0)=ROUND(SUMIFS(AN_TME_PY[[#All],[TOTAL Non-Truncated Unadjusted Claims Expenses]], AN_TME_PY[[#All],[Insurance Category Code]],2, AN_TME_PY[[#All],[Advanced Network/Insurance Carrier Org ID]],R103),0), "TRUE", ROUND(V103-SUMIFS(AN_TME_PY[[#All],[TOTAL Non-Truncated Unadjusted Claims Expenses]], AN_TME_PY[[#All],[Insurance Category Code]],2, AN_TME_PY[[#All],[Advanced Network/Insurance Carrier Org ID]],R103),2))</f>
        <v>TRUE</v>
      </c>
      <c r="AB103" s="367" t="str">
        <f>IF(ROUND(W103,0)=ROUND(SUMIFS(AN_TME_PY[[#All],[TOTAL Truncated Unadjusted Claims Expenses (A21 -A19)]], AN_TME_PY[[#All],[Insurance Category Code]],2, AN_TME_PY[[#All],[Advanced Network/Insurance Carrier Org ID]],R103),0), "TRUE", ROUND(W103-SUMIFS(AN_TME_PY[[#All],[TOTAL Truncated Unadjusted Claims Expenses (A21 -A19)]], AN_TME_PY[[#All],[Insurance Category Code]],2, AN_TME_PY[[#All],[Advanced Network/Insurance Carrier Org ID]],R103),2))</f>
        <v>TRUE</v>
      </c>
      <c r="AC103" s="362" t="str">
        <f t="shared" si="6"/>
        <v>TRUE</v>
      </c>
      <c r="AD103" s="365" t="b">
        <f>ROUND(SUMIFS(AN_TME_PY[[#All],[TOTAL Non-Truncated Unadjusted Claims Expenses]], AN_TME_PY[[#All],[Insurance Category Code]],2, AN_TME_PY[[#All],[Advanced Network/Insurance Carrier Org ID]],R103), 2)&gt;=ROUND(SUMIFS(AN_TME_PY[[#All],[TOTAL Truncated Unadjusted Claims Expenses (A21 -A19)]], AN_TME_PY[[#All],[Insurance Category Code]], 2, AN_TME_PY[[#All],[Advanced Network/Insurance Carrier Org ID]],R103),2)</f>
        <v>1</v>
      </c>
      <c r="AE103" s="367" t="b">
        <f>ROUND(SUMIFS(AN_TME_PY[[#All],[TOTAL Truncated Unadjusted Claims Expenses (A21 -A19)]], AN_TME_PY[[#All],[Insurance Category Code]],2, AN_TME_PY[[#All],[Advanced Network/Insurance Carrier Org ID]],R103)+SUMIFS(AN_TME_PY[[#All],[Total Claims Excluded because of Truncation]], AN_TME_PY[[#All],[Insurance Category Code]],2, AN_TME_PY[[#All],[Advanced Network/Insurance Carrier Org ID]],R103),2)=ROUND(SUMIFS(AN_TME_PY[[#All],[TOTAL Non-Truncated Unadjusted Claims Expenses]], AN_TME_PY[[#All],[Insurance Category Code]],2, AN_TME_PY[[#All],[Advanced Network/Insurance Carrier Org ID]],R103), 2)</f>
        <v>1</v>
      </c>
      <c r="AH103" s="213" t="str">
        <f t="shared" si="7"/>
        <v>NA</v>
      </c>
    </row>
    <row r="104" spans="2:34" x14ac:dyDescent="0.25">
      <c r="B104" s="184">
        <v>114</v>
      </c>
      <c r="C104" s="204">
        <f>ROUND(SUMIFS(Age_Sex_BY[[#All],[Total Member Months by Age/Sex Band]], Age_Sex_BY[[#All],[Advanced Network ID]], $B104, Age_Sex_BY[[#All],[Insurance Category Code]],2), 2)</f>
        <v>0</v>
      </c>
      <c r="D104" s="202">
        <f>ROUND(SUMIFS(Age_Sex_BY[[#All],[Total Dollars Excluded from Spending After Applying Truncation at the Member Level]], Age_Sex_BY[[#All],[Advanced Network ID]], $B104, Age_Sex_BY[[#All],[Insurance Category Code]],2), 2)</f>
        <v>0</v>
      </c>
      <c r="E104" s="189">
        <f>ROUND(SUMIFS(Age_Sex_BY[[#All],[Count of Members whose Spending was Truncated]], Age_Sex_BY[[#All],[Advanced Network ID]], $B104, Age_Sex_BY[[#All],[Insurance Category Code]],2),2)</f>
        <v>0</v>
      </c>
      <c r="F104" s="202">
        <f>ROUND(SUMIFS(Age_Sex_BY[[#All],[Total Spending before Truncation is Applied]], Age_Sex_BY[[#All],[Advanced Network ID]], $B104, Age_Sex_BY[[#All],[Insurance Category Code]],2), 2)</f>
        <v>0</v>
      </c>
      <c r="G104" s="203">
        <f>ROUND(SUMIFS(Age_Sex_BY[[#All],[Total Spending After Applying Truncation at the Member Level]], Age_Sex_BY[[#All],[Advanced Network ID]], $B104, Age_Sex_BY[[#All],[Insurance Category Code]],2), 2)</f>
        <v>0</v>
      </c>
      <c r="H104" s="362" t="str">
        <f>IF(ROUND(C104,0)=ROUND(SUMIFS(AN_TME_BY[[#All],[Member Months]], AN_TME_BY[[#All],[Insurance Category Code]],2, AN_TME_BY[[#All],[Advanced Network/Insurance Carrier Org ID]],B104),0), "TRUE", ROUND(C104-SUMIFS(AN_TME_BY[[#All],[Member Months]], AN_TME_BY[[#All],[Insurance Category Code]],2, AN_TME_BY[[#All],[Advanced Network/Insurance Carrier Org ID]],B104),2))</f>
        <v>TRUE</v>
      </c>
      <c r="I104" s="365" t="str">
        <f>IF(ROUND(D104,0)=ROUND(SUMIFS(AN_TME_BY[[#All],[Total Claims Excluded because of Truncation]], AN_TME_BY[[#All],[Insurance Category Code]],2, AN_TME_BY[[#All],[Advanced Network/Insurance Carrier Org ID]],B104),0), "TRUE", ROUND(D104-SUMIFS(AN_TME_BY[[#All],[Total Claims Excluded because of Truncation]], AN_TME_BY[[#All],[Insurance Category Code]],2, AN_TME_BY[[#All],[Advanced Network/Insurance Carrier Org ID]],B104),2))</f>
        <v>TRUE</v>
      </c>
      <c r="J104" s="138" t="str">
        <f>IF(ROUND(E104,0)=ROUND(SUMIFS(AN_TME_BY[[#All],[Count of Members with Claims Truncated]], AN_TME_BY[[#All],[Insurance Category Code]],2, AN_TME_BY[[#All],[Advanced Network/Insurance Carrier Org ID]],B104),0), "TRUE", ROUND(E104-SUMIFS(AN_TME_BY[[#All],[Count of Members with Claims Truncated]], AN_TME_BY[[#All],[Insurance Category Code]],2, AN_TME_BY[[#All],[Advanced Network/Insurance Carrier Org ID]],B104),2))</f>
        <v>TRUE</v>
      </c>
      <c r="K104" s="365" t="str">
        <f>IF(ROUND(F104,0)=ROUND(SUMIFS(AN_TME_BY[[#All],[TOTAL Non-Truncated Unadjusted Claims Expenses]], AN_TME_BY[[#All],[Insurance Category Code]],2, AN_TME_BY[[#All],[Advanced Network/Insurance Carrier Org ID]],B104),0), "TRUE", ROUND(F104-SUMIFS(AN_TME_BY[[#All],[TOTAL Non-Truncated Unadjusted Claims Expenses]], AN_TME_BY[[#All],[Insurance Category Code]],2, AN_TME_BY[[#All],[Advanced Network/Insurance Carrier Org ID]],B104),2))</f>
        <v>TRUE</v>
      </c>
      <c r="L104" s="367" t="str">
        <f>IF(ROUND(G104,0)=ROUND(SUMIFS(AN_TME_BY[[#All],[TOTAL Truncated Unadjusted Claims Expenses (A21 -A19)]], AN_TME_BY[[#All],[Insurance Category Code]],2, AN_TME_BY[[#All],[Advanced Network/Insurance Carrier Org ID]],B104),0), "TRUE", ROUND(G104-SUMIFS(AN_TME_BY[[#All],[TOTAL Truncated Unadjusted Claims Expenses (A21 -A19)]], AN_TME_BY[[#All],[Insurance Category Code]],2, AN_TME_BY[[#All],[Advanced Network/Insurance Carrier Org ID]],B104),2))</f>
        <v>TRUE</v>
      </c>
      <c r="M104" s="362" t="str">
        <f t="shared" si="5"/>
        <v>TRUE</v>
      </c>
      <c r="N104" s="365" t="b">
        <f>ROUND(SUMIFS(AN_TME_BY[[#All],[TOTAL Non-Truncated Unadjusted Claims Expenses]], AN_TME_BY[[#All],[Insurance Category Code]],2, AN_TME_BY[[#All],[Advanced Network/Insurance Carrier Org ID]],B104), 2)&gt;=ROUND(SUMIFS(AN_TME_BY[[#All],[TOTAL Truncated Unadjusted Claims Expenses (A21 -A19)]], AN_TME_BY[[#All],[Insurance Category Code]], 2, AN_TME_BY[[#All],[Advanced Network/Insurance Carrier Org ID]],B104),2)</f>
        <v>1</v>
      </c>
      <c r="O104" s="367" t="b">
        <f>ROUND(SUMIFS(AN_TME_BY[[#All],[TOTAL Truncated Unadjusted Claims Expenses (A21 -A19)]], AN_TME_BY[[#All],[Insurance Category Code]],2, AN_TME_BY[[#All],[Advanced Network/Insurance Carrier Org ID]],B104)+SUMIFS(AN_TME_BY[[#All],[Total Claims Excluded because of Truncation]], AN_TME_BY[[#All],[Insurance Category Code]],2, AN_TME_BY[[#All],[Advanced Network/Insurance Carrier Org ID]],B104),2)=ROUND(SUMIFS(AN_TME_BY[[#All],[TOTAL Non-Truncated Unadjusted Claims Expenses]], AN_TME_BY[[#All],[Insurance Category Code]],2, AN_TME_BY[[#All],[Advanced Network/Insurance Carrier Org ID]],B104), 2)</f>
        <v>1</v>
      </c>
      <c r="R104" s="184">
        <v>114</v>
      </c>
      <c r="S104" s="204">
        <f>ROUND(SUMIFS(Age_Sex_PY[[#All],[Total Member Months by Age/Sex Band]], Age_Sex_PY[[#All],[Advanced Network ID]], $R104, Age_Sex_PY[[#All],[Insurance Category Code]],2), 2)</f>
        <v>0</v>
      </c>
      <c r="T104" s="202">
        <f>ROUND(SUMIFS(Age_Sex_PY[[#All],[Total Dollars Excluded from Spending After Applying Truncation at the Member Level]], Age_Sex_PY[[#All],[Advanced Network ID]], $R104, Age_Sex_PY[[#All],[Insurance Category Code]],2), 2)</f>
        <v>0</v>
      </c>
      <c r="U104" s="189">
        <f>ROUND(SUMIFS(Age_Sex_PY[[#All],[Count of Members whose Spending was Truncated]], Age_Sex_PY[[#All],[Advanced Network ID]], $R104, Age_Sex_PY[[#All],[Insurance Category Code]],2),2)</f>
        <v>0</v>
      </c>
      <c r="V104" s="202">
        <f>ROUND(SUMIFS(Age_Sex_PY[[#All],[Total Spending before Truncation is Applied]], Age_Sex_PY[[#All],[Advanced Network ID]], $R104, Age_Sex_PY[[#All],[Insurance Category Code]],2), 2)</f>
        <v>0</v>
      </c>
      <c r="W104" s="203">
        <f>ROUND(SUMIFS(Age_Sex_PY[[#All],[Total Spending After Applying Truncation at the Member Level]], Age_Sex_PY[[#All],[Advanced Network ID]], $R104, Age_Sex_PY[[#All],[Insurance Category Code]],2), 2)</f>
        <v>0</v>
      </c>
      <c r="X104" s="362" t="str">
        <f>IF(ROUND(S104,0)=ROUND(SUMIFS(AN_TME_PY[[#All],[Member Months]], AN_TME_PY[[#All],[Insurance Category Code]],2, AN_TME_PY[[#All],[Advanced Network/Insurance Carrier Org ID]],R104),0), "TRUE", ROUND(S104-SUMIFS(AN_TME_PY[[#All],[Member Months]], AN_TME_PY[[#All],[Insurance Category Code]],2, AN_TME_PY[[#All],[Advanced Network/Insurance Carrier Org ID]],R104),2))</f>
        <v>TRUE</v>
      </c>
      <c r="Y104" s="365" t="str">
        <f>IF(ROUND(T104,0)=ROUND(SUMIFS(AN_TME_PY[[#All],[Total Claims Excluded because of Truncation]], AN_TME_PY[[#All],[Insurance Category Code]],2, AN_TME_PY[[#All],[Advanced Network/Insurance Carrier Org ID]],R104),0), "TRUE", ROUND(T104-SUMIFS(AN_TME_PY[[#All],[Total Claims Excluded because of Truncation]], AN_TME_PY[[#All],[Insurance Category Code]],2, AN_TME_PY[[#All],[Advanced Network/Insurance Carrier Org ID]],R104),2))</f>
        <v>TRUE</v>
      </c>
      <c r="Z104" s="138" t="str">
        <f>IF(ROUND(U104,0)=ROUND(SUMIFS(AN_TME_PY[[#All],[Count of Members with Claims Truncated]], AN_TME_PY[[#All],[Insurance Category Code]],2, AN_TME_PY[[#All],[Advanced Network/Insurance Carrier Org ID]],R104),0), "TRUE", ROUND(U104-SUMIFS(AN_TME_PY[[#All],[Count of Members with Claims Truncated]], AN_TME_PY[[#All],[Insurance Category Code]],2, AN_TME_PY[[#All],[Advanced Network/Insurance Carrier Org ID]],R104),2))</f>
        <v>TRUE</v>
      </c>
      <c r="AA104" s="365" t="str">
        <f>IF(ROUND(V104,0)=ROUND(SUMIFS(AN_TME_PY[[#All],[TOTAL Non-Truncated Unadjusted Claims Expenses]], AN_TME_PY[[#All],[Insurance Category Code]],2, AN_TME_PY[[#All],[Advanced Network/Insurance Carrier Org ID]],R104),0), "TRUE", ROUND(V104-SUMIFS(AN_TME_PY[[#All],[TOTAL Non-Truncated Unadjusted Claims Expenses]], AN_TME_PY[[#All],[Insurance Category Code]],2, AN_TME_PY[[#All],[Advanced Network/Insurance Carrier Org ID]],R104),2))</f>
        <v>TRUE</v>
      </c>
      <c r="AB104" s="367" t="str">
        <f>IF(ROUND(W104,0)=ROUND(SUMIFS(AN_TME_PY[[#All],[TOTAL Truncated Unadjusted Claims Expenses (A21 -A19)]], AN_TME_PY[[#All],[Insurance Category Code]],2, AN_TME_PY[[#All],[Advanced Network/Insurance Carrier Org ID]],R104),0), "TRUE", ROUND(W104-SUMIFS(AN_TME_PY[[#All],[TOTAL Truncated Unadjusted Claims Expenses (A21 -A19)]], AN_TME_PY[[#All],[Insurance Category Code]],2, AN_TME_PY[[#All],[Advanced Network/Insurance Carrier Org ID]],R104),2))</f>
        <v>TRUE</v>
      </c>
      <c r="AC104" s="362" t="str">
        <f t="shared" si="6"/>
        <v>TRUE</v>
      </c>
      <c r="AD104" s="365" t="b">
        <f>ROUND(SUMIFS(AN_TME_PY[[#All],[TOTAL Non-Truncated Unadjusted Claims Expenses]], AN_TME_PY[[#All],[Insurance Category Code]],2, AN_TME_PY[[#All],[Advanced Network/Insurance Carrier Org ID]],R104), 2)&gt;=ROUND(SUMIFS(AN_TME_PY[[#All],[TOTAL Truncated Unadjusted Claims Expenses (A21 -A19)]], AN_TME_PY[[#All],[Insurance Category Code]], 2, AN_TME_PY[[#All],[Advanced Network/Insurance Carrier Org ID]],R104),2)</f>
        <v>1</v>
      </c>
      <c r="AE104" s="367" t="b">
        <f>ROUND(SUMIFS(AN_TME_PY[[#All],[TOTAL Truncated Unadjusted Claims Expenses (A21 -A19)]], AN_TME_PY[[#All],[Insurance Category Code]],2, AN_TME_PY[[#All],[Advanced Network/Insurance Carrier Org ID]],R104)+SUMIFS(AN_TME_PY[[#All],[Total Claims Excluded because of Truncation]], AN_TME_PY[[#All],[Insurance Category Code]],2, AN_TME_PY[[#All],[Advanced Network/Insurance Carrier Org ID]],R104),2)=ROUND(SUMIFS(AN_TME_PY[[#All],[TOTAL Non-Truncated Unadjusted Claims Expenses]], AN_TME_PY[[#All],[Insurance Category Code]],2, AN_TME_PY[[#All],[Advanced Network/Insurance Carrier Org ID]],R104), 2)</f>
        <v>1</v>
      </c>
      <c r="AH104" s="213" t="str">
        <f t="shared" si="7"/>
        <v>NA</v>
      </c>
    </row>
    <row r="105" spans="2:34" x14ac:dyDescent="0.25">
      <c r="B105" s="184">
        <v>115</v>
      </c>
      <c r="C105" s="204">
        <f>ROUND(SUMIFS(Age_Sex_BY[[#All],[Total Member Months by Age/Sex Band]], Age_Sex_BY[[#All],[Advanced Network ID]], $B105, Age_Sex_BY[[#All],[Insurance Category Code]],2), 2)</f>
        <v>0</v>
      </c>
      <c r="D105" s="202">
        <f>ROUND(SUMIFS(Age_Sex_BY[[#All],[Total Dollars Excluded from Spending After Applying Truncation at the Member Level]], Age_Sex_BY[[#All],[Advanced Network ID]], $B105, Age_Sex_BY[[#All],[Insurance Category Code]],2), 2)</f>
        <v>0</v>
      </c>
      <c r="E105" s="189">
        <f>ROUND(SUMIFS(Age_Sex_BY[[#All],[Count of Members whose Spending was Truncated]], Age_Sex_BY[[#All],[Advanced Network ID]], $B105, Age_Sex_BY[[#All],[Insurance Category Code]],2),2)</f>
        <v>0</v>
      </c>
      <c r="F105" s="202">
        <f>ROUND(SUMIFS(Age_Sex_BY[[#All],[Total Spending before Truncation is Applied]], Age_Sex_BY[[#All],[Advanced Network ID]], $B105, Age_Sex_BY[[#All],[Insurance Category Code]],2), 2)</f>
        <v>0</v>
      </c>
      <c r="G105" s="203">
        <f>ROUND(SUMIFS(Age_Sex_BY[[#All],[Total Spending After Applying Truncation at the Member Level]], Age_Sex_BY[[#All],[Advanced Network ID]], $B105, Age_Sex_BY[[#All],[Insurance Category Code]],2), 2)</f>
        <v>0</v>
      </c>
      <c r="H105" s="362" t="str">
        <f>IF(ROUND(C105,0)=ROUND(SUMIFS(AN_TME_BY[[#All],[Member Months]], AN_TME_BY[[#All],[Insurance Category Code]],2, AN_TME_BY[[#All],[Advanced Network/Insurance Carrier Org ID]],B105),0), "TRUE", ROUND(C105-SUMIFS(AN_TME_BY[[#All],[Member Months]], AN_TME_BY[[#All],[Insurance Category Code]],2, AN_TME_BY[[#All],[Advanced Network/Insurance Carrier Org ID]],B105),2))</f>
        <v>TRUE</v>
      </c>
      <c r="I105" s="365" t="str">
        <f>IF(ROUND(D105,0)=ROUND(SUMIFS(AN_TME_BY[[#All],[Total Claims Excluded because of Truncation]], AN_TME_BY[[#All],[Insurance Category Code]],2, AN_TME_BY[[#All],[Advanced Network/Insurance Carrier Org ID]],B105),0), "TRUE", ROUND(D105-SUMIFS(AN_TME_BY[[#All],[Total Claims Excluded because of Truncation]], AN_TME_BY[[#All],[Insurance Category Code]],2, AN_TME_BY[[#All],[Advanced Network/Insurance Carrier Org ID]],B105),2))</f>
        <v>TRUE</v>
      </c>
      <c r="J105" s="138" t="str">
        <f>IF(ROUND(E105,0)=ROUND(SUMIFS(AN_TME_BY[[#All],[Count of Members with Claims Truncated]], AN_TME_BY[[#All],[Insurance Category Code]],2, AN_TME_BY[[#All],[Advanced Network/Insurance Carrier Org ID]],B105),0), "TRUE", ROUND(E105-SUMIFS(AN_TME_BY[[#All],[Count of Members with Claims Truncated]], AN_TME_BY[[#All],[Insurance Category Code]],2, AN_TME_BY[[#All],[Advanced Network/Insurance Carrier Org ID]],B105),2))</f>
        <v>TRUE</v>
      </c>
      <c r="K105" s="365" t="str">
        <f>IF(ROUND(F105,0)=ROUND(SUMIFS(AN_TME_BY[[#All],[TOTAL Non-Truncated Unadjusted Claims Expenses]], AN_TME_BY[[#All],[Insurance Category Code]],2, AN_TME_BY[[#All],[Advanced Network/Insurance Carrier Org ID]],B105),0), "TRUE", ROUND(F105-SUMIFS(AN_TME_BY[[#All],[TOTAL Non-Truncated Unadjusted Claims Expenses]], AN_TME_BY[[#All],[Insurance Category Code]],2, AN_TME_BY[[#All],[Advanced Network/Insurance Carrier Org ID]],B105),2))</f>
        <v>TRUE</v>
      </c>
      <c r="L105" s="367" t="str">
        <f>IF(ROUND(G105,0)=ROUND(SUMIFS(AN_TME_BY[[#All],[TOTAL Truncated Unadjusted Claims Expenses (A21 -A19)]], AN_TME_BY[[#All],[Insurance Category Code]],2, AN_TME_BY[[#All],[Advanced Network/Insurance Carrier Org ID]],B105),0), "TRUE", ROUND(G105-SUMIFS(AN_TME_BY[[#All],[TOTAL Truncated Unadjusted Claims Expenses (A21 -A19)]], AN_TME_BY[[#All],[Insurance Category Code]],2, AN_TME_BY[[#All],[Advanced Network/Insurance Carrier Org ID]],B105),2))</f>
        <v>TRUE</v>
      </c>
      <c r="M105" s="362" t="str">
        <f t="shared" si="5"/>
        <v>TRUE</v>
      </c>
      <c r="N105" s="365" t="b">
        <f>ROUND(SUMIFS(AN_TME_BY[[#All],[TOTAL Non-Truncated Unadjusted Claims Expenses]], AN_TME_BY[[#All],[Insurance Category Code]],2, AN_TME_BY[[#All],[Advanced Network/Insurance Carrier Org ID]],B105), 2)&gt;=ROUND(SUMIFS(AN_TME_BY[[#All],[TOTAL Truncated Unadjusted Claims Expenses (A21 -A19)]], AN_TME_BY[[#All],[Insurance Category Code]], 2, AN_TME_BY[[#All],[Advanced Network/Insurance Carrier Org ID]],B105),2)</f>
        <v>1</v>
      </c>
      <c r="O105" s="367" t="b">
        <f>ROUND(SUMIFS(AN_TME_BY[[#All],[TOTAL Truncated Unadjusted Claims Expenses (A21 -A19)]], AN_TME_BY[[#All],[Insurance Category Code]],2, AN_TME_BY[[#All],[Advanced Network/Insurance Carrier Org ID]],B105)+SUMIFS(AN_TME_BY[[#All],[Total Claims Excluded because of Truncation]], AN_TME_BY[[#All],[Insurance Category Code]],2, AN_TME_BY[[#All],[Advanced Network/Insurance Carrier Org ID]],B105),2)=ROUND(SUMIFS(AN_TME_BY[[#All],[TOTAL Non-Truncated Unadjusted Claims Expenses]], AN_TME_BY[[#All],[Insurance Category Code]],2, AN_TME_BY[[#All],[Advanced Network/Insurance Carrier Org ID]],B105), 2)</f>
        <v>1</v>
      </c>
      <c r="R105" s="184">
        <v>115</v>
      </c>
      <c r="S105" s="204">
        <f>ROUND(SUMIFS(Age_Sex_PY[[#All],[Total Member Months by Age/Sex Band]], Age_Sex_PY[[#All],[Advanced Network ID]], $R105, Age_Sex_PY[[#All],[Insurance Category Code]],2), 2)</f>
        <v>0</v>
      </c>
      <c r="T105" s="202">
        <f>ROUND(SUMIFS(Age_Sex_PY[[#All],[Total Dollars Excluded from Spending After Applying Truncation at the Member Level]], Age_Sex_PY[[#All],[Advanced Network ID]], $R105, Age_Sex_PY[[#All],[Insurance Category Code]],2), 2)</f>
        <v>0</v>
      </c>
      <c r="U105" s="189">
        <f>ROUND(SUMIFS(Age_Sex_PY[[#All],[Count of Members whose Spending was Truncated]], Age_Sex_PY[[#All],[Advanced Network ID]], $R105, Age_Sex_PY[[#All],[Insurance Category Code]],2),2)</f>
        <v>0</v>
      </c>
      <c r="V105" s="202">
        <f>ROUND(SUMIFS(Age_Sex_PY[[#All],[Total Spending before Truncation is Applied]], Age_Sex_PY[[#All],[Advanced Network ID]], $R105, Age_Sex_PY[[#All],[Insurance Category Code]],2), 2)</f>
        <v>0</v>
      </c>
      <c r="W105" s="203">
        <f>ROUND(SUMIFS(Age_Sex_PY[[#All],[Total Spending After Applying Truncation at the Member Level]], Age_Sex_PY[[#All],[Advanced Network ID]], $R105, Age_Sex_PY[[#All],[Insurance Category Code]],2), 2)</f>
        <v>0</v>
      </c>
      <c r="X105" s="362" t="str">
        <f>IF(ROUND(S105,0)=ROUND(SUMIFS(AN_TME_PY[[#All],[Member Months]], AN_TME_PY[[#All],[Insurance Category Code]],2, AN_TME_PY[[#All],[Advanced Network/Insurance Carrier Org ID]],R105),0), "TRUE", ROUND(S105-SUMIFS(AN_TME_PY[[#All],[Member Months]], AN_TME_PY[[#All],[Insurance Category Code]],2, AN_TME_PY[[#All],[Advanced Network/Insurance Carrier Org ID]],R105),2))</f>
        <v>TRUE</v>
      </c>
      <c r="Y105" s="365" t="str">
        <f>IF(ROUND(T105,0)=ROUND(SUMIFS(AN_TME_PY[[#All],[Total Claims Excluded because of Truncation]], AN_TME_PY[[#All],[Insurance Category Code]],2, AN_TME_PY[[#All],[Advanced Network/Insurance Carrier Org ID]],R105),0), "TRUE", ROUND(T105-SUMIFS(AN_TME_PY[[#All],[Total Claims Excluded because of Truncation]], AN_TME_PY[[#All],[Insurance Category Code]],2, AN_TME_PY[[#All],[Advanced Network/Insurance Carrier Org ID]],R105),2))</f>
        <v>TRUE</v>
      </c>
      <c r="Z105" s="138" t="str">
        <f>IF(ROUND(U105,0)=ROUND(SUMIFS(AN_TME_PY[[#All],[Count of Members with Claims Truncated]], AN_TME_PY[[#All],[Insurance Category Code]],2, AN_TME_PY[[#All],[Advanced Network/Insurance Carrier Org ID]],R105),0), "TRUE", ROUND(U105-SUMIFS(AN_TME_PY[[#All],[Count of Members with Claims Truncated]], AN_TME_PY[[#All],[Insurance Category Code]],2, AN_TME_PY[[#All],[Advanced Network/Insurance Carrier Org ID]],R105),2))</f>
        <v>TRUE</v>
      </c>
      <c r="AA105" s="365" t="str">
        <f>IF(ROUND(V105,0)=ROUND(SUMIFS(AN_TME_PY[[#All],[TOTAL Non-Truncated Unadjusted Claims Expenses]], AN_TME_PY[[#All],[Insurance Category Code]],2, AN_TME_PY[[#All],[Advanced Network/Insurance Carrier Org ID]],R105),0), "TRUE", ROUND(V105-SUMIFS(AN_TME_PY[[#All],[TOTAL Non-Truncated Unadjusted Claims Expenses]], AN_TME_PY[[#All],[Insurance Category Code]],2, AN_TME_PY[[#All],[Advanced Network/Insurance Carrier Org ID]],R105),2))</f>
        <v>TRUE</v>
      </c>
      <c r="AB105" s="367" t="str">
        <f>IF(ROUND(W105,0)=ROUND(SUMIFS(AN_TME_PY[[#All],[TOTAL Truncated Unadjusted Claims Expenses (A21 -A19)]], AN_TME_PY[[#All],[Insurance Category Code]],2, AN_TME_PY[[#All],[Advanced Network/Insurance Carrier Org ID]],R105),0), "TRUE", ROUND(W105-SUMIFS(AN_TME_PY[[#All],[TOTAL Truncated Unadjusted Claims Expenses (A21 -A19)]], AN_TME_PY[[#All],[Insurance Category Code]],2, AN_TME_PY[[#All],[Advanced Network/Insurance Carrier Org ID]],R105),2))</f>
        <v>TRUE</v>
      </c>
      <c r="AC105" s="362" t="str">
        <f t="shared" si="6"/>
        <v>TRUE</v>
      </c>
      <c r="AD105" s="365" t="b">
        <f>ROUND(SUMIFS(AN_TME_PY[[#All],[TOTAL Non-Truncated Unadjusted Claims Expenses]], AN_TME_PY[[#All],[Insurance Category Code]],2, AN_TME_PY[[#All],[Advanced Network/Insurance Carrier Org ID]],R105), 2)&gt;=ROUND(SUMIFS(AN_TME_PY[[#All],[TOTAL Truncated Unadjusted Claims Expenses (A21 -A19)]], AN_TME_PY[[#All],[Insurance Category Code]], 2, AN_TME_PY[[#All],[Advanced Network/Insurance Carrier Org ID]],R105),2)</f>
        <v>1</v>
      </c>
      <c r="AE105" s="367" t="b">
        <f>ROUND(SUMIFS(AN_TME_PY[[#All],[TOTAL Truncated Unadjusted Claims Expenses (A21 -A19)]], AN_TME_PY[[#All],[Insurance Category Code]],2, AN_TME_PY[[#All],[Advanced Network/Insurance Carrier Org ID]],R105)+SUMIFS(AN_TME_PY[[#All],[Total Claims Excluded because of Truncation]], AN_TME_PY[[#All],[Insurance Category Code]],2, AN_TME_PY[[#All],[Advanced Network/Insurance Carrier Org ID]],R105),2)=ROUND(SUMIFS(AN_TME_PY[[#All],[TOTAL Non-Truncated Unadjusted Claims Expenses]], AN_TME_PY[[#All],[Insurance Category Code]],2, AN_TME_PY[[#All],[Advanced Network/Insurance Carrier Org ID]],R105), 2)</f>
        <v>1</v>
      </c>
      <c r="AH105" s="213" t="str">
        <f t="shared" si="7"/>
        <v>NA</v>
      </c>
    </row>
    <row r="106" spans="2:34" x14ac:dyDescent="0.25">
      <c r="B106" s="184">
        <v>116</v>
      </c>
      <c r="C106" s="204">
        <f>ROUND(SUMIFS(Age_Sex_BY[[#All],[Total Member Months by Age/Sex Band]], Age_Sex_BY[[#All],[Advanced Network ID]], $B106, Age_Sex_BY[[#All],[Insurance Category Code]],2), 2)</f>
        <v>0</v>
      </c>
      <c r="D106" s="202">
        <f>ROUND(SUMIFS(Age_Sex_BY[[#All],[Total Dollars Excluded from Spending After Applying Truncation at the Member Level]], Age_Sex_BY[[#All],[Advanced Network ID]], $B106, Age_Sex_BY[[#All],[Insurance Category Code]],2), 2)</f>
        <v>0</v>
      </c>
      <c r="E106" s="189">
        <f>ROUND(SUMIFS(Age_Sex_BY[[#All],[Count of Members whose Spending was Truncated]], Age_Sex_BY[[#All],[Advanced Network ID]], $B106, Age_Sex_BY[[#All],[Insurance Category Code]],2),2)</f>
        <v>0</v>
      </c>
      <c r="F106" s="202">
        <f>ROUND(SUMIFS(Age_Sex_BY[[#All],[Total Spending before Truncation is Applied]], Age_Sex_BY[[#All],[Advanced Network ID]], $B106, Age_Sex_BY[[#All],[Insurance Category Code]],2), 2)</f>
        <v>0</v>
      </c>
      <c r="G106" s="203">
        <f>ROUND(SUMIFS(Age_Sex_BY[[#All],[Total Spending After Applying Truncation at the Member Level]], Age_Sex_BY[[#All],[Advanced Network ID]], $B106, Age_Sex_BY[[#All],[Insurance Category Code]],2), 2)</f>
        <v>0</v>
      </c>
      <c r="H106" s="362" t="str">
        <f>IF(ROUND(C106,0)=ROUND(SUMIFS(AN_TME_BY[[#All],[Member Months]], AN_TME_BY[[#All],[Insurance Category Code]],2, AN_TME_BY[[#All],[Advanced Network/Insurance Carrier Org ID]],B106),0), "TRUE", ROUND(C106-SUMIFS(AN_TME_BY[[#All],[Member Months]], AN_TME_BY[[#All],[Insurance Category Code]],2, AN_TME_BY[[#All],[Advanced Network/Insurance Carrier Org ID]],B106),2))</f>
        <v>TRUE</v>
      </c>
      <c r="I106" s="365" t="str">
        <f>IF(ROUND(D106,0)=ROUND(SUMIFS(AN_TME_BY[[#All],[Total Claims Excluded because of Truncation]], AN_TME_BY[[#All],[Insurance Category Code]],2, AN_TME_BY[[#All],[Advanced Network/Insurance Carrier Org ID]],B106),0), "TRUE", ROUND(D106-SUMIFS(AN_TME_BY[[#All],[Total Claims Excluded because of Truncation]], AN_TME_BY[[#All],[Insurance Category Code]],2, AN_TME_BY[[#All],[Advanced Network/Insurance Carrier Org ID]],B106),2))</f>
        <v>TRUE</v>
      </c>
      <c r="J106" s="138" t="str">
        <f>IF(ROUND(E106,0)=ROUND(SUMIFS(AN_TME_BY[[#All],[Count of Members with Claims Truncated]], AN_TME_BY[[#All],[Insurance Category Code]],2, AN_TME_BY[[#All],[Advanced Network/Insurance Carrier Org ID]],B106),0), "TRUE", ROUND(E106-SUMIFS(AN_TME_BY[[#All],[Count of Members with Claims Truncated]], AN_TME_BY[[#All],[Insurance Category Code]],2, AN_TME_BY[[#All],[Advanced Network/Insurance Carrier Org ID]],B106),2))</f>
        <v>TRUE</v>
      </c>
      <c r="K106" s="365" t="str">
        <f>IF(ROUND(F106,0)=ROUND(SUMIFS(AN_TME_BY[[#All],[TOTAL Non-Truncated Unadjusted Claims Expenses]], AN_TME_BY[[#All],[Insurance Category Code]],2, AN_TME_BY[[#All],[Advanced Network/Insurance Carrier Org ID]],B106),0), "TRUE", ROUND(F106-SUMIFS(AN_TME_BY[[#All],[TOTAL Non-Truncated Unadjusted Claims Expenses]], AN_TME_BY[[#All],[Insurance Category Code]],2, AN_TME_BY[[#All],[Advanced Network/Insurance Carrier Org ID]],B106),2))</f>
        <v>TRUE</v>
      </c>
      <c r="L106" s="367" t="str">
        <f>IF(ROUND(G106,0)=ROUND(SUMIFS(AN_TME_BY[[#All],[TOTAL Truncated Unadjusted Claims Expenses (A21 -A19)]], AN_TME_BY[[#All],[Insurance Category Code]],2, AN_TME_BY[[#All],[Advanced Network/Insurance Carrier Org ID]],B106),0), "TRUE", ROUND(G106-SUMIFS(AN_TME_BY[[#All],[TOTAL Truncated Unadjusted Claims Expenses (A21 -A19)]], AN_TME_BY[[#All],[Insurance Category Code]],2, AN_TME_BY[[#All],[Advanced Network/Insurance Carrier Org ID]],B106),2))</f>
        <v>TRUE</v>
      </c>
      <c r="M106" s="362" t="str">
        <f t="shared" si="5"/>
        <v>TRUE</v>
      </c>
      <c r="N106" s="365" t="b">
        <f>ROUND(SUMIFS(AN_TME_BY[[#All],[TOTAL Non-Truncated Unadjusted Claims Expenses]], AN_TME_BY[[#All],[Insurance Category Code]],2, AN_TME_BY[[#All],[Advanced Network/Insurance Carrier Org ID]],B106), 2)&gt;=ROUND(SUMIFS(AN_TME_BY[[#All],[TOTAL Truncated Unadjusted Claims Expenses (A21 -A19)]], AN_TME_BY[[#All],[Insurance Category Code]], 2, AN_TME_BY[[#All],[Advanced Network/Insurance Carrier Org ID]],B106),2)</f>
        <v>1</v>
      </c>
      <c r="O106" s="367" t="b">
        <f>ROUND(SUMIFS(AN_TME_BY[[#All],[TOTAL Truncated Unadjusted Claims Expenses (A21 -A19)]], AN_TME_BY[[#All],[Insurance Category Code]],2, AN_TME_BY[[#All],[Advanced Network/Insurance Carrier Org ID]],B106)+SUMIFS(AN_TME_BY[[#All],[Total Claims Excluded because of Truncation]], AN_TME_BY[[#All],[Insurance Category Code]],2, AN_TME_BY[[#All],[Advanced Network/Insurance Carrier Org ID]],B106),2)=ROUND(SUMIFS(AN_TME_BY[[#All],[TOTAL Non-Truncated Unadjusted Claims Expenses]], AN_TME_BY[[#All],[Insurance Category Code]],2, AN_TME_BY[[#All],[Advanced Network/Insurance Carrier Org ID]],B106), 2)</f>
        <v>1</v>
      </c>
      <c r="R106" s="184">
        <v>116</v>
      </c>
      <c r="S106" s="204">
        <f>ROUND(SUMIFS(Age_Sex_PY[[#All],[Total Member Months by Age/Sex Band]], Age_Sex_PY[[#All],[Advanced Network ID]], $R106, Age_Sex_PY[[#All],[Insurance Category Code]],2), 2)</f>
        <v>0</v>
      </c>
      <c r="T106" s="202">
        <f>ROUND(SUMIFS(Age_Sex_PY[[#All],[Total Dollars Excluded from Spending After Applying Truncation at the Member Level]], Age_Sex_PY[[#All],[Advanced Network ID]], $R106, Age_Sex_PY[[#All],[Insurance Category Code]],2), 2)</f>
        <v>0</v>
      </c>
      <c r="U106" s="189">
        <f>ROUND(SUMIFS(Age_Sex_PY[[#All],[Count of Members whose Spending was Truncated]], Age_Sex_PY[[#All],[Advanced Network ID]], $R106, Age_Sex_PY[[#All],[Insurance Category Code]],2),2)</f>
        <v>0</v>
      </c>
      <c r="V106" s="202">
        <f>ROUND(SUMIFS(Age_Sex_PY[[#All],[Total Spending before Truncation is Applied]], Age_Sex_PY[[#All],[Advanced Network ID]], $R106, Age_Sex_PY[[#All],[Insurance Category Code]],2), 2)</f>
        <v>0</v>
      </c>
      <c r="W106" s="203">
        <f>ROUND(SUMIFS(Age_Sex_PY[[#All],[Total Spending After Applying Truncation at the Member Level]], Age_Sex_PY[[#All],[Advanced Network ID]], $R106, Age_Sex_PY[[#All],[Insurance Category Code]],2), 2)</f>
        <v>0</v>
      </c>
      <c r="X106" s="362" t="str">
        <f>IF(ROUND(S106,0)=ROUND(SUMIFS(AN_TME_PY[[#All],[Member Months]], AN_TME_PY[[#All],[Insurance Category Code]],2, AN_TME_PY[[#All],[Advanced Network/Insurance Carrier Org ID]],R106),0), "TRUE", ROUND(S106-SUMIFS(AN_TME_PY[[#All],[Member Months]], AN_TME_PY[[#All],[Insurance Category Code]],2, AN_TME_PY[[#All],[Advanced Network/Insurance Carrier Org ID]],R106),2))</f>
        <v>TRUE</v>
      </c>
      <c r="Y106" s="365" t="str">
        <f>IF(ROUND(T106,0)=ROUND(SUMIFS(AN_TME_PY[[#All],[Total Claims Excluded because of Truncation]], AN_TME_PY[[#All],[Insurance Category Code]],2, AN_TME_PY[[#All],[Advanced Network/Insurance Carrier Org ID]],R106),0), "TRUE", ROUND(T106-SUMIFS(AN_TME_PY[[#All],[Total Claims Excluded because of Truncation]], AN_TME_PY[[#All],[Insurance Category Code]],2, AN_TME_PY[[#All],[Advanced Network/Insurance Carrier Org ID]],R106),2))</f>
        <v>TRUE</v>
      </c>
      <c r="Z106" s="138" t="str">
        <f>IF(ROUND(U106,0)=ROUND(SUMIFS(AN_TME_PY[[#All],[Count of Members with Claims Truncated]], AN_TME_PY[[#All],[Insurance Category Code]],2, AN_TME_PY[[#All],[Advanced Network/Insurance Carrier Org ID]],R106),0), "TRUE", ROUND(U106-SUMIFS(AN_TME_PY[[#All],[Count of Members with Claims Truncated]], AN_TME_PY[[#All],[Insurance Category Code]],2, AN_TME_PY[[#All],[Advanced Network/Insurance Carrier Org ID]],R106),2))</f>
        <v>TRUE</v>
      </c>
      <c r="AA106" s="365" t="str">
        <f>IF(ROUND(V106,0)=ROUND(SUMIFS(AN_TME_PY[[#All],[TOTAL Non-Truncated Unadjusted Claims Expenses]], AN_TME_PY[[#All],[Insurance Category Code]],2, AN_TME_PY[[#All],[Advanced Network/Insurance Carrier Org ID]],R106),0), "TRUE", ROUND(V106-SUMIFS(AN_TME_PY[[#All],[TOTAL Non-Truncated Unadjusted Claims Expenses]], AN_TME_PY[[#All],[Insurance Category Code]],2, AN_TME_PY[[#All],[Advanced Network/Insurance Carrier Org ID]],R106),2))</f>
        <v>TRUE</v>
      </c>
      <c r="AB106" s="367" t="str">
        <f>IF(ROUND(W106,0)=ROUND(SUMIFS(AN_TME_PY[[#All],[TOTAL Truncated Unadjusted Claims Expenses (A21 -A19)]], AN_TME_PY[[#All],[Insurance Category Code]],2, AN_TME_PY[[#All],[Advanced Network/Insurance Carrier Org ID]],R106),0), "TRUE", ROUND(W106-SUMIFS(AN_TME_PY[[#All],[TOTAL Truncated Unadjusted Claims Expenses (A21 -A19)]], AN_TME_PY[[#All],[Insurance Category Code]],2, AN_TME_PY[[#All],[Advanced Network/Insurance Carrier Org ID]],R106),2))</f>
        <v>TRUE</v>
      </c>
      <c r="AC106" s="362" t="str">
        <f t="shared" si="6"/>
        <v>TRUE</v>
      </c>
      <c r="AD106" s="365" t="b">
        <f>ROUND(SUMIFS(AN_TME_PY[[#All],[TOTAL Non-Truncated Unadjusted Claims Expenses]], AN_TME_PY[[#All],[Insurance Category Code]],2, AN_TME_PY[[#All],[Advanced Network/Insurance Carrier Org ID]],R106), 2)&gt;=ROUND(SUMIFS(AN_TME_PY[[#All],[TOTAL Truncated Unadjusted Claims Expenses (A21 -A19)]], AN_TME_PY[[#All],[Insurance Category Code]], 2, AN_TME_PY[[#All],[Advanced Network/Insurance Carrier Org ID]],R106),2)</f>
        <v>1</v>
      </c>
      <c r="AE106" s="367" t="b">
        <f>ROUND(SUMIFS(AN_TME_PY[[#All],[TOTAL Truncated Unadjusted Claims Expenses (A21 -A19)]], AN_TME_PY[[#All],[Insurance Category Code]],2, AN_TME_PY[[#All],[Advanced Network/Insurance Carrier Org ID]],R106)+SUMIFS(AN_TME_PY[[#All],[Total Claims Excluded because of Truncation]], AN_TME_PY[[#All],[Insurance Category Code]],2, AN_TME_PY[[#All],[Advanced Network/Insurance Carrier Org ID]],R106),2)=ROUND(SUMIFS(AN_TME_PY[[#All],[TOTAL Non-Truncated Unadjusted Claims Expenses]], AN_TME_PY[[#All],[Insurance Category Code]],2, AN_TME_PY[[#All],[Advanced Network/Insurance Carrier Org ID]],R106), 2)</f>
        <v>1</v>
      </c>
      <c r="AH106" s="213" t="str">
        <f t="shared" si="7"/>
        <v>NA</v>
      </c>
    </row>
    <row r="107" spans="2:34" x14ac:dyDescent="0.25">
      <c r="B107" s="184">
        <v>117</v>
      </c>
      <c r="C107" s="204">
        <f>ROUND(SUMIFS(Age_Sex_BY[[#All],[Total Member Months by Age/Sex Band]], Age_Sex_BY[[#All],[Advanced Network ID]], $B107, Age_Sex_BY[[#All],[Insurance Category Code]],2), 2)</f>
        <v>0</v>
      </c>
      <c r="D107" s="202">
        <f>ROUND(SUMIFS(Age_Sex_BY[[#All],[Total Dollars Excluded from Spending After Applying Truncation at the Member Level]], Age_Sex_BY[[#All],[Advanced Network ID]], $B107, Age_Sex_BY[[#All],[Insurance Category Code]],2), 2)</f>
        <v>0</v>
      </c>
      <c r="E107" s="189">
        <f>ROUND(SUMIFS(Age_Sex_BY[[#All],[Count of Members whose Spending was Truncated]], Age_Sex_BY[[#All],[Advanced Network ID]], $B107, Age_Sex_BY[[#All],[Insurance Category Code]],2),2)</f>
        <v>0</v>
      </c>
      <c r="F107" s="202">
        <f>ROUND(SUMIFS(Age_Sex_BY[[#All],[Total Spending before Truncation is Applied]], Age_Sex_BY[[#All],[Advanced Network ID]], $B107, Age_Sex_BY[[#All],[Insurance Category Code]],2), 2)</f>
        <v>0</v>
      </c>
      <c r="G107" s="203">
        <f>ROUND(SUMIFS(Age_Sex_BY[[#All],[Total Spending After Applying Truncation at the Member Level]], Age_Sex_BY[[#All],[Advanced Network ID]], $B107, Age_Sex_BY[[#All],[Insurance Category Code]],2), 2)</f>
        <v>0</v>
      </c>
      <c r="H107" s="362" t="str">
        <f>IF(ROUND(C107,0)=ROUND(SUMIFS(AN_TME_BY[[#All],[Member Months]], AN_TME_BY[[#All],[Insurance Category Code]],2, AN_TME_BY[[#All],[Advanced Network/Insurance Carrier Org ID]],B107),0), "TRUE", ROUND(C107-SUMIFS(AN_TME_BY[[#All],[Member Months]], AN_TME_BY[[#All],[Insurance Category Code]],2, AN_TME_BY[[#All],[Advanced Network/Insurance Carrier Org ID]],B107),2))</f>
        <v>TRUE</v>
      </c>
      <c r="I107" s="365" t="str">
        <f>IF(ROUND(D107,0)=ROUND(SUMIFS(AN_TME_BY[[#All],[Total Claims Excluded because of Truncation]], AN_TME_BY[[#All],[Insurance Category Code]],2, AN_TME_BY[[#All],[Advanced Network/Insurance Carrier Org ID]],B107),0), "TRUE", ROUND(D107-SUMIFS(AN_TME_BY[[#All],[Total Claims Excluded because of Truncation]], AN_TME_BY[[#All],[Insurance Category Code]],2, AN_TME_BY[[#All],[Advanced Network/Insurance Carrier Org ID]],B107),2))</f>
        <v>TRUE</v>
      </c>
      <c r="J107" s="138" t="str">
        <f>IF(ROUND(E107,0)=ROUND(SUMIFS(AN_TME_BY[[#All],[Count of Members with Claims Truncated]], AN_TME_BY[[#All],[Insurance Category Code]],2, AN_TME_BY[[#All],[Advanced Network/Insurance Carrier Org ID]],B107),0), "TRUE", ROUND(E107-SUMIFS(AN_TME_BY[[#All],[Count of Members with Claims Truncated]], AN_TME_BY[[#All],[Insurance Category Code]],2, AN_TME_BY[[#All],[Advanced Network/Insurance Carrier Org ID]],B107),2))</f>
        <v>TRUE</v>
      </c>
      <c r="K107" s="365" t="str">
        <f>IF(ROUND(F107,0)=ROUND(SUMIFS(AN_TME_BY[[#All],[TOTAL Non-Truncated Unadjusted Claims Expenses]], AN_TME_BY[[#All],[Insurance Category Code]],2, AN_TME_BY[[#All],[Advanced Network/Insurance Carrier Org ID]],B107),0), "TRUE", ROUND(F107-SUMIFS(AN_TME_BY[[#All],[TOTAL Non-Truncated Unadjusted Claims Expenses]], AN_TME_BY[[#All],[Insurance Category Code]],2, AN_TME_BY[[#All],[Advanced Network/Insurance Carrier Org ID]],B107),2))</f>
        <v>TRUE</v>
      </c>
      <c r="L107" s="367" t="str">
        <f>IF(ROUND(G107,0)=ROUND(SUMIFS(AN_TME_BY[[#All],[TOTAL Truncated Unadjusted Claims Expenses (A21 -A19)]], AN_TME_BY[[#All],[Insurance Category Code]],2, AN_TME_BY[[#All],[Advanced Network/Insurance Carrier Org ID]],B107),0), "TRUE", ROUND(G107-SUMIFS(AN_TME_BY[[#All],[TOTAL Truncated Unadjusted Claims Expenses (A21 -A19)]], AN_TME_BY[[#All],[Insurance Category Code]],2, AN_TME_BY[[#All],[Advanced Network/Insurance Carrier Org ID]],B107),2))</f>
        <v>TRUE</v>
      </c>
      <c r="M107" s="362" t="str">
        <f t="shared" si="5"/>
        <v>TRUE</v>
      </c>
      <c r="N107" s="365" t="b">
        <f>ROUND(SUMIFS(AN_TME_BY[[#All],[TOTAL Non-Truncated Unadjusted Claims Expenses]], AN_TME_BY[[#All],[Insurance Category Code]],2, AN_TME_BY[[#All],[Advanced Network/Insurance Carrier Org ID]],B107), 2)&gt;=ROUND(SUMIFS(AN_TME_BY[[#All],[TOTAL Truncated Unadjusted Claims Expenses (A21 -A19)]], AN_TME_BY[[#All],[Insurance Category Code]], 2, AN_TME_BY[[#All],[Advanced Network/Insurance Carrier Org ID]],B107),2)</f>
        <v>1</v>
      </c>
      <c r="O107" s="367" t="b">
        <f>ROUND(SUMIFS(AN_TME_BY[[#All],[TOTAL Truncated Unadjusted Claims Expenses (A21 -A19)]], AN_TME_BY[[#All],[Insurance Category Code]],2, AN_TME_BY[[#All],[Advanced Network/Insurance Carrier Org ID]],B107)+SUMIFS(AN_TME_BY[[#All],[Total Claims Excluded because of Truncation]], AN_TME_BY[[#All],[Insurance Category Code]],2, AN_TME_BY[[#All],[Advanced Network/Insurance Carrier Org ID]],B107),2)=ROUND(SUMIFS(AN_TME_BY[[#All],[TOTAL Non-Truncated Unadjusted Claims Expenses]], AN_TME_BY[[#All],[Insurance Category Code]],2, AN_TME_BY[[#All],[Advanced Network/Insurance Carrier Org ID]],B107), 2)</f>
        <v>1</v>
      </c>
      <c r="R107" s="184">
        <v>117</v>
      </c>
      <c r="S107" s="204">
        <f>ROUND(SUMIFS(Age_Sex_PY[[#All],[Total Member Months by Age/Sex Band]], Age_Sex_PY[[#All],[Advanced Network ID]], $R107, Age_Sex_PY[[#All],[Insurance Category Code]],2), 2)</f>
        <v>0</v>
      </c>
      <c r="T107" s="202">
        <f>ROUND(SUMIFS(Age_Sex_PY[[#All],[Total Dollars Excluded from Spending After Applying Truncation at the Member Level]], Age_Sex_PY[[#All],[Advanced Network ID]], $R107, Age_Sex_PY[[#All],[Insurance Category Code]],2), 2)</f>
        <v>0</v>
      </c>
      <c r="U107" s="189">
        <f>ROUND(SUMIFS(Age_Sex_PY[[#All],[Count of Members whose Spending was Truncated]], Age_Sex_PY[[#All],[Advanced Network ID]], $R107, Age_Sex_PY[[#All],[Insurance Category Code]],2),2)</f>
        <v>0</v>
      </c>
      <c r="V107" s="202">
        <f>ROUND(SUMIFS(Age_Sex_PY[[#All],[Total Spending before Truncation is Applied]], Age_Sex_PY[[#All],[Advanced Network ID]], $R107, Age_Sex_PY[[#All],[Insurance Category Code]],2), 2)</f>
        <v>0</v>
      </c>
      <c r="W107" s="203">
        <f>ROUND(SUMIFS(Age_Sex_PY[[#All],[Total Spending After Applying Truncation at the Member Level]], Age_Sex_PY[[#All],[Advanced Network ID]], $R107, Age_Sex_PY[[#All],[Insurance Category Code]],2), 2)</f>
        <v>0</v>
      </c>
      <c r="X107" s="362" t="str">
        <f>IF(ROUND(S107,0)=ROUND(SUMIFS(AN_TME_PY[[#All],[Member Months]], AN_TME_PY[[#All],[Insurance Category Code]],2, AN_TME_PY[[#All],[Advanced Network/Insurance Carrier Org ID]],R107),0), "TRUE", ROUND(S107-SUMIFS(AN_TME_PY[[#All],[Member Months]], AN_TME_PY[[#All],[Insurance Category Code]],2, AN_TME_PY[[#All],[Advanced Network/Insurance Carrier Org ID]],R107),2))</f>
        <v>TRUE</v>
      </c>
      <c r="Y107" s="365" t="str">
        <f>IF(ROUND(T107,0)=ROUND(SUMIFS(AN_TME_PY[[#All],[Total Claims Excluded because of Truncation]], AN_TME_PY[[#All],[Insurance Category Code]],2, AN_TME_PY[[#All],[Advanced Network/Insurance Carrier Org ID]],R107),0), "TRUE", ROUND(T107-SUMIFS(AN_TME_PY[[#All],[Total Claims Excluded because of Truncation]], AN_TME_PY[[#All],[Insurance Category Code]],2, AN_TME_PY[[#All],[Advanced Network/Insurance Carrier Org ID]],R107),2))</f>
        <v>TRUE</v>
      </c>
      <c r="Z107" s="138" t="str">
        <f>IF(ROUND(U107,0)=ROUND(SUMIFS(AN_TME_PY[[#All],[Count of Members with Claims Truncated]], AN_TME_PY[[#All],[Insurance Category Code]],2, AN_TME_PY[[#All],[Advanced Network/Insurance Carrier Org ID]],R107),0), "TRUE", ROUND(U107-SUMIFS(AN_TME_PY[[#All],[Count of Members with Claims Truncated]], AN_TME_PY[[#All],[Insurance Category Code]],2, AN_TME_PY[[#All],[Advanced Network/Insurance Carrier Org ID]],R107),2))</f>
        <v>TRUE</v>
      </c>
      <c r="AA107" s="365" t="str">
        <f>IF(ROUND(V107,0)=ROUND(SUMIFS(AN_TME_PY[[#All],[TOTAL Non-Truncated Unadjusted Claims Expenses]], AN_TME_PY[[#All],[Insurance Category Code]],2, AN_TME_PY[[#All],[Advanced Network/Insurance Carrier Org ID]],R107),0), "TRUE", ROUND(V107-SUMIFS(AN_TME_PY[[#All],[TOTAL Non-Truncated Unadjusted Claims Expenses]], AN_TME_PY[[#All],[Insurance Category Code]],2, AN_TME_PY[[#All],[Advanced Network/Insurance Carrier Org ID]],R107),2))</f>
        <v>TRUE</v>
      </c>
      <c r="AB107" s="367" t="str">
        <f>IF(ROUND(W107,0)=ROUND(SUMIFS(AN_TME_PY[[#All],[TOTAL Truncated Unadjusted Claims Expenses (A21 -A19)]], AN_TME_PY[[#All],[Insurance Category Code]],2, AN_TME_PY[[#All],[Advanced Network/Insurance Carrier Org ID]],R107),0), "TRUE", ROUND(W107-SUMIFS(AN_TME_PY[[#All],[TOTAL Truncated Unadjusted Claims Expenses (A21 -A19)]], AN_TME_PY[[#All],[Insurance Category Code]],2, AN_TME_PY[[#All],[Advanced Network/Insurance Carrier Org ID]],R107),2))</f>
        <v>TRUE</v>
      </c>
      <c r="AC107" s="362" t="str">
        <f t="shared" si="6"/>
        <v>TRUE</v>
      </c>
      <c r="AD107" s="365" t="b">
        <f>ROUND(SUMIFS(AN_TME_PY[[#All],[TOTAL Non-Truncated Unadjusted Claims Expenses]], AN_TME_PY[[#All],[Insurance Category Code]],2, AN_TME_PY[[#All],[Advanced Network/Insurance Carrier Org ID]],R107), 2)&gt;=ROUND(SUMIFS(AN_TME_PY[[#All],[TOTAL Truncated Unadjusted Claims Expenses (A21 -A19)]], AN_TME_PY[[#All],[Insurance Category Code]], 2, AN_TME_PY[[#All],[Advanced Network/Insurance Carrier Org ID]],R107),2)</f>
        <v>1</v>
      </c>
      <c r="AE107" s="367" t="b">
        <f>ROUND(SUMIFS(AN_TME_PY[[#All],[TOTAL Truncated Unadjusted Claims Expenses (A21 -A19)]], AN_TME_PY[[#All],[Insurance Category Code]],2, AN_TME_PY[[#All],[Advanced Network/Insurance Carrier Org ID]],R107)+SUMIFS(AN_TME_PY[[#All],[Total Claims Excluded because of Truncation]], AN_TME_PY[[#All],[Insurance Category Code]],2, AN_TME_PY[[#All],[Advanced Network/Insurance Carrier Org ID]],R107),2)=ROUND(SUMIFS(AN_TME_PY[[#All],[TOTAL Non-Truncated Unadjusted Claims Expenses]], AN_TME_PY[[#All],[Insurance Category Code]],2, AN_TME_PY[[#All],[Advanced Network/Insurance Carrier Org ID]],R107), 2)</f>
        <v>1</v>
      </c>
      <c r="AH107" s="213" t="str">
        <f t="shared" si="7"/>
        <v>NA</v>
      </c>
    </row>
    <row r="108" spans="2:34" x14ac:dyDescent="0.25">
      <c r="B108" s="184">
        <v>118</v>
      </c>
      <c r="C108" s="204">
        <f>ROUND(SUMIFS(Age_Sex_BY[[#All],[Total Member Months by Age/Sex Band]], Age_Sex_BY[[#All],[Advanced Network ID]], $B108, Age_Sex_BY[[#All],[Insurance Category Code]],2), 2)</f>
        <v>0</v>
      </c>
      <c r="D108" s="202">
        <f>ROUND(SUMIFS(Age_Sex_BY[[#All],[Total Dollars Excluded from Spending After Applying Truncation at the Member Level]], Age_Sex_BY[[#All],[Advanced Network ID]], $B108, Age_Sex_BY[[#All],[Insurance Category Code]],2), 2)</f>
        <v>0</v>
      </c>
      <c r="E108" s="189">
        <f>ROUND(SUMIFS(Age_Sex_BY[[#All],[Count of Members whose Spending was Truncated]], Age_Sex_BY[[#All],[Advanced Network ID]], $B108, Age_Sex_BY[[#All],[Insurance Category Code]],2),2)</f>
        <v>0</v>
      </c>
      <c r="F108" s="202">
        <f>ROUND(SUMIFS(Age_Sex_BY[[#All],[Total Spending before Truncation is Applied]], Age_Sex_BY[[#All],[Advanced Network ID]], $B108, Age_Sex_BY[[#All],[Insurance Category Code]],2), 2)</f>
        <v>0</v>
      </c>
      <c r="G108" s="203">
        <f>ROUND(SUMIFS(Age_Sex_BY[[#All],[Total Spending After Applying Truncation at the Member Level]], Age_Sex_BY[[#All],[Advanced Network ID]], $B108, Age_Sex_BY[[#All],[Insurance Category Code]],2), 2)</f>
        <v>0</v>
      </c>
      <c r="H108" s="362" t="str">
        <f>IF(ROUND(C108,0)=ROUND(SUMIFS(AN_TME_BY[[#All],[Member Months]], AN_TME_BY[[#All],[Insurance Category Code]],2, AN_TME_BY[[#All],[Advanced Network/Insurance Carrier Org ID]],B108),0), "TRUE", ROUND(C108-SUMIFS(AN_TME_BY[[#All],[Member Months]], AN_TME_BY[[#All],[Insurance Category Code]],2, AN_TME_BY[[#All],[Advanced Network/Insurance Carrier Org ID]],B108),2))</f>
        <v>TRUE</v>
      </c>
      <c r="I108" s="365" t="str">
        <f>IF(ROUND(D108,0)=ROUND(SUMIFS(AN_TME_BY[[#All],[Total Claims Excluded because of Truncation]], AN_TME_BY[[#All],[Insurance Category Code]],2, AN_TME_BY[[#All],[Advanced Network/Insurance Carrier Org ID]],B108),0), "TRUE", ROUND(D108-SUMIFS(AN_TME_BY[[#All],[Total Claims Excluded because of Truncation]], AN_TME_BY[[#All],[Insurance Category Code]],2, AN_TME_BY[[#All],[Advanced Network/Insurance Carrier Org ID]],B108),2))</f>
        <v>TRUE</v>
      </c>
      <c r="J108" s="138" t="str">
        <f>IF(ROUND(E108,0)=ROUND(SUMIFS(AN_TME_BY[[#All],[Count of Members with Claims Truncated]], AN_TME_BY[[#All],[Insurance Category Code]],2, AN_TME_BY[[#All],[Advanced Network/Insurance Carrier Org ID]],B108),0), "TRUE", ROUND(E108-SUMIFS(AN_TME_BY[[#All],[Count of Members with Claims Truncated]], AN_TME_BY[[#All],[Insurance Category Code]],2, AN_TME_BY[[#All],[Advanced Network/Insurance Carrier Org ID]],B108),2))</f>
        <v>TRUE</v>
      </c>
      <c r="K108" s="365" t="str">
        <f>IF(ROUND(F108,0)=ROUND(SUMIFS(AN_TME_BY[[#All],[TOTAL Non-Truncated Unadjusted Claims Expenses]], AN_TME_BY[[#All],[Insurance Category Code]],2, AN_TME_BY[[#All],[Advanced Network/Insurance Carrier Org ID]],B108),0), "TRUE", ROUND(F108-SUMIFS(AN_TME_BY[[#All],[TOTAL Non-Truncated Unadjusted Claims Expenses]], AN_TME_BY[[#All],[Insurance Category Code]],2, AN_TME_BY[[#All],[Advanced Network/Insurance Carrier Org ID]],B108),2))</f>
        <v>TRUE</v>
      </c>
      <c r="L108" s="367" t="str">
        <f>IF(ROUND(G108,0)=ROUND(SUMIFS(AN_TME_BY[[#All],[TOTAL Truncated Unadjusted Claims Expenses (A21 -A19)]], AN_TME_BY[[#All],[Insurance Category Code]],2, AN_TME_BY[[#All],[Advanced Network/Insurance Carrier Org ID]],B108),0), "TRUE", ROUND(G108-SUMIFS(AN_TME_BY[[#All],[TOTAL Truncated Unadjusted Claims Expenses (A21 -A19)]], AN_TME_BY[[#All],[Insurance Category Code]],2, AN_TME_BY[[#All],[Advanced Network/Insurance Carrier Org ID]],B108),2))</f>
        <v>TRUE</v>
      </c>
      <c r="M108" s="362" t="str">
        <f t="shared" si="5"/>
        <v>TRUE</v>
      </c>
      <c r="N108" s="365" t="b">
        <f>ROUND(SUMIFS(AN_TME_BY[[#All],[TOTAL Non-Truncated Unadjusted Claims Expenses]], AN_TME_BY[[#All],[Insurance Category Code]],2, AN_TME_BY[[#All],[Advanced Network/Insurance Carrier Org ID]],B108), 2)&gt;=ROUND(SUMIFS(AN_TME_BY[[#All],[TOTAL Truncated Unadjusted Claims Expenses (A21 -A19)]], AN_TME_BY[[#All],[Insurance Category Code]], 2, AN_TME_BY[[#All],[Advanced Network/Insurance Carrier Org ID]],B108),2)</f>
        <v>1</v>
      </c>
      <c r="O108" s="367" t="b">
        <f>ROUND(SUMIFS(AN_TME_BY[[#All],[TOTAL Truncated Unadjusted Claims Expenses (A21 -A19)]], AN_TME_BY[[#All],[Insurance Category Code]],2, AN_TME_BY[[#All],[Advanced Network/Insurance Carrier Org ID]],B108)+SUMIFS(AN_TME_BY[[#All],[Total Claims Excluded because of Truncation]], AN_TME_BY[[#All],[Insurance Category Code]],2, AN_TME_BY[[#All],[Advanced Network/Insurance Carrier Org ID]],B108),2)=ROUND(SUMIFS(AN_TME_BY[[#All],[TOTAL Non-Truncated Unadjusted Claims Expenses]], AN_TME_BY[[#All],[Insurance Category Code]],2, AN_TME_BY[[#All],[Advanced Network/Insurance Carrier Org ID]],B108), 2)</f>
        <v>1</v>
      </c>
      <c r="R108" s="184">
        <v>118</v>
      </c>
      <c r="S108" s="204">
        <f>ROUND(SUMIFS(Age_Sex_PY[[#All],[Total Member Months by Age/Sex Band]], Age_Sex_PY[[#All],[Advanced Network ID]], $R108, Age_Sex_PY[[#All],[Insurance Category Code]],2), 2)</f>
        <v>0</v>
      </c>
      <c r="T108" s="202">
        <f>ROUND(SUMIFS(Age_Sex_PY[[#All],[Total Dollars Excluded from Spending After Applying Truncation at the Member Level]], Age_Sex_PY[[#All],[Advanced Network ID]], $R108, Age_Sex_PY[[#All],[Insurance Category Code]],2), 2)</f>
        <v>0</v>
      </c>
      <c r="U108" s="189">
        <f>ROUND(SUMIFS(Age_Sex_PY[[#All],[Count of Members whose Spending was Truncated]], Age_Sex_PY[[#All],[Advanced Network ID]], $R108, Age_Sex_PY[[#All],[Insurance Category Code]],2),2)</f>
        <v>0</v>
      </c>
      <c r="V108" s="202">
        <f>ROUND(SUMIFS(Age_Sex_PY[[#All],[Total Spending before Truncation is Applied]], Age_Sex_PY[[#All],[Advanced Network ID]], $R108, Age_Sex_PY[[#All],[Insurance Category Code]],2), 2)</f>
        <v>0</v>
      </c>
      <c r="W108" s="203">
        <f>ROUND(SUMIFS(Age_Sex_PY[[#All],[Total Spending After Applying Truncation at the Member Level]], Age_Sex_PY[[#All],[Advanced Network ID]], $R108, Age_Sex_PY[[#All],[Insurance Category Code]],2), 2)</f>
        <v>0</v>
      </c>
      <c r="X108" s="362" t="str">
        <f>IF(ROUND(S108,0)=ROUND(SUMIFS(AN_TME_PY[[#All],[Member Months]], AN_TME_PY[[#All],[Insurance Category Code]],2, AN_TME_PY[[#All],[Advanced Network/Insurance Carrier Org ID]],R108),0), "TRUE", ROUND(S108-SUMIFS(AN_TME_PY[[#All],[Member Months]], AN_TME_PY[[#All],[Insurance Category Code]],2, AN_TME_PY[[#All],[Advanced Network/Insurance Carrier Org ID]],R108),2))</f>
        <v>TRUE</v>
      </c>
      <c r="Y108" s="365" t="str">
        <f>IF(ROUND(T108,0)=ROUND(SUMIFS(AN_TME_PY[[#All],[Total Claims Excluded because of Truncation]], AN_TME_PY[[#All],[Insurance Category Code]],2, AN_TME_PY[[#All],[Advanced Network/Insurance Carrier Org ID]],R108),0), "TRUE", ROUND(T108-SUMIFS(AN_TME_PY[[#All],[Total Claims Excluded because of Truncation]], AN_TME_PY[[#All],[Insurance Category Code]],2, AN_TME_PY[[#All],[Advanced Network/Insurance Carrier Org ID]],R108),2))</f>
        <v>TRUE</v>
      </c>
      <c r="Z108" s="138" t="str">
        <f>IF(ROUND(U108,0)=ROUND(SUMIFS(AN_TME_PY[[#All],[Count of Members with Claims Truncated]], AN_TME_PY[[#All],[Insurance Category Code]],2, AN_TME_PY[[#All],[Advanced Network/Insurance Carrier Org ID]],R108),0), "TRUE", ROUND(U108-SUMIFS(AN_TME_PY[[#All],[Count of Members with Claims Truncated]], AN_TME_PY[[#All],[Insurance Category Code]],2, AN_TME_PY[[#All],[Advanced Network/Insurance Carrier Org ID]],R108),2))</f>
        <v>TRUE</v>
      </c>
      <c r="AA108" s="365" t="str">
        <f>IF(ROUND(V108,0)=ROUND(SUMIFS(AN_TME_PY[[#All],[TOTAL Non-Truncated Unadjusted Claims Expenses]], AN_TME_PY[[#All],[Insurance Category Code]],2, AN_TME_PY[[#All],[Advanced Network/Insurance Carrier Org ID]],R108),0), "TRUE", ROUND(V108-SUMIFS(AN_TME_PY[[#All],[TOTAL Non-Truncated Unadjusted Claims Expenses]], AN_TME_PY[[#All],[Insurance Category Code]],2, AN_TME_PY[[#All],[Advanced Network/Insurance Carrier Org ID]],R108),2))</f>
        <v>TRUE</v>
      </c>
      <c r="AB108" s="367" t="str">
        <f>IF(ROUND(W108,0)=ROUND(SUMIFS(AN_TME_PY[[#All],[TOTAL Truncated Unadjusted Claims Expenses (A21 -A19)]], AN_TME_PY[[#All],[Insurance Category Code]],2, AN_TME_PY[[#All],[Advanced Network/Insurance Carrier Org ID]],R108),0), "TRUE", ROUND(W108-SUMIFS(AN_TME_PY[[#All],[TOTAL Truncated Unadjusted Claims Expenses (A21 -A19)]], AN_TME_PY[[#All],[Insurance Category Code]],2, AN_TME_PY[[#All],[Advanced Network/Insurance Carrier Org ID]],R108),2))</f>
        <v>TRUE</v>
      </c>
      <c r="AC108" s="362" t="str">
        <f t="shared" si="6"/>
        <v>TRUE</v>
      </c>
      <c r="AD108" s="365" t="b">
        <f>ROUND(SUMIFS(AN_TME_PY[[#All],[TOTAL Non-Truncated Unadjusted Claims Expenses]], AN_TME_PY[[#All],[Insurance Category Code]],2, AN_TME_PY[[#All],[Advanced Network/Insurance Carrier Org ID]],R108), 2)&gt;=ROUND(SUMIFS(AN_TME_PY[[#All],[TOTAL Truncated Unadjusted Claims Expenses (A21 -A19)]], AN_TME_PY[[#All],[Insurance Category Code]], 2, AN_TME_PY[[#All],[Advanced Network/Insurance Carrier Org ID]],R108),2)</f>
        <v>1</v>
      </c>
      <c r="AE108" s="367" t="b">
        <f>ROUND(SUMIFS(AN_TME_PY[[#All],[TOTAL Truncated Unadjusted Claims Expenses (A21 -A19)]], AN_TME_PY[[#All],[Insurance Category Code]],2, AN_TME_PY[[#All],[Advanced Network/Insurance Carrier Org ID]],R108)+SUMIFS(AN_TME_PY[[#All],[Total Claims Excluded because of Truncation]], AN_TME_PY[[#All],[Insurance Category Code]],2, AN_TME_PY[[#All],[Advanced Network/Insurance Carrier Org ID]],R108),2)=ROUND(SUMIFS(AN_TME_PY[[#All],[TOTAL Non-Truncated Unadjusted Claims Expenses]], AN_TME_PY[[#All],[Insurance Category Code]],2, AN_TME_PY[[#All],[Advanced Network/Insurance Carrier Org ID]],R108), 2)</f>
        <v>1</v>
      </c>
      <c r="AH108" s="213" t="str">
        <f>IFERROR(S108/C108-1,"NA")</f>
        <v>NA</v>
      </c>
    </row>
    <row r="109" spans="2:34" x14ac:dyDescent="0.25">
      <c r="B109" s="184">
        <v>119</v>
      </c>
      <c r="C109" s="204">
        <f>ROUND(SUMIFS(Age_Sex_BY[[#All],[Total Member Months by Age/Sex Band]], Age_Sex_BY[[#All],[Advanced Network ID]], $B109, Age_Sex_BY[[#All],[Insurance Category Code]],2), 2)</f>
        <v>0</v>
      </c>
      <c r="D109" s="202">
        <f>ROUND(SUMIFS(Age_Sex_BY[[#All],[Total Dollars Excluded from Spending After Applying Truncation at the Member Level]], Age_Sex_BY[[#All],[Advanced Network ID]], $B109, Age_Sex_BY[[#All],[Insurance Category Code]],2), 2)</f>
        <v>0</v>
      </c>
      <c r="E109" s="189">
        <f>ROUND(SUMIFS(Age_Sex_BY[[#All],[Count of Members whose Spending was Truncated]], Age_Sex_BY[[#All],[Advanced Network ID]], $B109, Age_Sex_BY[[#All],[Insurance Category Code]],2),2)</f>
        <v>0</v>
      </c>
      <c r="F109" s="202">
        <f>ROUND(SUMIFS(Age_Sex_BY[[#All],[Total Spending before Truncation is Applied]], Age_Sex_BY[[#All],[Advanced Network ID]], $B109, Age_Sex_BY[[#All],[Insurance Category Code]],2), 2)</f>
        <v>0</v>
      </c>
      <c r="G109" s="203">
        <f>ROUND(SUMIFS(Age_Sex_BY[[#All],[Total Spending After Applying Truncation at the Member Level]], Age_Sex_BY[[#All],[Advanced Network ID]], $B109, Age_Sex_BY[[#All],[Insurance Category Code]],2), 2)</f>
        <v>0</v>
      </c>
      <c r="H109" s="362" t="str">
        <f>IF(ROUND(C109,0)=ROUND(SUMIFS(AN_TME_BY[[#All],[Member Months]], AN_TME_BY[[#All],[Insurance Category Code]],2, AN_TME_BY[[#All],[Advanced Network/Insurance Carrier Org ID]],B109),0), "TRUE", ROUND(C109-SUMIFS(AN_TME_BY[[#All],[Member Months]], AN_TME_BY[[#All],[Insurance Category Code]],2, AN_TME_BY[[#All],[Advanced Network/Insurance Carrier Org ID]],B109),2))</f>
        <v>TRUE</v>
      </c>
      <c r="I109" s="365" t="str">
        <f>IF(ROUND(D109,0)=ROUND(SUMIFS(AN_TME_BY[[#All],[Total Claims Excluded because of Truncation]], AN_TME_BY[[#All],[Insurance Category Code]],2, AN_TME_BY[[#All],[Advanced Network/Insurance Carrier Org ID]],B109),0), "TRUE", ROUND(D109-SUMIFS(AN_TME_BY[[#All],[Total Claims Excluded because of Truncation]], AN_TME_BY[[#All],[Insurance Category Code]],2, AN_TME_BY[[#All],[Advanced Network/Insurance Carrier Org ID]],B109),2))</f>
        <v>TRUE</v>
      </c>
      <c r="J109" s="138" t="str">
        <f>IF(ROUND(E109,0)=ROUND(SUMIFS(AN_TME_BY[[#All],[Count of Members with Claims Truncated]], AN_TME_BY[[#All],[Insurance Category Code]],2, AN_TME_BY[[#All],[Advanced Network/Insurance Carrier Org ID]],B109),0), "TRUE", ROUND(E109-SUMIFS(AN_TME_BY[[#All],[Count of Members with Claims Truncated]], AN_TME_BY[[#All],[Insurance Category Code]],2, AN_TME_BY[[#All],[Advanced Network/Insurance Carrier Org ID]],B109),2))</f>
        <v>TRUE</v>
      </c>
      <c r="K109" s="365" t="str">
        <f>IF(ROUND(F109,0)=ROUND(SUMIFS(AN_TME_BY[[#All],[TOTAL Non-Truncated Unadjusted Claims Expenses]], AN_TME_BY[[#All],[Insurance Category Code]],2, AN_TME_BY[[#All],[Advanced Network/Insurance Carrier Org ID]],B109),0), "TRUE", ROUND(F109-SUMIFS(AN_TME_BY[[#All],[TOTAL Non-Truncated Unadjusted Claims Expenses]], AN_TME_BY[[#All],[Insurance Category Code]],2, AN_TME_BY[[#All],[Advanced Network/Insurance Carrier Org ID]],B109),2))</f>
        <v>TRUE</v>
      </c>
      <c r="L109" s="367" t="str">
        <f>IF(ROUND(G109,0)=ROUND(SUMIFS(AN_TME_BY[[#All],[TOTAL Truncated Unadjusted Claims Expenses (A21 -A19)]], AN_TME_BY[[#All],[Insurance Category Code]],2, AN_TME_BY[[#All],[Advanced Network/Insurance Carrier Org ID]],B109),0), "TRUE", ROUND(G109-SUMIFS(AN_TME_BY[[#All],[TOTAL Truncated Unadjusted Claims Expenses (A21 -A19)]], AN_TME_BY[[#All],[Insurance Category Code]],2, AN_TME_BY[[#All],[Advanced Network/Insurance Carrier Org ID]],B109),2))</f>
        <v>TRUE</v>
      </c>
      <c r="M109" s="362" t="str">
        <f t="shared" si="5"/>
        <v>TRUE</v>
      </c>
      <c r="N109" s="365" t="b">
        <f>ROUND(SUMIFS(AN_TME_BY[[#All],[TOTAL Non-Truncated Unadjusted Claims Expenses]], AN_TME_BY[[#All],[Insurance Category Code]],2, AN_TME_BY[[#All],[Advanced Network/Insurance Carrier Org ID]],B109), 2)&gt;=ROUND(SUMIFS(AN_TME_BY[[#All],[TOTAL Truncated Unadjusted Claims Expenses (A21 -A19)]], AN_TME_BY[[#All],[Insurance Category Code]], 2, AN_TME_BY[[#All],[Advanced Network/Insurance Carrier Org ID]],B109),2)</f>
        <v>1</v>
      </c>
      <c r="O109" s="367" t="b">
        <f>ROUND(SUMIFS(AN_TME_BY[[#All],[TOTAL Truncated Unadjusted Claims Expenses (A21 -A19)]], AN_TME_BY[[#All],[Insurance Category Code]],2, AN_TME_BY[[#All],[Advanced Network/Insurance Carrier Org ID]],B109)+SUMIFS(AN_TME_BY[[#All],[Total Claims Excluded because of Truncation]], AN_TME_BY[[#All],[Insurance Category Code]],2, AN_TME_BY[[#All],[Advanced Network/Insurance Carrier Org ID]],B109),2)=ROUND(SUMIFS(AN_TME_BY[[#All],[TOTAL Non-Truncated Unadjusted Claims Expenses]], AN_TME_BY[[#All],[Insurance Category Code]],2, AN_TME_BY[[#All],[Advanced Network/Insurance Carrier Org ID]],B109), 2)</f>
        <v>1</v>
      </c>
      <c r="R109" s="184">
        <v>119</v>
      </c>
      <c r="S109" s="204">
        <f>ROUND(SUMIFS(Age_Sex_PY[[#All],[Total Member Months by Age/Sex Band]], Age_Sex_PY[[#All],[Advanced Network ID]], $R109, Age_Sex_PY[[#All],[Insurance Category Code]],2), 2)</f>
        <v>0</v>
      </c>
      <c r="T109" s="202">
        <f>ROUND(SUMIFS(Age_Sex_PY[[#All],[Total Dollars Excluded from Spending After Applying Truncation at the Member Level]], Age_Sex_PY[[#All],[Advanced Network ID]], $R109, Age_Sex_PY[[#All],[Insurance Category Code]],2), 2)</f>
        <v>0</v>
      </c>
      <c r="U109" s="189">
        <f>ROUND(SUMIFS(Age_Sex_PY[[#All],[Count of Members whose Spending was Truncated]], Age_Sex_PY[[#All],[Advanced Network ID]], $R109, Age_Sex_PY[[#All],[Insurance Category Code]],2),2)</f>
        <v>0</v>
      </c>
      <c r="V109" s="202">
        <f>ROUND(SUMIFS(Age_Sex_PY[[#All],[Total Spending before Truncation is Applied]], Age_Sex_PY[[#All],[Advanced Network ID]], $R109, Age_Sex_PY[[#All],[Insurance Category Code]],2), 2)</f>
        <v>0</v>
      </c>
      <c r="W109" s="203">
        <f>ROUND(SUMIFS(Age_Sex_PY[[#All],[Total Spending After Applying Truncation at the Member Level]], Age_Sex_PY[[#All],[Advanced Network ID]], $R109, Age_Sex_PY[[#All],[Insurance Category Code]],2), 2)</f>
        <v>0</v>
      </c>
      <c r="X109" s="362" t="str">
        <f>IF(ROUND(S109,0)=ROUND(SUMIFS(AN_TME_PY[[#All],[Member Months]], AN_TME_PY[[#All],[Insurance Category Code]],2, AN_TME_PY[[#All],[Advanced Network/Insurance Carrier Org ID]],R109),0), "TRUE", ROUND(S109-SUMIFS(AN_TME_PY[[#All],[Member Months]], AN_TME_PY[[#All],[Insurance Category Code]],2, AN_TME_PY[[#All],[Advanced Network/Insurance Carrier Org ID]],R109),2))</f>
        <v>TRUE</v>
      </c>
      <c r="Y109" s="365" t="str">
        <f>IF(ROUND(T109,0)=ROUND(SUMIFS(AN_TME_PY[[#All],[Total Claims Excluded because of Truncation]], AN_TME_PY[[#All],[Insurance Category Code]],2, AN_TME_PY[[#All],[Advanced Network/Insurance Carrier Org ID]],R109),0), "TRUE", ROUND(T109-SUMIFS(AN_TME_PY[[#All],[Total Claims Excluded because of Truncation]], AN_TME_PY[[#All],[Insurance Category Code]],2, AN_TME_PY[[#All],[Advanced Network/Insurance Carrier Org ID]],R109),2))</f>
        <v>TRUE</v>
      </c>
      <c r="Z109" s="138" t="str">
        <f>IF(ROUND(U109,0)=ROUND(SUMIFS(AN_TME_PY[[#All],[Count of Members with Claims Truncated]], AN_TME_PY[[#All],[Insurance Category Code]],2, AN_TME_PY[[#All],[Advanced Network/Insurance Carrier Org ID]],R109),0), "TRUE", ROUND(U109-SUMIFS(AN_TME_PY[[#All],[Count of Members with Claims Truncated]], AN_TME_PY[[#All],[Insurance Category Code]],2, AN_TME_PY[[#All],[Advanced Network/Insurance Carrier Org ID]],R109),2))</f>
        <v>TRUE</v>
      </c>
      <c r="AA109" s="365" t="str">
        <f>IF(ROUND(V109,0)=ROUND(SUMIFS(AN_TME_PY[[#All],[TOTAL Non-Truncated Unadjusted Claims Expenses]], AN_TME_PY[[#All],[Insurance Category Code]],2, AN_TME_PY[[#All],[Advanced Network/Insurance Carrier Org ID]],R109),0), "TRUE", ROUND(V109-SUMIFS(AN_TME_PY[[#All],[TOTAL Non-Truncated Unadjusted Claims Expenses]], AN_TME_PY[[#All],[Insurance Category Code]],2, AN_TME_PY[[#All],[Advanced Network/Insurance Carrier Org ID]],R109),2))</f>
        <v>TRUE</v>
      </c>
      <c r="AB109" s="367" t="str">
        <f>IF(ROUND(W109,0)=ROUND(SUMIFS(AN_TME_PY[[#All],[TOTAL Truncated Unadjusted Claims Expenses (A21 -A19)]], AN_TME_PY[[#All],[Insurance Category Code]],2, AN_TME_PY[[#All],[Advanced Network/Insurance Carrier Org ID]],R109),0), "TRUE", ROUND(W109-SUMIFS(AN_TME_PY[[#All],[TOTAL Truncated Unadjusted Claims Expenses (A21 -A19)]], AN_TME_PY[[#All],[Insurance Category Code]],2, AN_TME_PY[[#All],[Advanced Network/Insurance Carrier Org ID]],R109),2))</f>
        <v>TRUE</v>
      </c>
      <c r="AC109" s="362" t="str">
        <f t="shared" si="6"/>
        <v>TRUE</v>
      </c>
      <c r="AD109" s="365" t="b">
        <f>ROUND(SUMIFS(AN_TME_PY[[#All],[TOTAL Non-Truncated Unadjusted Claims Expenses]], AN_TME_PY[[#All],[Insurance Category Code]],2, AN_TME_PY[[#All],[Advanced Network/Insurance Carrier Org ID]],R109), 2)&gt;=ROUND(SUMIFS(AN_TME_PY[[#All],[TOTAL Truncated Unadjusted Claims Expenses (A21 -A19)]], AN_TME_PY[[#All],[Insurance Category Code]], 2, AN_TME_PY[[#All],[Advanced Network/Insurance Carrier Org ID]],R109),2)</f>
        <v>1</v>
      </c>
      <c r="AE109" s="367" t="b">
        <f>ROUND(SUMIFS(AN_TME_PY[[#All],[TOTAL Truncated Unadjusted Claims Expenses (A21 -A19)]], AN_TME_PY[[#All],[Insurance Category Code]],2, AN_TME_PY[[#All],[Advanced Network/Insurance Carrier Org ID]],R109)+SUMIFS(AN_TME_PY[[#All],[Total Claims Excluded because of Truncation]], AN_TME_PY[[#All],[Insurance Category Code]],2, AN_TME_PY[[#All],[Advanced Network/Insurance Carrier Org ID]],R109),2)=ROUND(SUMIFS(AN_TME_PY[[#All],[TOTAL Non-Truncated Unadjusted Claims Expenses]], AN_TME_PY[[#All],[Insurance Category Code]],2, AN_TME_PY[[#All],[Advanced Network/Insurance Carrier Org ID]],R109), 2)</f>
        <v>1</v>
      </c>
      <c r="AH109" s="213" t="str">
        <f t="shared" si="7"/>
        <v>NA</v>
      </c>
    </row>
    <row r="110" spans="2:34" x14ac:dyDescent="0.25">
      <c r="B110" s="184">
        <v>120</v>
      </c>
      <c r="C110" s="204">
        <f>ROUND(SUMIFS(Age_Sex_BY[[#All],[Total Member Months by Age/Sex Band]], Age_Sex_BY[[#All],[Advanced Network ID]], $B110, Age_Sex_BY[[#All],[Insurance Category Code]],2), 2)</f>
        <v>0</v>
      </c>
      <c r="D110" s="202">
        <f>ROUND(SUMIFS(Age_Sex_BY[[#All],[Total Dollars Excluded from Spending After Applying Truncation at the Member Level]], Age_Sex_BY[[#All],[Advanced Network ID]], $B110, Age_Sex_BY[[#All],[Insurance Category Code]],2), 2)</f>
        <v>0</v>
      </c>
      <c r="E110" s="189">
        <f>ROUND(SUMIFS(Age_Sex_BY[[#All],[Count of Members whose Spending was Truncated]], Age_Sex_BY[[#All],[Advanced Network ID]], $B110, Age_Sex_BY[[#All],[Insurance Category Code]],2),2)</f>
        <v>0</v>
      </c>
      <c r="F110" s="202">
        <f>ROUND(SUMIFS(Age_Sex_BY[[#All],[Total Spending before Truncation is Applied]], Age_Sex_BY[[#All],[Advanced Network ID]], $B110, Age_Sex_BY[[#All],[Insurance Category Code]],2), 2)</f>
        <v>0</v>
      </c>
      <c r="G110" s="203">
        <f>ROUND(SUMIFS(Age_Sex_BY[[#All],[Total Spending After Applying Truncation at the Member Level]], Age_Sex_BY[[#All],[Advanced Network ID]], $B110, Age_Sex_BY[[#All],[Insurance Category Code]],2), 2)</f>
        <v>0</v>
      </c>
      <c r="H110" s="362" t="str">
        <f>IF(ROUND(C110,0)=ROUND(SUMIFS(AN_TME_BY[[#All],[Member Months]], AN_TME_BY[[#All],[Insurance Category Code]],2, AN_TME_BY[[#All],[Advanced Network/Insurance Carrier Org ID]],B110),0), "TRUE", ROUND(C110-SUMIFS(AN_TME_BY[[#All],[Member Months]], AN_TME_BY[[#All],[Insurance Category Code]],2, AN_TME_BY[[#All],[Advanced Network/Insurance Carrier Org ID]],B110),2))</f>
        <v>TRUE</v>
      </c>
      <c r="I110" s="365" t="str">
        <f>IF(ROUND(D110,0)=ROUND(SUMIFS(AN_TME_BY[[#All],[Total Claims Excluded because of Truncation]], AN_TME_BY[[#All],[Insurance Category Code]],2, AN_TME_BY[[#All],[Advanced Network/Insurance Carrier Org ID]],B110),0), "TRUE", ROUND(D110-SUMIFS(AN_TME_BY[[#All],[Total Claims Excluded because of Truncation]], AN_TME_BY[[#All],[Insurance Category Code]],2, AN_TME_BY[[#All],[Advanced Network/Insurance Carrier Org ID]],B110),2))</f>
        <v>TRUE</v>
      </c>
      <c r="J110" s="138" t="str">
        <f>IF(ROUND(E110,0)=ROUND(SUMIFS(AN_TME_BY[[#All],[Count of Members with Claims Truncated]], AN_TME_BY[[#All],[Insurance Category Code]],2, AN_TME_BY[[#All],[Advanced Network/Insurance Carrier Org ID]],B110),0), "TRUE", ROUND(E110-SUMIFS(AN_TME_BY[[#All],[Count of Members with Claims Truncated]], AN_TME_BY[[#All],[Insurance Category Code]],2, AN_TME_BY[[#All],[Advanced Network/Insurance Carrier Org ID]],B110),2))</f>
        <v>TRUE</v>
      </c>
      <c r="K110" s="365" t="str">
        <f>IF(ROUND(F110,0)=ROUND(SUMIFS(AN_TME_BY[[#All],[TOTAL Non-Truncated Unadjusted Claims Expenses]], AN_TME_BY[[#All],[Insurance Category Code]],2, AN_TME_BY[[#All],[Advanced Network/Insurance Carrier Org ID]],B110),0), "TRUE", ROUND(F110-SUMIFS(AN_TME_BY[[#All],[TOTAL Non-Truncated Unadjusted Claims Expenses]], AN_TME_BY[[#All],[Insurance Category Code]],2, AN_TME_BY[[#All],[Advanced Network/Insurance Carrier Org ID]],B110),2))</f>
        <v>TRUE</v>
      </c>
      <c r="L110" s="367" t="str">
        <f>IF(ROUND(G110,0)=ROUND(SUMIFS(AN_TME_BY[[#All],[TOTAL Truncated Unadjusted Claims Expenses (A21 -A19)]], AN_TME_BY[[#All],[Insurance Category Code]],2, AN_TME_BY[[#All],[Advanced Network/Insurance Carrier Org ID]],B110),0), "TRUE", ROUND(G110-SUMIFS(AN_TME_BY[[#All],[TOTAL Truncated Unadjusted Claims Expenses (A21 -A19)]], AN_TME_BY[[#All],[Insurance Category Code]],2, AN_TME_BY[[#All],[Advanced Network/Insurance Carrier Org ID]],B110),2))</f>
        <v>TRUE</v>
      </c>
      <c r="M110" s="362" t="str">
        <f t="shared" si="5"/>
        <v>TRUE</v>
      </c>
      <c r="N110" s="365" t="b">
        <f>ROUND(SUMIFS(AN_TME_BY[[#All],[TOTAL Non-Truncated Unadjusted Claims Expenses]], AN_TME_BY[[#All],[Insurance Category Code]],2, AN_TME_BY[[#All],[Advanced Network/Insurance Carrier Org ID]],B110), 2)&gt;=ROUND(SUMIFS(AN_TME_BY[[#All],[TOTAL Truncated Unadjusted Claims Expenses (A21 -A19)]], AN_TME_BY[[#All],[Insurance Category Code]], 2, AN_TME_BY[[#All],[Advanced Network/Insurance Carrier Org ID]],B110),2)</f>
        <v>1</v>
      </c>
      <c r="O110" s="367" t="b">
        <f>ROUND(SUMIFS(AN_TME_BY[[#All],[TOTAL Truncated Unadjusted Claims Expenses (A21 -A19)]], AN_TME_BY[[#All],[Insurance Category Code]],2, AN_TME_BY[[#All],[Advanced Network/Insurance Carrier Org ID]],B110)+SUMIFS(AN_TME_BY[[#All],[Total Claims Excluded because of Truncation]], AN_TME_BY[[#All],[Insurance Category Code]],2, AN_TME_BY[[#All],[Advanced Network/Insurance Carrier Org ID]],B110),2)=ROUND(SUMIFS(AN_TME_BY[[#All],[TOTAL Non-Truncated Unadjusted Claims Expenses]], AN_TME_BY[[#All],[Insurance Category Code]],2, AN_TME_BY[[#All],[Advanced Network/Insurance Carrier Org ID]],B110), 2)</f>
        <v>1</v>
      </c>
      <c r="R110" s="184">
        <v>120</v>
      </c>
      <c r="S110" s="204">
        <f>ROUND(SUMIFS(Age_Sex_PY[[#All],[Total Member Months by Age/Sex Band]], Age_Sex_PY[[#All],[Advanced Network ID]], $R110, Age_Sex_PY[[#All],[Insurance Category Code]],2), 2)</f>
        <v>0</v>
      </c>
      <c r="T110" s="202">
        <f>ROUND(SUMIFS(Age_Sex_PY[[#All],[Total Dollars Excluded from Spending After Applying Truncation at the Member Level]], Age_Sex_PY[[#All],[Advanced Network ID]], $R110, Age_Sex_PY[[#All],[Insurance Category Code]],2), 2)</f>
        <v>0</v>
      </c>
      <c r="U110" s="189">
        <f>ROUND(SUMIFS(Age_Sex_PY[[#All],[Count of Members whose Spending was Truncated]], Age_Sex_PY[[#All],[Advanced Network ID]], $R110, Age_Sex_PY[[#All],[Insurance Category Code]],2),2)</f>
        <v>0</v>
      </c>
      <c r="V110" s="202">
        <f>ROUND(SUMIFS(Age_Sex_PY[[#All],[Total Spending before Truncation is Applied]], Age_Sex_PY[[#All],[Advanced Network ID]], $R110, Age_Sex_PY[[#All],[Insurance Category Code]],2), 2)</f>
        <v>0</v>
      </c>
      <c r="W110" s="203">
        <f>ROUND(SUMIFS(Age_Sex_PY[[#All],[Total Spending After Applying Truncation at the Member Level]], Age_Sex_PY[[#All],[Advanced Network ID]], $R110, Age_Sex_PY[[#All],[Insurance Category Code]],2), 2)</f>
        <v>0</v>
      </c>
      <c r="X110" s="362" t="str">
        <f>IF(ROUND(S110,0)=ROUND(SUMIFS(AN_TME_PY[[#All],[Member Months]], AN_TME_PY[[#All],[Insurance Category Code]],2, AN_TME_PY[[#All],[Advanced Network/Insurance Carrier Org ID]],R110),0), "TRUE", ROUND(S110-SUMIFS(AN_TME_PY[[#All],[Member Months]], AN_TME_PY[[#All],[Insurance Category Code]],2, AN_TME_PY[[#All],[Advanced Network/Insurance Carrier Org ID]],R110),2))</f>
        <v>TRUE</v>
      </c>
      <c r="Y110" s="365" t="str">
        <f>IF(ROUND(T110,0)=ROUND(SUMIFS(AN_TME_PY[[#All],[Total Claims Excluded because of Truncation]], AN_TME_PY[[#All],[Insurance Category Code]],2, AN_TME_PY[[#All],[Advanced Network/Insurance Carrier Org ID]],R110),0), "TRUE", ROUND(T110-SUMIFS(AN_TME_PY[[#All],[Total Claims Excluded because of Truncation]], AN_TME_PY[[#All],[Insurance Category Code]],2, AN_TME_PY[[#All],[Advanced Network/Insurance Carrier Org ID]],R110),2))</f>
        <v>TRUE</v>
      </c>
      <c r="Z110" s="138" t="str">
        <f>IF(ROUND(U110,0)=ROUND(SUMIFS(AN_TME_PY[[#All],[Count of Members with Claims Truncated]], AN_TME_PY[[#All],[Insurance Category Code]],2, AN_TME_PY[[#All],[Advanced Network/Insurance Carrier Org ID]],R110),0), "TRUE", ROUND(U110-SUMIFS(AN_TME_PY[[#All],[Count of Members with Claims Truncated]], AN_TME_PY[[#All],[Insurance Category Code]],2, AN_TME_PY[[#All],[Advanced Network/Insurance Carrier Org ID]],R110),2))</f>
        <v>TRUE</v>
      </c>
      <c r="AA110" s="365" t="str">
        <f>IF(ROUND(V110,0)=ROUND(SUMIFS(AN_TME_PY[[#All],[TOTAL Non-Truncated Unadjusted Claims Expenses]], AN_TME_PY[[#All],[Insurance Category Code]],2, AN_TME_PY[[#All],[Advanced Network/Insurance Carrier Org ID]],R110),0), "TRUE", ROUND(V110-SUMIFS(AN_TME_PY[[#All],[TOTAL Non-Truncated Unadjusted Claims Expenses]], AN_TME_PY[[#All],[Insurance Category Code]],2, AN_TME_PY[[#All],[Advanced Network/Insurance Carrier Org ID]],R110),2))</f>
        <v>TRUE</v>
      </c>
      <c r="AB110" s="367" t="str">
        <f>IF(ROUND(W110,0)=ROUND(SUMIFS(AN_TME_PY[[#All],[TOTAL Truncated Unadjusted Claims Expenses (A21 -A19)]], AN_TME_PY[[#All],[Insurance Category Code]],2, AN_TME_PY[[#All],[Advanced Network/Insurance Carrier Org ID]],R110),0), "TRUE", ROUND(W110-SUMIFS(AN_TME_PY[[#All],[TOTAL Truncated Unadjusted Claims Expenses (A21 -A19)]], AN_TME_PY[[#All],[Insurance Category Code]],2, AN_TME_PY[[#All],[Advanced Network/Insurance Carrier Org ID]],R110),2))</f>
        <v>TRUE</v>
      </c>
      <c r="AC110" s="362" t="str">
        <f t="shared" si="6"/>
        <v>TRUE</v>
      </c>
      <c r="AD110" s="365" t="b">
        <f>ROUND(SUMIFS(AN_TME_PY[[#All],[TOTAL Non-Truncated Unadjusted Claims Expenses]], AN_TME_PY[[#All],[Insurance Category Code]],2, AN_TME_PY[[#All],[Advanced Network/Insurance Carrier Org ID]],R110), 2)&gt;=ROUND(SUMIFS(AN_TME_PY[[#All],[TOTAL Truncated Unadjusted Claims Expenses (A21 -A19)]], AN_TME_PY[[#All],[Insurance Category Code]], 2, AN_TME_PY[[#All],[Advanced Network/Insurance Carrier Org ID]],R110),2)</f>
        <v>1</v>
      </c>
      <c r="AE110" s="367" t="b">
        <f>ROUND(SUMIFS(AN_TME_PY[[#All],[TOTAL Truncated Unadjusted Claims Expenses (A21 -A19)]], AN_TME_PY[[#All],[Insurance Category Code]],2, AN_TME_PY[[#All],[Advanced Network/Insurance Carrier Org ID]],R110)+SUMIFS(AN_TME_PY[[#All],[Total Claims Excluded because of Truncation]], AN_TME_PY[[#All],[Insurance Category Code]],2, AN_TME_PY[[#All],[Advanced Network/Insurance Carrier Org ID]],R110),2)=ROUND(SUMIFS(AN_TME_PY[[#All],[TOTAL Non-Truncated Unadjusted Claims Expenses]], AN_TME_PY[[#All],[Insurance Category Code]],2, AN_TME_PY[[#All],[Advanced Network/Insurance Carrier Org ID]],R110), 2)</f>
        <v>1</v>
      </c>
      <c r="AH110" s="213" t="str">
        <f t="shared" si="7"/>
        <v>NA</v>
      </c>
    </row>
    <row r="111" spans="2:34" x14ac:dyDescent="0.25">
      <c r="B111" s="184">
        <v>121</v>
      </c>
      <c r="C111" s="204">
        <f>ROUND(SUMIFS(Age_Sex_BY[[#All],[Total Member Months by Age/Sex Band]], Age_Sex_BY[[#All],[Advanced Network ID]], $B111, Age_Sex_BY[[#All],[Insurance Category Code]],2), 2)</f>
        <v>0</v>
      </c>
      <c r="D111" s="202">
        <f>ROUND(SUMIFS(Age_Sex_BY[[#All],[Total Dollars Excluded from Spending After Applying Truncation at the Member Level]], Age_Sex_BY[[#All],[Advanced Network ID]], $B111, Age_Sex_BY[[#All],[Insurance Category Code]],2), 2)</f>
        <v>0</v>
      </c>
      <c r="E111" s="189">
        <f>ROUND(SUMIFS(Age_Sex_BY[[#All],[Count of Members whose Spending was Truncated]], Age_Sex_BY[[#All],[Advanced Network ID]], $B111, Age_Sex_BY[[#All],[Insurance Category Code]],2),2)</f>
        <v>0</v>
      </c>
      <c r="F111" s="202">
        <f>ROUND(SUMIFS(Age_Sex_BY[[#All],[Total Spending before Truncation is Applied]], Age_Sex_BY[[#All],[Advanced Network ID]], $B111, Age_Sex_BY[[#All],[Insurance Category Code]],2), 2)</f>
        <v>0</v>
      </c>
      <c r="G111" s="203">
        <f>ROUND(SUMIFS(Age_Sex_BY[[#All],[Total Spending After Applying Truncation at the Member Level]], Age_Sex_BY[[#All],[Advanced Network ID]], $B111, Age_Sex_BY[[#All],[Insurance Category Code]],2), 2)</f>
        <v>0</v>
      </c>
      <c r="H111" s="362" t="str">
        <f>IF(ROUND(C111,0)=ROUND(SUMIFS(AN_TME_BY[[#All],[Member Months]], AN_TME_BY[[#All],[Insurance Category Code]],2, AN_TME_BY[[#All],[Advanced Network/Insurance Carrier Org ID]],B111),0), "TRUE", ROUND(C111-SUMIFS(AN_TME_BY[[#All],[Member Months]], AN_TME_BY[[#All],[Insurance Category Code]],2, AN_TME_BY[[#All],[Advanced Network/Insurance Carrier Org ID]],B111),2))</f>
        <v>TRUE</v>
      </c>
      <c r="I111" s="365" t="str">
        <f>IF(ROUND(D111,0)=ROUND(SUMIFS(AN_TME_BY[[#All],[Total Claims Excluded because of Truncation]], AN_TME_BY[[#All],[Insurance Category Code]],2, AN_TME_BY[[#All],[Advanced Network/Insurance Carrier Org ID]],B111),0), "TRUE", ROUND(D111-SUMIFS(AN_TME_BY[[#All],[Total Claims Excluded because of Truncation]], AN_TME_BY[[#All],[Insurance Category Code]],2, AN_TME_BY[[#All],[Advanced Network/Insurance Carrier Org ID]],B111),2))</f>
        <v>TRUE</v>
      </c>
      <c r="J111" s="138" t="str">
        <f>IF(ROUND(E111,0)=ROUND(SUMIFS(AN_TME_BY[[#All],[Count of Members with Claims Truncated]], AN_TME_BY[[#All],[Insurance Category Code]],2, AN_TME_BY[[#All],[Advanced Network/Insurance Carrier Org ID]],B111),0), "TRUE", ROUND(E111-SUMIFS(AN_TME_BY[[#All],[Count of Members with Claims Truncated]], AN_TME_BY[[#All],[Insurance Category Code]],2, AN_TME_BY[[#All],[Advanced Network/Insurance Carrier Org ID]],B111),2))</f>
        <v>TRUE</v>
      </c>
      <c r="K111" s="365" t="str">
        <f>IF(ROUND(F111,0)=ROUND(SUMIFS(AN_TME_BY[[#All],[TOTAL Non-Truncated Unadjusted Claims Expenses]], AN_TME_BY[[#All],[Insurance Category Code]],2, AN_TME_BY[[#All],[Advanced Network/Insurance Carrier Org ID]],B111),0), "TRUE", ROUND(F111-SUMIFS(AN_TME_BY[[#All],[TOTAL Non-Truncated Unadjusted Claims Expenses]], AN_TME_BY[[#All],[Insurance Category Code]],2, AN_TME_BY[[#All],[Advanced Network/Insurance Carrier Org ID]],B111),2))</f>
        <v>TRUE</v>
      </c>
      <c r="L111" s="367" t="str">
        <f>IF(ROUND(G111,0)=ROUND(SUMIFS(AN_TME_BY[[#All],[TOTAL Truncated Unadjusted Claims Expenses (A21 -A19)]], AN_TME_BY[[#All],[Insurance Category Code]],2, AN_TME_BY[[#All],[Advanced Network/Insurance Carrier Org ID]],B111),0), "TRUE", ROUND(G111-SUMIFS(AN_TME_BY[[#All],[TOTAL Truncated Unadjusted Claims Expenses (A21 -A19)]], AN_TME_BY[[#All],[Insurance Category Code]],2, AN_TME_BY[[#All],[Advanced Network/Insurance Carrier Org ID]],B111),2))</f>
        <v>TRUE</v>
      </c>
      <c r="M111" s="362" t="str">
        <f t="shared" si="5"/>
        <v>TRUE</v>
      </c>
      <c r="N111" s="365" t="b">
        <f>ROUND(SUMIFS(AN_TME_BY[[#All],[TOTAL Non-Truncated Unadjusted Claims Expenses]], AN_TME_BY[[#All],[Insurance Category Code]],2, AN_TME_BY[[#All],[Advanced Network/Insurance Carrier Org ID]],B111), 2)&gt;=ROUND(SUMIFS(AN_TME_BY[[#All],[TOTAL Truncated Unadjusted Claims Expenses (A21 -A19)]], AN_TME_BY[[#All],[Insurance Category Code]], 2, AN_TME_BY[[#All],[Advanced Network/Insurance Carrier Org ID]],B111),2)</f>
        <v>1</v>
      </c>
      <c r="O111" s="367" t="b">
        <f>ROUND(SUMIFS(AN_TME_BY[[#All],[TOTAL Truncated Unadjusted Claims Expenses (A21 -A19)]], AN_TME_BY[[#All],[Insurance Category Code]],2, AN_TME_BY[[#All],[Advanced Network/Insurance Carrier Org ID]],B111)+SUMIFS(AN_TME_BY[[#All],[Total Claims Excluded because of Truncation]], AN_TME_BY[[#All],[Insurance Category Code]],2, AN_TME_BY[[#All],[Advanced Network/Insurance Carrier Org ID]],B111),2)=ROUND(SUMIFS(AN_TME_BY[[#All],[TOTAL Non-Truncated Unadjusted Claims Expenses]], AN_TME_BY[[#All],[Insurance Category Code]],2, AN_TME_BY[[#All],[Advanced Network/Insurance Carrier Org ID]],B111), 2)</f>
        <v>1</v>
      </c>
      <c r="R111" s="184">
        <v>121</v>
      </c>
      <c r="S111" s="204">
        <f>ROUND(SUMIFS(Age_Sex_PY[[#All],[Total Member Months by Age/Sex Band]], Age_Sex_PY[[#All],[Advanced Network ID]], $R111, Age_Sex_PY[[#All],[Insurance Category Code]],2), 2)</f>
        <v>0</v>
      </c>
      <c r="T111" s="202">
        <f>ROUND(SUMIFS(Age_Sex_PY[[#All],[Total Dollars Excluded from Spending After Applying Truncation at the Member Level]], Age_Sex_PY[[#All],[Advanced Network ID]], $R111, Age_Sex_PY[[#All],[Insurance Category Code]],2), 2)</f>
        <v>0</v>
      </c>
      <c r="U111" s="189">
        <f>ROUND(SUMIFS(Age_Sex_PY[[#All],[Count of Members whose Spending was Truncated]], Age_Sex_PY[[#All],[Advanced Network ID]], $R111, Age_Sex_PY[[#All],[Insurance Category Code]],2),2)</f>
        <v>0</v>
      </c>
      <c r="V111" s="202">
        <f>ROUND(SUMIFS(Age_Sex_PY[[#All],[Total Spending before Truncation is Applied]], Age_Sex_PY[[#All],[Advanced Network ID]], $R111, Age_Sex_PY[[#All],[Insurance Category Code]],2), 2)</f>
        <v>0</v>
      </c>
      <c r="W111" s="203">
        <f>ROUND(SUMIFS(Age_Sex_PY[[#All],[Total Spending After Applying Truncation at the Member Level]], Age_Sex_PY[[#All],[Advanced Network ID]], $R111, Age_Sex_PY[[#All],[Insurance Category Code]],2), 2)</f>
        <v>0</v>
      </c>
      <c r="X111" s="362" t="str">
        <f>IF(ROUND(S111,0)=ROUND(SUMIFS(AN_TME_PY[[#All],[Member Months]], AN_TME_PY[[#All],[Insurance Category Code]],2, AN_TME_PY[[#All],[Advanced Network/Insurance Carrier Org ID]],R111),0), "TRUE", ROUND(S111-SUMIFS(AN_TME_PY[[#All],[Member Months]], AN_TME_PY[[#All],[Insurance Category Code]],2, AN_TME_PY[[#All],[Advanced Network/Insurance Carrier Org ID]],R111),2))</f>
        <v>TRUE</v>
      </c>
      <c r="Y111" s="365" t="str">
        <f>IF(ROUND(T111,0)=ROUND(SUMIFS(AN_TME_PY[[#All],[Total Claims Excluded because of Truncation]], AN_TME_PY[[#All],[Insurance Category Code]],2, AN_TME_PY[[#All],[Advanced Network/Insurance Carrier Org ID]],R111),0), "TRUE", ROUND(T111-SUMIFS(AN_TME_PY[[#All],[Total Claims Excluded because of Truncation]], AN_TME_PY[[#All],[Insurance Category Code]],2, AN_TME_PY[[#All],[Advanced Network/Insurance Carrier Org ID]],R111),2))</f>
        <v>TRUE</v>
      </c>
      <c r="Z111" s="138" t="str">
        <f>IF(ROUND(U111,0)=ROUND(SUMIFS(AN_TME_PY[[#All],[Count of Members with Claims Truncated]], AN_TME_PY[[#All],[Insurance Category Code]],2, AN_TME_PY[[#All],[Advanced Network/Insurance Carrier Org ID]],R111),0), "TRUE", ROUND(U111-SUMIFS(AN_TME_PY[[#All],[Count of Members with Claims Truncated]], AN_TME_PY[[#All],[Insurance Category Code]],2, AN_TME_PY[[#All],[Advanced Network/Insurance Carrier Org ID]],R111),2))</f>
        <v>TRUE</v>
      </c>
      <c r="AA111" s="365" t="str">
        <f>IF(ROUND(V111,0)=ROUND(SUMIFS(AN_TME_PY[[#All],[TOTAL Non-Truncated Unadjusted Claims Expenses]], AN_TME_PY[[#All],[Insurance Category Code]],2, AN_TME_PY[[#All],[Advanced Network/Insurance Carrier Org ID]],R111),0), "TRUE", ROUND(V111-SUMIFS(AN_TME_PY[[#All],[TOTAL Non-Truncated Unadjusted Claims Expenses]], AN_TME_PY[[#All],[Insurance Category Code]],2, AN_TME_PY[[#All],[Advanced Network/Insurance Carrier Org ID]],R111),2))</f>
        <v>TRUE</v>
      </c>
      <c r="AB111" s="367" t="str">
        <f>IF(ROUND(W111,0)=ROUND(SUMIFS(AN_TME_PY[[#All],[TOTAL Truncated Unadjusted Claims Expenses (A21 -A19)]], AN_TME_PY[[#All],[Insurance Category Code]],2, AN_TME_PY[[#All],[Advanced Network/Insurance Carrier Org ID]],R111),0), "TRUE", ROUND(W111-SUMIFS(AN_TME_PY[[#All],[TOTAL Truncated Unadjusted Claims Expenses (A21 -A19)]], AN_TME_PY[[#All],[Insurance Category Code]],2, AN_TME_PY[[#All],[Advanced Network/Insurance Carrier Org ID]],R111),2))</f>
        <v>TRUE</v>
      </c>
      <c r="AC111" s="362" t="str">
        <f t="shared" si="6"/>
        <v>TRUE</v>
      </c>
      <c r="AD111" s="365" t="b">
        <f>ROUND(SUMIFS(AN_TME_PY[[#All],[TOTAL Non-Truncated Unadjusted Claims Expenses]], AN_TME_PY[[#All],[Insurance Category Code]],2, AN_TME_PY[[#All],[Advanced Network/Insurance Carrier Org ID]],R111), 2)&gt;=ROUND(SUMIFS(AN_TME_PY[[#All],[TOTAL Truncated Unadjusted Claims Expenses (A21 -A19)]], AN_TME_PY[[#All],[Insurance Category Code]], 2, AN_TME_PY[[#All],[Advanced Network/Insurance Carrier Org ID]],R111),2)</f>
        <v>1</v>
      </c>
      <c r="AE111" s="367" t="b">
        <f>ROUND(SUMIFS(AN_TME_PY[[#All],[TOTAL Truncated Unadjusted Claims Expenses (A21 -A19)]], AN_TME_PY[[#All],[Insurance Category Code]],2, AN_TME_PY[[#All],[Advanced Network/Insurance Carrier Org ID]],R111)+SUMIFS(AN_TME_PY[[#All],[Total Claims Excluded because of Truncation]], AN_TME_PY[[#All],[Insurance Category Code]],2, AN_TME_PY[[#All],[Advanced Network/Insurance Carrier Org ID]],R111),2)=ROUND(SUMIFS(AN_TME_PY[[#All],[TOTAL Non-Truncated Unadjusted Claims Expenses]], AN_TME_PY[[#All],[Insurance Category Code]],2, AN_TME_PY[[#All],[Advanced Network/Insurance Carrier Org ID]],R111), 2)</f>
        <v>1</v>
      </c>
      <c r="AH111" s="213" t="str">
        <f t="shared" si="7"/>
        <v>NA</v>
      </c>
    </row>
    <row r="112" spans="2:34" x14ac:dyDescent="0.25">
      <c r="B112" s="184">
        <v>122</v>
      </c>
      <c r="C112" s="204">
        <f>ROUND(SUMIFS(Age_Sex_BY[[#All],[Total Member Months by Age/Sex Band]], Age_Sex_BY[[#All],[Advanced Network ID]], $B112, Age_Sex_BY[[#All],[Insurance Category Code]],2), 2)</f>
        <v>0</v>
      </c>
      <c r="D112" s="202">
        <f>ROUND(SUMIFS(Age_Sex_BY[[#All],[Total Dollars Excluded from Spending After Applying Truncation at the Member Level]], Age_Sex_BY[[#All],[Advanced Network ID]], $B112, Age_Sex_BY[[#All],[Insurance Category Code]],2), 2)</f>
        <v>0</v>
      </c>
      <c r="E112" s="189">
        <f>ROUND(SUMIFS(Age_Sex_BY[[#All],[Count of Members whose Spending was Truncated]], Age_Sex_BY[[#All],[Advanced Network ID]], $B112, Age_Sex_BY[[#All],[Insurance Category Code]],2),2)</f>
        <v>0</v>
      </c>
      <c r="F112" s="202">
        <f>ROUND(SUMIFS(Age_Sex_BY[[#All],[Total Spending before Truncation is Applied]], Age_Sex_BY[[#All],[Advanced Network ID]], $B112, Age_Sex_BY[[#All],[Insurance Category Code]],2), 2)</f>
        <v>0</v>
      </c>
      <c r="G112" s="203">
        <f>ROUND(SUMIFS(Age_Sex_BY[[#All],[Total Spending After Applying Truncation at the Member Level]], Age_Sex_BY[[#All],[Advanced Network ID]], $B112, Age_Sex_BY[[#All],[Insurance Category Code]],2), 2)</f>
        <v>0</v>
      </c>
      <c r="H112" s="362" t="str">
        <f>IF(ROUND(C112,0)=ROUND(SUMIFS(AN_TME_BY[[#All],[Member Months]], AN_TME_BY[[#All],[Insurance Category Code]],2, AN_TME_BY[[#All],[Advanced Network/Insurance Carrier Org ID]],B112),0), "TRUE", ROUND(C112-SUMIFS(AN_TME_BY[[#All],[Member Months]], AN_TME_BY[[#All],[Insurance Category Code]],2, AN_TME_BY[[#All],[Advanced Network/Insurance Carrier Org ID]],B112),2))</f>
        <v>TRUE</v>
      </c>
      <c r="I112" s="365" t="str">
        <f>IF(ROUND(D112,0)=ROUND(SUMIFS(AN_TME_BY[[#All],[Total Claims Excluded because of Truncation]], AN_TME_BY[[#All],[Insurance Category Code]],2, AN_TME_BY[[#All],[Advanced Network/Insurance Carrier Org ID]],B112),0), "TRUE", ROUND(D112-SUMIFS(AN_TME_BY[[#All],[Total Claims Excluded because of Truncation]], AN_TME_BY[[#All],[Insurance Category Code]],2, AN_TME_BY[[#All],[Advanced Network/Insurance Carrier Org ID]],B112),2))</f>
        <v>TRUE</v>
      </c>
      <c r="J112" s="138" t="str">
        <f>IF(ROUND(E112,0)=ROUND(SUMIFS(AN_TME_BY[[#All],[Count of Members with Claims Truncated]], AN_TME_BY[[#All],[Insurance Category Code]],2, AN_TME_BY[[#All],[Advanced Network/Insurance Carrier Org ID]],B112),0), "TRUE", ROUND(E112-SUMIFS(AN_TME_BY[[#All],[Count of Members with Claims Truncated]], AN_TME_BY[[#All],[Insurance Category Code]],2, AN_TME_BY[[#All],[Advanced Network/Insurance Carrier Org ID]],B112),2))</f>
        <v>TRUE</v>
      </c>
      <c r="K112" s="365" t="str">
        <f>IF(ROUND(F112,0)=ROUND(SUMIFS(AN_TME_BY[[#All],[TOTAL Non-Truncated Unadjusted Claims Expenses]], AN_TME_BY[[#All],[Insurance Category Code]],2, AN_TME_BY[[#All],[Advanced Network/Insurance Carrier Org ID]],B112),0), "TRUE", ROUND(F112-SUMIFS(AN_TME_BY[[#All],[TOTAL Non-Truncated Unadjusted Claims Expenses]], AN_TME_BY[[#All],[Insurance Category Code]],2, AN_TME_BY[[#All],[Advanced Network/Insurance Carrier Org ID]],B112),2))</f>
        <v>TRUE</v>
      </c>
      <c r="L112" s="367" t="str">
        <f>IF(ROUND(G112,0)=ROUND(SUMIFS(AN_TME_BY[[#All],[TOTAL Truncated Unadjusted Claims Expenses (A21 -A19)]], AN_TME_BY[[#All],[Insurance Category Code]],2, AN_TME_BY[[#All],[Advanced Network/Insurance Carrier Org ID]],B112),0), "TRUE", ROUND(G112-SUMIFS(AN_TME_BY[[#All],[TOTAL Truncated Unadjusted Claims Expenses (A21 -A19)]], AN_TME_BY[[#All],[Insurance Category Code]],2, AN_TME_BY[[#All],[Advanced Network/Insurance Carrier Org ID]],B112),2))</f>
        <v>TRUE</v>
      </c>
      <c r="M112" s="362" t="str">
        <f t="shared" si="5"/>
        <v>TRUE</v>
      </c>
      <c r="N112" s="365" t="b">
        <f>ROUND(SUMIFS(AN_TME_BY[[#All],[TOTAL Non-Truncated Unadjusted Claims Expenses]], AN_TME_BY[[#All],[Insurance Category Code]],2, AN_TME_BY[[#All],[Advanced Network/Insurance Carrier Org ID]],B112), 2)&gt;=ROUND(SUMIFS(AN_TME_BY[[#All],[TOTAL Truncated Unadjusted Claims Expenses (A21 -A19)]], AN_TME_BY[[#All],[Insurance Category Code]], 2, AN_TME_BY[[#All],[Advanced Network/Insurance Carrier Org ID]],B112),2)</f>
        <v>1</v>
      </c>
      <c r="O112" s="367" t="b">
        <f>ROUND(SUMIFS(AN_TME_BY[[#All],[TOTAL Truncated Unadjusted Claims Expenses (A21 -A19)]], AN_TME_BY[[#All],[Insurance Category Code]],2, AN_TME_BY[[#All],[Advanced Network/Insurance Carrier Org ID]],B112)+SUMIFS(AN_TME_BY[[#All],[Total Claims Excluded because of Truncation]], AN_TME_BY[[#All],[Insurance Category Code]],2, AN_TME_BY[[#All],[Advanced Network/Insurance Carrier Org ID]],B112),2)=ROUND(SUMIFS(AN_TME_BY[[#All],[TOTAL Non-Truncated Unadjusted Claims Expenses]], AN_TME_BY[[#All],[Insurance Category Code]],2, AN_TME_BY[[#All],[Advanced Network/Insurance Carrier Org ID]],B112), 2)</f>
        <v>1</v>
      </c>
      <c r="R112" s="184">
        <v>122</v>
      </c>
      <c r="S112" s="204">
        <f>ROUND(SUMIFS(Age_Sex_PY[[#All],[Total Member Months by Age/Sex Band]], Age_Sex_PY[[#All],[Advanced Network ID]], $R112, Age_Sex_PY[[#All],[Insurance Category Code]],2), 2)</f>
        <v>0</v>
      </c>
      <c r="T112" s="202">
        <f>ROUND(SUMIFS(Age_Sex_PY[[#All],[Total Dollars Excluded from Spending After Applying Truncation at the Member Level]], Age_Sex_PY[[#All],[Advanced Network ID]], $R112, Age_Sex_PY[[#All],[Insurance Category Code]],2), 2)</f>
        <v>0</v>
      </c>
      <c r="U112" s="189">
        <f>ROUND(SUMIFS(Age_Sex_PY[[#All],[Count of Members whose Spending was Truncated]], Age_Sex_PY[[#All],[Advanced Network ID]], $R112, Age_Sex_PY[[#All],[Insurance Category Code]],2),2)</f>
        <v>0</v>
      </c>
      <c r="V112" s="202">
        <f>ROUND(SUMIFS(Age_Sex_PY[[#All],[Total Spending before Truncation is Applied]], Age_Sex_PY[[#All],[Advanced Network ID]], $R112, Age_Sex_PY[[#All],[Insurance Category Code]],2), 2)</f>
        <v>0</v>
      </c>
      <c r="W112" s="203">
        <f>ROUND(SUMIFS(Age_Sex_PY[[#All],[Total Spending After Applying Truncation at the Member Level]], Age_Sex_PY[[#All],[Advanced Network ID]], $R112, Age_Sex_PY[[#All],[Insurance Category Code]],2), 2)</f>
        <v>0</v>
      </c>
      <c r="X112" s="362" t="str">
        <f>IF(ROUND(S112,0)=ROUND(SUMIFS(AN_TME_PY[[#All],[Member Months]], AN_TME_PY[[#All],[Insurance Category Code]],2, AN_TME_PY[[#All],[Advanced Network/Insurance Carrier Org ID]],R112),0), "TRUE", ROUND(S112-SUMIFS(AN_TME_PY[[#All],[Member Months]], AN_TME_PY[[#All],[Insurance Category Code]],2, AN_TME_PY[[#All],[Advanced Network/Insurance Carrier Org ID]],R112),2))</f>
        <v>TRUE</v>
      </c>
      <c r="Y112" s="365" t="str">
        <f>IF(ROUND(T112,0)=ROUND(SUMIFS(AN_TME_PY[[#All],[Total Claims Excluded because of Truncation]], AN_TME_PY[[#All],[Insurance Category Code]],2, AN_TME_PY[[#All],[Advanced Network/Insurance Carrier Org ID]],R112),0), "TRUE", ROUND(T112-SUMIFS(AN_TME_PY[[#All],[Total Claims Excluded because of Truncation]], AN_TME_PY[[#All],[Insurance Category Code]],2, AN_TME_PY[[#All],[Advanced Network/Insurance Carrier Org ID]],R112),2))</f>
        <v>TRUE</v>
      </c>
      <c r="Z112" s="138" t="str">
        <f>IF(ROUND(U112,0)=ROUND(SUMIFS(AN_TME_PY[[#All],[Count of Members with Claims Truncated]], AN_TME_PY[[#All],[Insurance Category Code]],2, AN_TME_PY[[#All],[Advanced Network/Insurance Carrier Org ID]],R112),0), "TRUE", ROUND(U112-SUMIFS(AN_TME_PY[[#All],[Count of Members with Claims Truncated]], AN_TME_PY[[#All],[Insurance Category Code]],2, AN_TME_PY[[#All],[Advanced Network/Insurance Carrier Org ID]],R112),2))</f>
        <v>TRUE</v>
      </c>
      <c r="AA112" s="365" t="str">
        <f>IF(ROUND(V112,0)=ROUND(SUMIFS(AN_TME_PY[[#All],[TOTAL Non-Truncated Unadjusted Claims Expenses]], AN_TME_PY[[#All],[Insurance Category Code]],2, AN_TME_PY[[#All],[Advanced Network/Insurance Carrier Org ID]],R112),0), "TRUE", ROUND(V112-SUMIFS(AN_TME_PY[[#All],[TOTAL Non-Truncated Unadjusted Claims Expenses]], AN_TME_PY[[#All],[Insurance Category Code]],2, AN_TME_PY[[#All],[Advanced Network/Insurance Carrier Org ID]],R112),2))</f>
        <v>TRUE</v>
      </c>
      <c r="AB112" s="367" t="str">
        <f>IF(ROUND(W112,0)=ROUND(SUMIFS(AN_TME_PY[[#All],[TOTAL Truncated Unadjusted Claims Expenses (A21 -A19)]], AN_TME_PY[[#All],[Insurance Category Code]],2, AN_TME_PY[[#All],[Advanced Network/Insurance Carrier Org ID]],R112),0), "TRUE", ROUND(W112-SUMIFS(AN_TME_PY[[#All],[TOTAL Truncated Unadjusted Claims Expenses (A21 -A19)]], AN_TME_PY[[#All],[Insurance Category Code]],2, AN_TME_PY[[#All],[Advanced Network/Insurance Carrier Org ID]],R112),2))</f>
        <v>TRUE</v>
      </c>
      <c r="AC112" s="362" t="str">
        <f t="shared" si="6"/>
        <v>TRUE</v>
      </c>
      <c r="AD112" s="365" t="b">
        <f>ROUND(SUMIFS(AN_TME_PY[[#All],[TOTAL Non-Truncated Unadjusted Claims Expenses]], AN_TME_PY[[#All],[Insurance Category Code]],2, AN_TME_PY[[#All],[Advanced Network/Insurance Carrier Org ID]],R112), 2)&gt;=ROUND(SUMIFS(AN_TME_PY[[#All],[TOTAL Truncated Unadjusted Claims Expenses (A21 -A19)]], AN_TME_PY[[#All],[Insurance Category Code]], 2, AN_TME_PY[[#All],[Advanced Network/Insurance Carrier Org ID]],R112),2)</f>
        <v>1</v>
      </c>
      <c r="AE112" s="367" t="b">
        <f>ROUND(SUMIFS(AN_TME_PY[[#All],[TOTAL Truncated Unadjusted Claims Expenses (A21 -A19)]], AN_TME_PY[[#All],[Insurance Category Code]],2, AN_TME_PY[[#All],[Advanced Network/Insurance Carrier Org ID]],R112)+SUMIFS(AN_TME_PY[[#All],[Total Claims Excluded because of Truncation]], AN_TME_PY[[#All],[Insurance Category Code]],2, AN_TME_PY[[#All],[Advanced Network/Insurance Carrier Org ID]],R112),2)=ROUND(SUMIFS(AN_TME_PY[[#All],[TOTAL Non-Truncated Unadjusted Claims Expenses]], AN_TME_PY[[#All],[Insurance Category Code]],2, AN_TME_PY[[#All],[Advanced Network/Insurance Carrier Org ID]],R112), 2)</f>
        <v>1</v>
      </c>
      <c r="AH112" s="213" t="str">
        <f t="shared" si="7"/>
        <v>NA</v>
      </c>
    </row>
    <row r="113" spans="2:34" x14ac:dyDescent="0.25">
      <c r="B113" s="184">
        <v>123</v>
      </c>
      <c r="C113" s="204">
        <f>ROUND(SUMIFS(Age_Sex_BY[[#All],[Total Member Months by Age/Sex Band]], Age_Sex_BY[[#All],[Advanced Network ID]], $B113, Age_Sex_BY[[#All],[Insurance Category Code]],2), 2)</f>
        <v>0</v>
      </c>
      <c r="D113" s="202">
        <f>ROUND(SUMIFS(Age_Sex_BY[[#All],[Total Dollars Excluded from Spending After Applying Truncation at the Member Level]], Age_Sex_BY[[#All],[Advanced Network ID]], $B113, Age_Sex_BY[[#All],[Insurance Category Code]],2), 2)</f>
        <v>0</v>
      </c>
      <c r="E113" s="189">
        <f>ROUND(SUMIFS(Age_Sex_BY[[#All],[Count of Members whose Spending was Truncated]], Age_Sex_BY[[#All],[Advanced Network ID]], $B113, Age_Sex_BY[[#All],[Insurance Category Code]],2),2)</f>
        <v>0</v>
      </c>
      <c r="F113" s="202">
        <f>ROUND(SUMIFS(Age_Sex_BY[[#All],[Total Spending before Truncation is Applied]], Age_Sex_BY[[#All],[Advanced Network ID]], $B113, Age_Sex_BY[[#All],[Insurance Category Code]],2), 2)</f>
        <v>0</v>
      </c>
      <c r="G113" s="203">
        <f>ROUND(SUMIFS(Age_Sex_BY[[#All],[Total Spending After Applying Truncation at the Member Level]], Age_Sex_BY[[#All],[Advanced Network ID]], $B113, Age_Sex_BY[[#All],[Insurance Category Code]],2), 2)</f>
        <v>0</v>
      </c>
      <c r="H113" s="362" t="str">
        <f>IF(ROUND(C113,0)=ROUND(SUMIFS(AN_TME_BY[[#All],[Member Months]], AN_TME_BY[[#All],[Insurance Category Code]],2, AN_TME_BY[[#All],[Advanced Network/Insurance Carrier Org ID]],B113),0), "TRUE", ROUND(C113-SUMIFS(AN_TME_BY[[#All],[Member Months]], AN_TME_BY[[#All],[Insurance Category Code]],2, AN_TME_BY[[#All],[Advanced Network/Insurance Carrier Org ID]],B113),2))</f>
        <v>TRUE</v>
      </c>
      <c r="I113" s="365" t="str">
        <f>IF(ROUND(D113,0)=ROUND(SUMIFS(AN_TME_BY[[#All],[Total Claims Excluded because of Truncation]], AN_TME_BY[[#All],[Insurance Category Code]],2, AN_TME_BY[[#All],[Advanced Network/Insurance Carrier Org ID]],B113),0), "TRUE", ROUND(D113-SUMIFS(AN_TME_BY[[#All],[Total Claims Excluded because of Truncation]], AN_TME_BY[[#All],[Insurance Category Code]],2, AN_TME_BY[[#All],[Advanced Network/Insurance Carrier Org ID]],B113),2))</f>
        <v>TRUE</v>
      </c>
      <c r="J113" s="138" t="str">
        <f>IF(ROUND(E113,0)=ROUND(SUMIFS(AN_TME_BY[[#All],[Count of Members with Claims Truncated]], AN_TME_BY[[#All],[Insurance Category Code]],2, AN_TME_BY[[#All],[Advanced Network/Insurance Carrier Org ID]],B113),0), "TRUE", ROUND(E113-SUMIFS(AN_TME_BY[[#All],[Count of Members with Claims Truncated]], AN_TME_BY[[#All],[Insurance Category Code]],2, AN_TME_BY[[#All],[Advanced Network/Insurance Carrier Org ID]],B113),2))</f>
        <v>TRUE</v>
      </c>
      <c r="K113" s="365" t="str">
        <f>IF(ROUND(F113,0)=ROUND(SUMIFS(AN_TME_BY[[#All],[TOTAL Non-Truncated Unadjusted Claims Expenses]], AN_TME_BY[[#All],[Insurance Category Code]],2, AN_TME_BY[[#All],[Advanced Network/Insurance Carrier Org ID]],B113),0), "TRUE", ROUND(F113-SUMIFS(AN_TME_BY[[#All],[TOTAL Non-Truncated Unadjusted Claims Expenses]], AN_TME_BY[[#All],[Insurance Category Code]],2, AN_TME_BY[[#All],[Advanced Network/Insurance Carrier Org ID]],B113),2))</f>
        <v>TRUE</v>
      </c>
      <c r="L113" s="367" t="str">
        <f>IF(ROUND(G113,0)=ROUND(SUMIFS(AN_TME_BY[[#All],[TOTAL Truncated Unadjusted Claims Expenses (A21 -A19)]], AN_TME_BY[[#All],[Insurance Category Code]],2, AN_TME_BY[[#All],[Advanced Network/Insurance Carrier Org ID]],B113),0), "TRUE", ROUND(G113-SUMIFS(AN_TME_BY[[#All],[TOTAL Truncated Unadjusted Claims Expenses (A21 -A19)]], AN_TME_BY[[#All],[Insurance Category Code]],2, AN_TME_BY[[#All],[Advanced Network/Insurance Carrier Org ID]],B113),2))</f>
        <v>TRUE</v>
      </c>
      <c r="M113" s="362" t="str">
        <f t="shared" si="5"/>
        <v>TRUE</v>
      </c>
      <c r="N113" s="365" t="b">
        <f>ROUND(SUMIFS(AN_TME_BY[[#All],[TOTAL Non-Truncated Unadjusted Claims Expenses]], AN_TME_BY[[#All],[Insurance Category Code]],2, AN_TME_BY[[#All],[Advanced Network/Insurance Carrier Org ID]],B113), 2)&gt;=ROUND(SUMIFS(AN_TME_BY[[#All],[TOTAL Truncated Unadjusted Claims Expenses (A21 -A19)]], AN_TME_BY[[#All],[Insurance Category Code]], 2, AN_TME_BY[[#All],[Advanced Network/Insurance Carrier Org ID]],B113),2)</f>
        <v>1</v>
      </c>
      <c r="O113" s="367" t="b">
        <f>ROUND(SUMIFS(AN_TME_BY[[#All],[TOTAL Truncated Unadjusted Claims Expenses (A21 -A19)]], AN_TME_BY[[#All],[Insurance Category Code]],2, AN_TME_BY[[#All],[Advanced Network/Insurance Carrier Org ID]],B113)+SUMIFS(AN_TME_BY[[#All],[Total Claims Excluded because of Truncation]], AN_TME_BY[[#All],[Insurance Category Code]],2, AN_TME_BY[[#All],[Advanced Network/Insurance Carrier Org ID]],B113),2)=ROUND(SUMIFS(AN_TME_BY[[#All],[TOTAL Non-Truncated Unadjusted Claims Expenses]], AN_TME_BY[[#All],[Insurance Category Code]],2, AN_TME_BY[[#All],[Advanced Network/Insurance Carrier Org ID]],B113), 2)</f>
        <v>1</v>
      </c>
      <c r="R113" s="184">
        <v>123</v>
      </c>
      <c r="S113" s="204">
        <f>ROUND(SUMIFS(Age_Sex_PY[[#All],[Total Member Months by Age/Sex Band]], Age_Sex_PY[[#All],[Advanced Network ID]], $R113, Age_Sex_PY[[#All],[Insurance Category Code]],2), 2)</f>
        <v>0</v>
      </c>
      <c r="T113" s="202">
        <f>ROUND(SUMIFS(Age_Sex_PY[[#All],[Total Dollars Excluded from Spending After Applying Truncation at the Member Level]], Age_Sex_PY[[#All],[Advanced Network ID]], $R113, Age_Sex_PY[[#All],[Insurance Category Code]],2), 2)</f>
        <v>0</v>
      </c>
      <c r="U113" s="189">
        <f>ROUND(SUMIFS(Age_Sex_PY[[#All],[Count of Members whose Spending was Truncated]], Age_Sex_PY[[#All],[Advanced Network ID]], $R113, Age_Sex_PY[[#All],[Insurance Category Code]],2),2)</f>
        <v>0</v>
      </c>
      <c r="V113" s="202">
        <f>ROUND(SUMIFS(Age_Sex_PY[[#All],[Total Spending before Truncation is Applied]], Age_Sex_PY[[#All],[Advanced Network ID]], $R113, Age_Sex_PY[[#All],[Insurance Category Code]],2), 2)</f>
        <v>0</v>
      </c>
      <c r="W113" s="203">
        <f>ROUND(SUMIFS(Age_Sex_PY[[#All],[Total Spending After Applying Truncation at the Member Level]], Age_Sex_PY[[#All],[Advanced Network ID]], $R113, Age_Sex_PY[[#All],[Insurance Category Code]],2), 2)</f>
        <v>0</v>
      </c>
      <c r="X113" s="362" t="str">
        <f>IF(ROUND(S113,0)=ROUND(SUMIFS(AN_TME_PY[[#All],[Member Months]], AN_TME_PY[[#All],[Insurance Category Code]],2, AN_TME_PY[[#All],[Advanced Network/Insurance Carrier Org ID]],R113),0), "TRUE", ROUND(S113-SUMIFS(AN_TME_PY[[#All],[Member Months]], AN_TME_PY[[#All],[Insurance Category Code]],2, AN_TME_PY[[#All],[Advanced Network/Insurance Carrier Org ID]],R113),2))</f>
        <v>TRUE</v>
      </c>
      <c r="Y113" s="365" t="str">
        <f>IF(ROUND(T113,0)=ROUND(SUMIFS(AN_TME_PY[[#All],[Total Claims Excluded because of Truncation]], AN_TME_PY[[#All],[Insurance Category Code]],2, AN_TME_PY[[#All],[Advanced Network/Insurance Carrier Org ID]],R113),0), "TRUE", ROUND(T113-SUMIFS(AN_TME_PY[[#All],[Total Claims Excluded because of Truncation]], AN_TME_PY[[#All],[Insurance Category Code]],2, AN_TME_PY[[#All],[Advanced Network/Insurance Carrier Org ID]],R113),2))</f>
        <v>TRUE</v>
      </c>
      <c r="Z113" s="138" t="str">
        <f>IF(ROUND(U113,0)=ROUND(SUMIFS(AN_TME_PY[[#All],[Count of Members with Claims Truncated]], AN_TME_PY[[#All],[Insurance Category Code]],2, AN_TME_PY[[#All],[Advanced Network/Insurance Carrier Org ID]],R113),0), "TRUE", ROUND(U113-SUMIFS(AN_TME_PY[[#All],[Count of Members with Claims Truncated]], AN_TME_PY[[#All],[Insurance Category Code]],2, AN_TME_PY[[#All],[Advanced Network/Insurance Carrier Org ID]],R113),2))</f>
        <v>TRUE</v>
      </c>
      <c r="AA113" s="365" t="str">
        <f>IF(ROUND(V113,0)=ROUND(SUMIFS(AN_TME_PY[[#All],[TOTAL Non-Truncated Unadjusted Claims Expenses]], AN_TME_PY[[#All],[Insurance Category Code]],2, AN_TME_PY[[#All],[Advanced Network/Insurance Carrier Org ID]],R113),0), "TRUE", ROUND(V113-SUMIFS(AN_TME_PY[[#All],[TOTAL Non-Truncated Unadjusted Claims Expenses]], AN_TME_PY[[#All],[Insurance Category Code]],2, AN_TME_PY[[#All],[Advanced Network/Insurance Carrier Org ID]],R113),2))</f>
        <v>TRUE</v>
      </c>
      <c r="AB113" s="367" t="str">
        <f>IF(ROUND(W113,0)=ROUND(SUMIFS(AN_TME_PY[[#All],[TOTAL Truncated Unadjusted Claims Expenses (A21 -A19)]], AN_TME_PY[[#All],[Insurance Category Code]],2, AN_TME_PY[[#All],[Advanced Network/Insurance Carrier Org ID]],R113),0), "TRUE", ROUND(W113-SUMIFS(AN_TME_PY[[#All],[TOTAL Truncated Unadjusted Claims Expenses (A21 -A19)]], AN_TME_PY[[#All],[Insurance Category Code]],2, AN_TME_PY[[#All],[Advanced Network/Insurance Carrier Org ID]],R113),2))</f>
        <v>TRUE</v>
      </c>
      <c r="AC113" s="362" t="str">
        <f t="shared" si="6"/>
        <v>TRUE</v>
      </c>
      <c r="AD113" s="365" t="b">
        <f>ROUND(SUMIFS(AN_TME_PY[[#All],[TOTAL Non-Truncated Unadjusted Claims Expenses]], AN_TME_PY[[#All],[Insurance Category Code]],2, AN_TME_PY[[#All],[Advanced Network/Insurance Carrier Org ID]],R113), 2)&gt;=ROUND(SUMIFS(AN_TME_PY[[#All],[TOTAL Truncated Unadjusted Claims Expenses (A21 -A19)]], AN_TME_PY[[#All],[Insurance Category Code]], 2, AN_TME_PY[[#All],[Advanced Network/Insurance Carrier Org ID]],R113),2)</f>
        <v>1</v>
      </c>
      <c r="AE113" s="367" t="b">
        <f>ROUND(SUMIFS(AN_TME_PY[[#All],[TOTAL Truncated Unadjusted Claims Expenses (A21 -A19)]], AN_TME_PY[[#All],[Insurance Category Code]],2, AN_TME_PY[[#All],[Advanced Network/Insurance Carrier Org ID]],R113)+SUMIFS(AN_TME_PY[[#All],[Total Claims Excluded because of Truncation]], AN_TME_PY[[#All],[Insurance Category Code]],2, AN_TME_PY[[#All],[Advanced Network/Insurance Carrier Org ID]],R113),2)=ROUND(SUMIFS(AN_TME_PY[[#All],[TOTAL Non-Truncated Unadjusted Claims Expenses]], AN_TME_PY[[#All],[Insurance Category Code]],2, AN_TME_PY[[#All],[Advanced Network/Insurance Carrier Org ID]],R113), 2)</f>
        <v>1</v>
      </c>
      <c r="AH113" s="213" t="str">
        <f t="shared" si="7"/>
        <v>NA</v>
      </c>
    </row>
    <row r="114" spans="2:34" x14ac:dyDescent="0.25">
      <c r="B114" s="184">
        <v>124</v>
      </c>
      <c r="C114" s="204">
        <f>ROUND(SUMIFS(Age_Sex_BY[[#All],[Total Member Months by Age/Sex Band]], Age_Sex_BY[[#All],[Advanced Network ID]], $B114, Age_Sex_BY[[#All],[Insurance Category Code]],2), 2)</f>
        <v>0</v>
      </c>
      <c r="D114" s="202">
        <f>ROUND(SUMIFS(Age_Sex_BY[[#All],[Total Dollars Excluded from Spending After Applying Truncation at the Member Level]], Age_Sex_BY[[#All],[Advanced Network ID]], $B114, Age_Sex_BY[[#All],[Insurance Category Code]],2), 2)</f>
        <v>0</v>
      </c>
      <c r="E114" s="189">
        <f>ROUND(SUMIFS(Age_Sex_BY[[#All],[Count of Members whose Spending was Truncated]], Age_Sex_BY[[#All],[Advanced Network ID]], $B114, Age_Sex_BY[[#All],[Insurance Category Code]],2),2)</f>
        <v>0</v>
      </c>
      <c r="F114" s="202">
        <f>ROUND(SUMIFS(Age_Sex_BY[[#All],[Total Spending before Truncation is Applied]], Age_Sex_BY[[#All],[Advanced Network ID]], $B114, Age_Sex_BY[[#All],[Insurance Category Code]],2), 2)</f>
        <v>0</v>
      </c>
      <c r="G114" s="203">
        <f>ROUND(SUMIFS(Age_Sex_BY[[#All],[Total Spending After Applying Truncation at the Member Level]], Age_Sex_BY[[#All],[Advanced Network ID]], $B114, Age_Sex_BY[[#All],[Insurance Category Code]],2), 2)</f>
        <v>0</v>
      </c>
      <c r="H114" s="362" t="str">
        <f>IF(ROUND(C114,0)=ROUND(SUMIFS(AN_TME_BY[[#All],[Member Months]], AN_TME_BY[[#All],[Insurance Category Code]],2, AN_TME_BY[[#All],[Advanced Network/Insurance Carrier Org ID]],B114),0), "TRUE", ROUND(C114-SUMIFS(AN_TME_BY[[#All],[Member Months]], AN_TME_BY[[#All],[Insurance Category Code]],2, AN_TME_BY[[#All],[Advanced Network/Insurance Carrier Org ID]],B114),2))</f>
        <v>TRUE</v>
      </c>
      <c r="I114" s="365" t="str">
        <f>IF(ROUND(D114,0)=ROUND(SUMIFS(AN_TME_BY[[#All],[Total Claims Excluded because of Truncation]], AN_TME_BY[[#All],[Insurance Category Code]],2, AN_TME_BY[[#All],[Advanced Network/Insurance Carrier Org ID]],B114),0), "TRUE", ROUND(D114-SUMIFS(AN_TME_BY[[#All],[Total Claims Excluded because of Truncation]], AN_TME_BY[[#All],[Insurance Category Code]],2, AN_TME_BY[[#All],[Advanced Network/Insurance Carrier Org ID]],B114),2))</f>
        <v>TRUE</v>
      </c>
      <c r="J114" s="138" t="str">
        <f>IF(ROUND(E114,0)=ROUND(SUMIFS(AN_TME_BY[[#All],[Count of Members with Claims Truncated]], AN_TME_BY[[#All],[Insurance Category Code]],2, AN_TME_BY[[#All],[Advanced Network/Insurance Carrier Org ID]],B114),0), "TRUE", ROUND(E114-SUMIFS(AN_TME_BY[[#All],[Count of Members with Claims Truncated]], AN_TME_BY[[#All],[Insurance Category Code]],2, AN_TME_BY[[#All],[Advanced Network/Insurance Carrier Org ID]],B114),2))</f>
        <v>TRUE</v>
      </c>
      <c r="K114" s="365" t="str">
        <f>IF(ROUND(F114,0)=ROUND(SUMIFS(AN_TME_BY[[#All],[TOTAL Non-Truncated Unadjusted Claims Expenses]], AN_TME_BY[[#All],[Insurance Category Code]],2, AN_TME_BY[[#All],[Advanced Network/Insurance Carrier Org ID]],B114),0), "TRUE", ROUND(F114-SUMIFS(AN_TME_BY[[#All],[TOTAL Non-Truncated Unadjusted Claims Expenses]], AN_TME_BY[[#All],[Insurance Category Code]],2, AN_TME_BY[[#All],[Advanced Network/Insurance Carrier Org ID]],B114),2))</f>
        <v>TRUE</v>
      </c>
      <c r="L114" s="367" t="str">
        <f>IF(ROUND(G114,0)=ROUND(SUMIFS(AN_TME_BY[[#All],[TOTAL Truncated Unadjusted Claims Expenses (A21 -A19)]], AN_TME_BY[[#All],[Insurance Category Code]],2, AN_TME_BY[[#All],[Advanced Network/Insurance Carrier Org ID]],B114),0), "TRUE", ROUND(G114-SUMIFS(AN_TME_BY[[#All],[TOTAL Truncated Unadjusted Claims Expenses (A21 -A19)]], AN_TME_BY[[#All],[Insurance Category Code]],2, AN_TME_BY[[#All],[Advanced Network/Insurance Carrier Org ID]],B114),2))</f>
        <v>TRUE</v>
      </c>
      <c r="M114" s="362" t="str">
        <f t="shared" si="5"/>
        <v>TRUE</v>
      </c>
      <c r="N114" s="365" t="b">
        <f>ROUND(SUMIFS(AN_TME_BY[[#All],[TOTAL Non-Truncated Unadjusted Claims Expenses]], AN_TME_BY[[#All],[Insurance Category Code]],2, AN_TME_BY[[#All],[Advanced Network/Insurance Carrier Org ID]],B114), 2)&gt;=ROUND(SUMIFS(AN_TME_BY[[#All],[TOTAL Truncated Unadjusted Claims Expenses (A21 -A19)]], AN_TME_BY[[#All],[Insurance Category Code]], 2, AN_TME_BY[[#All],[Advanced Network/Insurance Carrier Org ID]],B114),2)</f>
        <v>1</v>
      </c>
      <c r="O114" s="367" t="b">
        <f>ROUND(SUMIFS(AN_TME_BY[[#All],[TOTAL Truncated Unadjusted Claims Expenses (A21 -A19)]], AN_TME_BY[[#All],[Insurance Category Code]],2, AN_TME_BY[[#All],[Advanced Network/Insurance Carrier Org ID]],B114)+SUMIFS(AN_TME_BY[[#All],[Total Claims Excluded because of Truncation]], AN_TME_BY[[#All],[Insurance Category Code]],2, AN_TME_BY[[#All],[Advanced Network/Insurance Carrier Org ID]],B114),2)=ROUND(SUMIFS(AN_TME_BY[[#All],[TOTAL Non-Truncated Unadjusted Claims Expenses]], AN_TME_BY[[#All],[Insurance Category Code]],2, AN_TME_BY[[#All],[Advanced Network/Insurance Carrier Org ID]],B114), 2)</f>
        <v>1</v>
      </c>
      <c r="R114" s="184">
        <v>124</v>
      </c>
      <c r="S114" s="204">
        <f>ROUND(SUMIFS(Age_Sex_PY[[#All],[Total Member Months by Age/Sex Band]], Age_Sex_PY[[#All],[Advanced Network ID]], $R114, Age_Sex_PY[[#All],[Insurance Category Code]],2), 2)</f>
        <v>0</v>
      </c>
      <c r="T114" s="202">
        <f>ROUND(SUMIFS(Age_Sex_PY[[#All],[Total Dollars Excluded from Spending After Applying Truncation at the Member Level]], Age_Sex_PY[[#All],[Advanced Network ID]], $R114, Age_Sex_PY[[#All],[Insurance Category Code]],2), 2)</f>
        <v>0</v>
      </c>
      <c r="U114" s="189">
        <f>ROUND(SUMIFS(Age_Sex_PY[[#All],[Count of Members whose Spending was Truncated]], Age_Sex_PY[[#All],[Advanced Network ID]], $R114, Age_Sex_PY[[#All],[Insurance Category Code]],2),2)</f>
        <v>0</v>
      </c>
      <c r="V114" s="202">
        <f>ROUND(SUMIFS(Age_Sex_PY[[#All],[Total Spending before Truncation is Applied]], Age_Sex_PY[[#All],[Advanced Network ID]], $R114, Age_Sex_PY[[#All],[Insurance Category Code]],2), 2)</f>
        <v>0</v>
      </c>
      <c r="W114" s="203">
        <f>ROUND(SUMIFS(Age_Sex_PY[[#All],[Total Spending After Applying Truncation at the Member Level]], Age_Sex_PY[[#All],[Advanced Network ID]], $R114, Age_Sex_PY[[#All],[Insurance Category Code]],2), 2)</f>
        <v>0</v>
      </c>
      <c r="X114" s="362" t="str">
        <f>IF(ROUND(S114,0)=ROUND(SUMIFS(AN_TME_PY[[#All],[Member Months]], AN_TME_PY[[#All],[Insurance Category Code]],2, AN_TME_PY[[#All],[Advanced Network/Insurance Carrier Org ID]],R114),0), "TRUE", ROUND(S114-SUMIFS(AN_TME_PY[[#All],[Member Months]], AN_TME_PY[[#All],[Insurance Category Code]],2, AN_TME_PY[[#All],[Advanced Network/Insurance Carrier Org ID]],R114),2))</f>
        <v>TRUE</v>
      </c>
      <c r="Y114" s="365" t="str">
        <f>IF(ROUND(T114,0)=ROUND(SUMIFS(AN_TME_PY[[#All],[Total Claims Excluded because of Truncation]], AN_TME_PY[[#All],[Insurance Category Code]],2, AN_TME_PY[[#All],[Advanced Network/Insurance Carrier Org ID]],R114),0), "TRUE", ROUND(T114-SUMIFS(AN_TME_PY[[#All],[Total Claims Excluded because of Truncation]], AN_TME_PY[[#All],[Insurance Category Code]],2, AN_TME_PY[[#All],[Advanced Network/Insurance Carrier Org ID]],R114),2))</f>
        <v>TRUE</v>
      </c>
      <c r="Z114" s="138" t="str">
        <f>IF(ROUND(U114,0)=ROUND(SUMIFS(AN_TME_PY[[#All],[Count of Members with Claims Truncated]], AN_TME_PY[[#All],[Insurance Category Code]],2, AN_TME_PY[[#All],[Advanced Network/Insurance Carrier Org ID]],R114),0), "TRUE", ROUND(U114-SUMIFS(AN_TME_PY[[#All],[Count of Members with Claims Truncated]], AN_TME_PY[[#All],[Insurance Category Code]],2, AN_TME_PY[[#All],[Advanced Network/Insurance Carrier Org ID]],R114),2))</f>
        <v>TRUE</v>
      </c>
      <c r="AA114" s="365" t="str">
        <f>IF(ROUND(V114,0)=ROUND(SUMIFS(AN_TME_PY[[#All],[TOTAL Non-Truncated Unadjusted Claims Expenses]], AN_TME_PY[[#All],[Insurance Category Code]],2, AN_TME_PY[[#All],[Advanced Network/Insurance Carrier Org ID]],R114),0), "TRUE", ROUND(V114-SUMIFS(AN_TME_PY[[#All],[TOTAL Non-Truncated Unadjusted Claims Expenses]], AN_TME_PY[[#All],[Insurance Category Code]],2, AN_TME_PY[[#All],[Advanced Network/Insurance Carrier Org ID]],R114),2))</f>
        <v>TRUE</v>
      </c>
      <c r="AB114" s="367" t="str">
        <f>IF(ROUND(W114,0)=ROUND(SUMIFS(AN_TME_PY[[#All],[TOTAL Truncated Unadjusted Claims Expenses (A21 -A19)]], AN_TME_PY[[#All],[Insurance Category Code]],2, AN_TME_PY[[#All],[Advanced Network/Insurance Carrier Org ID]],R114),0), "TRUE", ROUND(W114-SUMIFS(AN_TME_PY[[#All],[TOTAL Truncated Unadjusted Claims Expenses (A21 -A19)]], AN_TME_PY[[#All],[Insurance Category Code]],2, AN_TME_PY[[#All],[Advanced Network/Insurance Carrier Org ID]],R114),2))</f>
        <v>TRUE</v>
      </c>
      <c r="AC114" s="362" t="str">
        <f t="shared" si="6"/>
        <v>TRUE</v>
      </c>
      <c r="AD114" s="365" t="b">
        <f>ROUND(SUMIFS(AN_TME_PY[[#All],[TOTAL Non-Truncated Unadjusted Claims Expenses]], AN_TME_PY[[#All],[Insurance Category Code]],2, AN_TME_PY[[#All],[Advanced Network/Insurance Carrier Org ID]],R114), 2)&gt;=ROUND(SUMIFS(AN_TME_PY[[#All],[TOTAL Truncated Unadjusted Claims Expenses (A21 -A19)]], AN_TME_PY[[#All],[Insurance Category Code]], 2, AN_TME_PY[[#All],[Advanced Network/Insurance Carrier Org ID]],R114),2)</f>
        <v>1</v>
      </c>
      <c r="AE114" s="367" t="b">
        <f>ROUND(SUMIFS(AN_TME_PY[[#All],[TOTAL Truncated Unadjusted Claims Expenses (A21 -A19)]], AN_TME_PY[[#All],[Insurance Category Code]],2, AN_TME_PY[[#All],[Advanced Network/Insurance Carrier Org ID]],R114)+SUMIFS(AN_TME_PY[[#All],[Total Claims Excluded because of Truncation]], AN_TME_PY[[#All],[Insurance Category Code]],2, AN_TME_PY[[#All],[Advanced Network/Insurance Carrier Org ID]],R114),2)=ROUND(SUMIFS(AN_TME_PY[[#All],[TOTAL Non-Truncated Unadjusted Claims Expenses]], AN_TME_PY[[#All],[Insurance Category Code]],2, AN_TME_PY[[#All],[Advanced Network/Insurance Carrier Org ID]],R114), 2)</f>
        <v>1</v>
      </c>
      <c r="AH114" s="213" t="str">
        <f t="shared" si="7"/>
        <v>NA</v>
      </c>
    </row>
    <row r="115" spans="2:34" x14ac:dyDescent="0.25">
      <c r="B115" s="184">
        <v>125</v>
      </c>
      <c r="C115" s="204">
        <f>ROUND(SUMIFS(Age_Sex_BY[[#All],[Total Member Months by Age/Sex Band]], Age_Sex_BY[[#All],[Advanced Network ID]], $B115, Age_Sex_BY[[#All],[Insurance Category Code]],2), 2)</f>
        <v>0</v>
      </c>
      <c r="D115" s="202">
        <f>ROUND(SUMIFS(Age_Sex_BY[[#All],[Total Dollars Excluded from Spending After Applying Truncation at the Member Level]], Age_Sex_BY[[#All],[Advanced Network ID]], $B115, Age_Sex_BY[[#All],[Insurance Category Code]],2), 2)</f>
        <v>0</v>
      </c>
      <c r="E115" s="189">
        <f>ROUND(SUMIFS(Age_Sex_BY[[#All],[Count of Members whose Spending was Truncated]], Age_Sex_BY[[#All],[Advanced Network ID]], $B115, Age_Sex_BY[[#All],[Insurance Category Code]],2),2)</f>
        <v>0</v>
      </c>
      <c r="F115" s="202">
        <f>ROUND(SUMIFS(Age_Sex_BY[[#All],[Total Spending before Truncation is Applied]], Age_Sex_BY[[#All],[Advanced Network ID]], $B115, Age_Sex_BY[[#All],[Insurance Category Code]],2), 2)</f>
        <v>0</v>
      </c>
      <c r="G115" s="203">
        <f>ROUND(SUMIFS(Age_Sex_BY[[#All],[Total Spending After Applying Truncation at the Member Level]], Age_Sex_BY[[#All],[Advanced Network ID]], $B115, Age_Sex_BY[[#All],[Insurance Category Code]],2), 2)</f>
        <v>0</v>
      </c>
      <c r="H115" s="362" t="str">
        <f>IF(ROUND(C115,0)=ROUND(SUMIFS(AN_TME_BY[[#All],[Member Months]], AN_TME_BY[[#All],[Insurance Category Code]],2, AN_TME_BY[[#All],[Advanced Network/Insurance Carrier Org ID]],B115),0), "TRUE", ROUND(C115-SUMIFS(AN_TME_BY[[#All],[Member Months]], AN_TME_BY[[#All],[Insurance Category Code]],2, AN_TME_BY[[#All],[Advanced Network/Insurance Carrier Org ID]],B115),2))</f>
        <v>TRUE</v>
      </c>
      <c r="I115" s="365" t="str">
        <f>IF(ROUND(D115,0)=ROUND(SUMIFS(AN_TME_BY[[#All],[Total Claims Excluded because of Truncation]], AN_TME_BY[[#All],[Insurance Category Code]],2, AN_TME_BY[[#All],[Advanced Network/Insurance Carrier Org ID]],B115),0), "TRUE", ROUND(D115-SUMIFS(AN_TME_BY[[#All],[Total Claims Excluded because of Truncation]], AN_TME_BY[[#All],[Insurance Category Code]],2, AN_TME_BY[[#All],[Advanced Network/Insurance Carrier Org ID]],B115),2))</f>
        <v>TRUE</v>
      </c>
      <c r="J115" s="138" t="str">
        <f>IF(ROUND(E115,0)=ROUND(SUMIFS(AN_TME_BY[[#All],[Count of Members with Claims Truncated]], AN_TME_BY[[#All],[Insurance Category Code]],2, AN_TME_BY[[#All],[Advanced Network/Insurance Carrier Org ID]],B115),0), "TRUE", ROUND(E115-SUMIFS(AN_TME_BY[[#All],[Count of Members with Claims Truncated]], AN_TME_BY[[#All],[Insurance Category Code]],2, AN_TME_BY[[#All],[Advanced Network/Insurance Carrier Org ID]],B115),2))</f>
        <v>TRUE</v>
      </c>
      <c r="K115" s="365" t="str">
        <f>IF(ROUND(F115,0)=ROUND(SUMIFS(AN_TME_BY[[#All],[TOTAL Non-Truncated Unadjusted Claims Expenses]], AN_TME_BY[[#All],[Insurance Category Code]],2, AN_TME_BY[[#All],[Advanced Network/Insurance Carrier Org ID]],B115),0), "TRUE", ROUND(F115-SUMIFS(AN_TME_BY[[#All],[TOTAL Non-Truncated Unadjusted Claims Expenses]], AN_TME_BY[[#All],[Insurance Category Code]],2, AN_TME_BY[[#All],[Advanced Network/Insurance Carrier Org ID]],B115),2))</f>
        <v>TRUE</v>
      </c>
      <c r="L115" s="367" t="str">
        <f>IF(ROUND(G115,0)=ROUND(SUMIFS(AN_TME_BY[[#All],[TOTAL Truncated Unadjusted Claims Expenses (A21 -A19)]], AN_TME_BY[[#All],[Insurance Category Code]],2, AN_TME_BY[[#All],[Advanced Network/Insurance Carrier Org ID]],B115),0), "TRUE", ROUND(G115-SUMIFS(AN_TME_BY[[#All],[TOTAL Truncated Unadjusted Claims Expenses (A21 -A19)]], AN_TME_BY[[#All],[Insurance Category Code]],2, AN_TME_BY[[#All],[Advanced Network/Insurance Carrier Org ID]],B115),2))</f>
        <v>TRUE</v>
      </c>
      <c r="M115" s="362" t="str">
        <f t="shared" si="5"/>
        <v>TRUE</v>
      </c>
      <c r="N115" s="365" t="b">
        <f>ROUND(SUMIFS(AN_TME_BY[[#All],[TOTAL Non-Truncated Unadjusted Claims Expenses]], AN_TME_BY[[#All],[Insurance Category Code]],2, AN_TME_BY[[#All],[Advanced Network/Insurance Carrier Org ID]],B115), 2)&gt;=ROUND(SUMIFS(AN_TME_BY[[#All],[TOTAL Truncated Unadjusted Claims Expenses (A21 -A19)]], AN_TME_BY[[#All],[Insurance Category Code]], 2, AN_TME_BY[[#All],[Advanced Network/Insurance Carrier Org ID]],B115),2)</f>
        <v>1</v>
      </c>
      <c r="O115" s="367" t="b">
        <f>ROUND(SUMIFS(AN_TME_BY[[#All],[TOTAL Truncated Unadjusted Claims Expenses (A21 -A19)]], AN_TME_BY[[#All],[Insurance Category Code]],2, AN_TME_BY[[#All],[Advanced Network/Insurance Carrier Org ID]],B115)+SUMIFS(AN_TME_BY[[#All],[Total Claims Excluded because of Truncation]], AN_TME_BY[[#All],[Insurance Category Code]],2, AN_TME_BY[[#All],[Advanced Network/Insurance Carrier Org ID]],B115),2)=ROUND(SUMIFS(AN_TME_BY[[#All],[TOTAL Non-Truncated Unadjusted Claims Expenses]], AN_TME_BY[[#All],[Insurance Category Code]],2, AN_TME_BY[[#All],[Advanced Network/Insurance Carrier Org ID]],B115), 2)</f>
        <v>1</v>
      </c>
      <c r="R115" s="184">
        <v>125</v>
      </c>
      <c r="S115" s="204">
        <f>ROUND(SUMIFS(Age_Sex_PY[[#All],[Total Member Months by Age/Sex Band]], Age_Sex_PY[[#All],[Advanced Network ID]], $R115, Age_Sex_PY[[#All],[Insurance Category Code]],2), 2)</f>
        <v>0</v>
      </c>
      <c r="T115" s="202">
        <f>ROUND(SUMIFS(Age_Sex_PY[[#All],[Total Dollars Excluded from Spending After Applying Truncation at the Member Level]], Age_Sex_PY[[#All],[Advanced Network ID]], $R115, Age_Sex_PY[[#All],[Insurance Category Code]],2), 2)</f>
        <v>0</v>
      </c>
      <c r="U115" s="189">
        <f>ROUND(SUMIFS(Age_Sex_PY[[#All],[Count of Members whose Spending was Truncated]], Age_Sex_PY[[#All],[Advanced Network ID]], $R115, Age_Sex_PY[[#All],[Insurance Category Code]],2),2)</f>
        <v>0</v>
      </c>
      <c r="V115" s="202">
        <f>ROUND(SUMIFS(Age_Sex_PY[[#All],[Total Spending before Truncation is Applied]], Age_Sex_PY[[#All],[Advanced Network ID]], $R115, Age_Sex_PY[[#All],[Insurance Category Code]],2), 2)</f>
        <v>0</v>
      </c>
      <c r="W115" s="203">
        <f>ROUND(SUMIFS(Age_Sex_PY[[#All],[Total Spending After Applying Truncation at the Member Level]], Age_Sex_PY[[#All],[Advanced Network ID]], $R115, Age_Sex_PY[[#All],[Insurance Category Code]],2), 2)</f>
        <v>0</v>
      </c>
      <c r="X115" s="362" t="str">
        <f>IF(ROUND(S115,0)=ROUND(SUMIFS(AN_TME_PY[[#All],[Member Months]], AN_TME_PY[[#All],[Insurance Category Code]],2, AN_TME_PY[[#All],[Advanced Network/Insurance Carrier Org ID]],R115),0), "TRUE", ROUND(S115-SUMIFS(AN_TME_PY[[#All],[Member Months]], AN_TME_PY[[#All],[Insurance Category Code]],2, AN_TME_PY[[#All],[Advanced Network/Insurance Carrier Org ID]],R115),2))</f>
        <v>TRUE</v>
      </c>
      <c r="Y115" s="365" t="str">
        <f>IF(ROUND(T115,0)=ROUND(SUMIFS(AN_TME_PY[[#All],[Total Claims Excluded because of Truncation]], AN_TME_PY[[#All],[Insurance Category Code]],2, AN_TME_PY[[#All],[Advanced Network/Insurance Carrier Org ID]],R115),0), "TRUE", ROUND(T115-SUMIFS(AN_TME_PY[[#All],[Total Claims Excluded because of Truncation]], AN_TME_PY[[#All],[Insurance Category Code]],2, AN_TME_PY[[#All],[Advanced Network/Insurance Carrier Org ID]],R115),2))</f>
        <v>TRUE</v>
      </c>
      <c r="Z115" s="138" t="str">
        <f>IF(ROUND(U115,0)=ROUND(SUMIFS(AN_TME_PY[[#All],[Count of Members with Claims Truncated]], AN_TME_PY[[#All],[Insurance Category Code]],2, AN_TME_PY[[#All],[Advanced Network/Insurance Carrier Org ID]],R115),0), "TRUE", ROUND(U115-SUMIFS(AN_TME_PY[[#All],[Count of Members with Claims Truncated]], AN_TME_PY[[#All],[Insurance Category Code]],2, AN_TME_PY[[#All],[Advanced Network/Insurance Carrier Org ID]],R115),2))</f>
        <v>TRUE</v>
      </c>
      <c r="AA115" s="365" t="str">
        <f>IF(ROUND(V115,0)=ROUND(SUMIFS(AN_TME_PY[[#All],[TOTAL Non-Truncated Unadjusted Claims Expenses]], AN_TME_PY[[#All],[Insurance Category Code]],2, AN_TME_PY[[#All],[Advanced Network/Insurance Carrier Org ID]],R115),0), "TRUE", ROUND(V115-SUMIFS(AN_TME_PY[[#All],[TOTAL Non-Truncated Unadjusted Claims Expenses]], AN_TME_PY[[#All],[Insurance Category Code]],2, AN_TME_PY[[#All],[Advanced Network/Insurance Carrier Org ID]],R115),2))</f>
        <v>TRUE</v>
      </c>
      <c r="AB115" s="367" t="str">
        <f>IF(ROUND(W115,0)=ROUND(SUMIFS(AN_TME_PY[[#All],[TOTAL Truncated Unadjusted Claims Expenses (A21 -A19)]], AN_TME_PY[[#All],[Insurance Category Code]],2, AN_TME_PY[[#All],[Advanced Network/Insurance Carrier Org ID]],R115),0), "TRUE", ROUND(W115-SUMIFS(AN_TME_PY[[#All],[TOTAL Truncated Unadjusted Claims Expenses (A21 -A19)]], AN_TME_PY[[#All],[Insurance Category Code]],2, AN_TME_PY[[#All],[Advanced Network/Insurance Carrier Org ID]],R115),2))</f>
        <v>TRUE</v>
      </c>
      <c r="AC115" s="362" t="str">
        <f t="shared" si="6"/>
        <v>TRUE</v>
      </c>
      <c r="AD115" s="365" t="b">
        <f>ROUND(SUMIFS(AN_TME_PY[[#All],[TOTAL Non-Truncated Unadjusted Claims Expenses]], AN_TME_PY[[#All],[Insurance Category Code]],2, AN_TME_PY[[#All],[Advanced Network/Insurance Carrier Org ID]],R115), 2)&gt;=ROUND(SUMIFS(AN_TME_PY[[#All],[TOTAL Truncated Unadjusted Claims Expenses (A21 -A19)]], AN_TME_PY[[#All],[Insurance Category Code]], 2, AN_TME_PY[[#All],[Advanced Network/Insurance Carrier Org ID]],R115),2)</f>
        <v>1</v>
      </c>
      <c r="AE115" s="367" t="b">
        <f>ROUND(SUMIFS(AN_TME_PY[[#All],[TOTAL Truncated Unadjusted Claims Expenses (A21 -A19)]], AN_TME_PY[[#All],[Insurance Category Code]],2, AN_TME_PY[[#All],[Advanced Network/Insurance Carrier Org ID]],R115)+SUMIFS(AN_TME_PY[[#All],[Total Claims Excluded because of Truncation]], AN_TME_PY[[#All],[Insurance Category Code]],2, AN_TME_PY[[#All],[Advanced Network/Insurance Carrier Org ID]],R115),2)=ROUND(SUMIFS(AN_TME_PY[[#All],[TOTAL Non-Truncated Unadjusted Claims Expenses]], AN_TME_PY[[#All],[Insurance Category Code]],2, AN_TME_PY[[#All],[Advanced Network/Insurance Carrier Org ID]],R115), 2)</f>
        <v>1</v>
      </c>
      <c r="AH115" s="213" t="str">
        <f t="shared" si="7"/>
        <v>NA</v>
      </c>
    </row>
    <row r="116" spans="2:34" x14ac:dyDescent="0.25">
      <c r="B116" s="184">
        <v>126</v>
      </c>
      <c r="C116" s="204">
        <f>ROUND(SUMIFS(Age_Sex_BY[[#All],[Total Member Months by Age/Sex Band]], Age_Sex_BY[[#All],[Advanced Network ID]], $B116, Age_Sex_BY[[#All],[Insurance Category Code]],2), 2)</f>
        <v>0</v>
      </c>
      <c r="D116" s="202">
        <f>ROUND(SUMIFS(Age_Sex_BY[[#All],[Total Dollars Excluded from Spending After Applying Truncation at the Member Level]], Age_Sex_BY[[#All],[Advanced Network ID]], $B116, Age_Sex_BY[[#All],[Insurance Category Code]],2), 2)</f>
        <v>0</v>
      </c>
      <c r="E116" s="189">
        <f>ROUND(SUMIFS(Age_Sex_BY[[#All],[Count of Members whose Spending was Truncated]], Age_Sex_BY[[#All],[Advanced Network ID]], $B116, Age_Sex_BY[[#All],[Insurance Category Code]],2),2)</f>
        <v>0</v>
      </c>
      <c r="F116" s="202">
        <f>ROUND(SUMIFS(Age_Sex_BY[[#All],[Total Spending before Truncation is Applied]], Age_Sex_BY[[#All],[Advanced Network ID]], $B116, Age_Sex_BY[[#All],[Insurance Category Code]],2), 2)</f>
        <v>0</v>
      </c>
      <c r="G116" s="203">
        <f>ROUND(SUMIFS(Age_Sex_BY[[#All],[Total Spending After Applying Truncation at the Member Level]], Age_Sex_BY[[#All],[Advanced Network ID]], $B116, Age_Sex_BY[[#All],[Insurance Category Code]],2), 2)</f>
        <v>0</v>
      </c>
      <c r="H116" s="362" t="str">
        <f>IF(ROUND(C116,0)=ROUND(SUMIFS(AN_TME_BY[[#All],[Member Months]], AN_TME_BY[[#All],[Insurance Category Code]],2, AN_TME_BY[[#All],[Advanced Network/Insurance Carrier Org ID]],B116),0), "TRUE", ROUND(C116-SUMIFS(AN_TME_BY[[#All],[Member Months]], AN_TME_BY[[#All],[Insurance Category Code]],2, AN_TME_BY[[#All],[Advanced Network/Insurance Carrier Org ID]],B116),2))</f>
        <v>TRUE</v>
      </c>
      <c r="I116" s="365" t="str">
        <f>IF(ROUND(D116,0)=ROUND(SUMIFS(AN_TME_BY[[#All],[Total Claims Excluded because of Truncation]], AN_TME_BY[[#All],[Insurance Category Code]],2, AN_TME_BY[[#All],[Advanced Network/Insurance Carrier Org ID]],B116),0), "TRUE", ROUND(D116-SUMIFS(AN_TME_BY[[#All],[Total Claims Excluded because of Truncation]], AN_TME_BY[[#All],[Insurance Category Code]],2, AN_TME_BY[[#All],[Advanced Network/Insurance Carrier Org ID]],B116),2))</f>
        <v>TRUE</v>
      </c>
      <c r="J116" s="138" t="str">
        <f>IF(ROUND(E116,0)=ROUND(SUMIFS(AN_TME_BY[[#All],[Count of Members with Claims Truncated]], AN_TME_BY[[#All],[Insurance Category Code]],2, AN_TME_BY[[#All],[Advanced Network/Insurance Carrier Org ID]],B116),0), "TRUE", ROUND(E116-SUMIFS(AN_TME_BY[[#All],[Count of Members with Claims Truncated]], AN_TME_BY[[#All],[Insurance Category Code]],2, AN_TME_BY[[#All],[Advanced Network/Insurance Carrier Org ID]],B116),2))</f>
        <v>TRUE</v>
      </c>
      <c r="K116" s="365" t="str">
        <f>IF(ROUND(F116,0)=ROUND(SUMIFS(AN_TME_BY[[#All],[TOTAL Non-Truncated Unadjusted Claims Expenses]], AN_TME_BY[[#All],[Insurance Category Code]],2, AN_TME_BY[[#All],[Advanced Network/Insurance Carrier Org ID]],B116),0), "TRUE", ROUND(F116-SUMIFS(AN_TME_BY[[#All],[TOTAL Non-Truncated Unadjusted Claims Expenses]], AN_TME_BY[[#All],[Insurance Category Code]],2, AN_TME_BY[[#All],[Advanced Network/Insurance Carrier Org ID]],B116),2))</f>
        <v>TRUE</v>
      </c>
      <c r="L116" s="367" t="str">
        <f>IF(ROUND(G116,0)=ROUND(SUMIFS(AN_TME_BY[[#All],[TOTAL Truncated Unadjusted Claims Expenses (A21 -A19)]], AN_TME_BY[[#All],[Insurance Category Code]],2, AN_TME_BY[[#All],[Advanced Network/Insurance Carrier Org ID]],B116),0), "TRUE", ROUND(G116-SUMIFS(AN_TME_BY[[#All],[TOTAL Truncated Unadjusted Claims Expenses (A21 -A19)]], AN_TME_BY[[#All],[Insurance Category Code]],2, AN_TME_BY[[#All],[Advanced Network/Insurance Carrier Org ID]],B116),2))</f>
        <v>TRUE</v>
      </c>
      <c r="M116" s="362" t="str">
        <f t="shared" si="5"/>
        <v>TRUE</v>
      </c>
      <c r="N116" s="365" t="b">
        <f>ROUND(SUMIFS(AN_TME_BY[[#All],[TOTAL Non-Truncated Unadjusted Claims Expenses]], AN_TME_BY[[#All],[Insurance Category Code]],2, AN_TME_BY[[#All],[Advanced Network/Insurance Carrier Org ID]],B116), 2)&gt;=ROUND(SUMIFS(AN_TME_BY[[#All],[TOTAL Truncated Unadjusted Claims Expenses (A21 -A19)]], AN_TME_BY[[#All],[Insurance Category Code]], 2, AN_TME_BY[[#All],[Advanced Network/Insurance Carrier Org ID]],B116),2)</f>
        <v>1</v>
      </c>
      <c r="O116" s="367" t="b">
        <f>ROUND(SUMIFS(AN_TME_BY[[#All],[TOTAL Truncated Unadjusted Claims Expenses (A21 -A19)]], AN_TME_BY[[#All],[Insurance Category Code]],2, AN_TME_BY[[#All],[Advanced Network/Insurance Carrier Org ID]],B116)+SUMIFS(AN_TME_BY[[#All],[Total Claims Excluded because of Truncation]], AN_TME_BY[[#All],[Insurance Category Code]],2, AN_TME_BY[[#All],[Advanced Network/Insurance Carrier Org ID]],B116),2)=ROUND(SUMIFS(AN_TME_BY[[#All],[TOTAL Non-Truncated Unadjusted Claims Expenses]], AN_TME_BY[[#All],[Insurance Category Code]],2, AN_TME_BY[[#All],[Advanced Network/Insurance Carrier Org ID]],B116), 2)</f>
        <v>1</v>
      </c>
      <c r="R116" s="184">
        <v>126</v>
      </c>
      <c r="S116" s="204">
        <f>ROUND(SUMIFS(Age_Sex_PY[[#All],[Total Member Months by Age/Sex Band]], Age_Sex_PY[[#All],[Advanced Network ID]], $R116, Age_Sex_PY[[#All],[Insurance Category Code]],2), 2)</f>
        <v>0</v>
      </c>
      <c r="T116" s="202">
        <f>ROUND(SUMIFS(Age_Sex_PY[[#All],[Total Dollars Excluded from Spending After Applying Truncation at the Member Level]], Age_Sex_PY[[#All],[Advanced Network ID]], $R116, Age_Sex_PY[[#All],[Insurance Category Code]],2), 2)</f>
        <v>0</v>
      </c>
      <c r="U116" s="189">
        <f>ROUND(SUMIFS(Age_Sex_PY[[#All],[Count of Members whose Spending was Truncated]], Age_Sex_PY[[#All],[Advanced Network ID]], $R116, Age_Sex_PY[[#All],[Insurance Category Code]],2),2)</f>
        <v>0</v>
      </c>
      <c r="V116" s="202">
        <f>ROUND(SUMIFS(Age_Sex_PY[[#All],[Total Spending before Truncation is Applied]], Age_Sex_PY[[#All],[Advanced Network ID]], $R116, Age_Sex_PY[[#All],[Insurance Category Code]],2), 2)</f>
        <v>0</v>
      </c>
      <c r="W116" s="203">
        <f>ROUND(SUMIFS(Age_Sex_PY[[#All],[Total Spending After Applying Truncation at the Member Level]], Age_Sex_PY[[#All],[Advanced Network ID]], $R116, Age_Sex_PY[[#All],[Insurance Category Code]],2), 2)</f>
        <v>0</v>
      </c>
      <c r="X116" s="362" t="str">
        <f>IF(ROUND(S116,0)=ROUND(SUMIFS(AN_TME_PY[[#All],[Member Months]], AN_TME_PY[[#All],[Insurance Category Code]],2, AN_TME_PY[[#All],[Advanced Network/Insurance Carrier Org ID]],R116),0), "TRUE", ROUND(S116-SUMIFS(AN_TME_PY[[#All],[Member Months]], AN_TME_PY[[#All],[Insurance Category Code]],2, AN_TME_PY[[#All],[Advanced Network/Insurance Carrier Org ID]],R116),2))</f>
        <v>TRUE</v>
      </c>
      <c r="Y116" s="365" t="str">
        <f>IF(ROUND(T116,0)=ROUND(SUMIFS(AN_TME_PY[[#All],[Total Claims Excluded because of Truncation]], AN_TME_PY[[#All],[Insurance Category Code]],2, AN_TME_PY[[#All],[Advanced Network/Insurance Carrier Org ID]],R116),0), "TRUE", ROUND(T116-SUMIFS(AN_TME_PY[[#All],[Total Claims Excluded because of Truncation]], AN_TME_PY[[#All],[Insurance Category Code]],2, AN_TME_PY[[#All],[Advanced Network/Insurance Carrier Org ID]],R116),2))</f>
        <v>TRUE</v>
      </c>
      <c r="Z116" s="138" t="str">
        <f>IF(ROUND(U116,0)=ROUND(SUMIFS(AN_TME_PY[[#All],[Count of Members with Claims Truncated]], AN_TME_PY[[#All],[Insurance Category Code]],2, AN_TME_PY[[#All],[Advanced Network/Insurance Carrier Org ID]],R116),0), "TRUE", ROUND(U116-SUMIFS(AN_TME_PY[[#All],[Count of Members with Claims Truncated]], AN_TME_PY[[#All],[Insurance Category Code]],2, AN_TME_PY[[#All],[Advanced Network/Insurance Carrier Org ID]],R116),2))</f>
        <v>TRUE</v>
      </c>
      <c r="AA116" s="365" t="str">
        <f>IF(ROUND(V116,0)=ROUND(SUMIFS(AN_TME_PY[[#All],[TOTAL Non-Truncated Unadjusted Claims Expenses]], AN_TME_PY[[#All],[Insurance Category Code]],2, AN_TME_PY[[#All],[Advanced Network/Insurance Carrier Org ID]],R116),0), "TRUE", ROUND(V116-SUMIFS(AN_TME_PY[[#All],[TOTAL Non-Truncated Unadjusted Claims Expenses]], AN_TME_PY[[#All],[Insurance Category Code]],2, AN_TME_PY[[#All],[Advanced Network/Insurance Carrier Org ID]],R116),2))</f>
        <v>TRUE</v>
      </c>
      <c r="AB116" s="367" t="str">
        <f>IF(ROUND(W116,0)=ROUND(SUMIFS(AN_TME_PY[[#All],[TOTAL Truncated Unadjusted Claims Expenses (A21 -A19)]], AN_TME_PY[[#All],[Insurance Category Code]],2, AN_TME_PY[[#All],[Advanced Network/Insurance Carrier Org ID]],R116),0), "TRUE", ROUND(W116-SUMIFS(AN_TME_PY[[#All],[TOTAL Truncated Unadjusted Claims Expenses (A21 -A19)]], AN_TME_PY[[#All],[Insurance Category Code]],2, AN_TME_PY[[#All],[Advanced Network/Insurance Carrier Org ID]],R116),2))</f>
        <v>TRUE</v>
      </c>
      <c r="AC116" s="362" t="str">
        <f t="shared" si="6"/>
        <v>TRUE</v>
      </c>
      <c r="AD116" s="365" t="b">
        <f>ROUND(SUMIFS(AN_TME_PY[[#All],[TOTAL Non-Truncated Unadjusted Claims Expenses]], AN_TME_PY[[#All],[Insurance Category Code]],2, AN_TME_PY[[#All],[Advanced Network/Insurance Carrier Org ID]],R116), 2)&gt;=ROUND(SUMIFS(AN_TME_PY[[#All],[TOTAL Truncated Unadjusted Claims Expenses (A21 -A19)]], AN_TME_PY[[#All],[Insurance Category Code]], 2, AN_TME_PY[[#All],[Advanced Network/Insurance Carrier Org ID]],R116),2)</f>
        <v>1</v>
      </c>
      <c r="AE116" s="367" t="b">
        <f>ROUND(SUMIFS(AN_TME_PY[[#All],[TOTAL Truncated Unadjusted Claims Expenses (A21 -A19)]], AN_TME_PY[[#All],[Insurance Category Code]],2, AN_TME_PY[[#All],[Advanced Network/Insurance Carrier Org ID]],R116)+SUMIFS(AN_TME_PY[[#All],[Total Claims Excluded because of Truncation]], AN_TME_PY[[#All],[Insurance Category Code]],2, AN_TME_PY[[#All],[Advanced Network/Insurance Carrier Org ID]],R116),2)=ROUND(SUMIFS(AN_TME_PY[[#All],[TOTAL Non-Truncated Unadjusted Claims Expenses]], AN_TME_PY[[#All],[Insurance Category Code]],2, AN_TME_PY[[#All],[Advanced Network/Insurance Carrier Org ID]],R116), 2)</f>
        <v>1</v>
      </c>
      <c r="AH116" s="213" t="str">
        <f t="shared" si="7"/>
        <v>NA</v>
      </c>
    </row>
    <row r="117" spans="2:34" x14ac:dyDescent="0.25">
      <c r="B117" s="184">
        <v>127</v>
      </c>
      <c r="C117" s="204">
        <f>ROUND(SUMIFS(Age_Sex_BY[[#All],[Total Member Months by Age/Sex Band]], Age_Sex_BY[[#All],[Advanced Network ID]], $B117, Age_Sex_BY[[#All],[Insurance Category Code]],2), 2)</f>
        <v>0</v>
      </c>
      <c r="D117" s="202">
        <f>ROUND(SUMIFS(Age_Sex_BY[[#All],[Total Dollars Excluded from Spending After Applying Truncation at the Member Level]], Age_Sex_BY[[#All],[Advanced Network ID]], $B117, Age_Sex_BY[[#All],[Insurance Category Code]],2), 2)</f>
        <v>0</v>
      </c>
      <c r="E117" s="189">
        <f>ROUND(SUMIFS(Age_Sex_BY[[#All],[Count of Members whose Spending was Truncated]], Age_Sex_BY[[#All],[Advanced Network ID]], $B117, Age_Sex_BY[[#All],[Insurance Category Code]],2),2)</f>
        <v>0</v>
      </c>
      <c r="F117" s="202">
        <f>ROUND(SUMIFS(Age_Sex_BY[[#All],[Total Spending before Truncation is Applied]], Age_Sex_BY[[#All],[Advanced Network ID]], $B117, Age_Sex_BY[[#All],[Insurance Category Code]],2), 2)</f>
        <v>0</v>
      </c>
      <c r="G117" s="203">
        <f>ROUND(SUMIFS(Age_Sex_BY[[#All],[Total Spending After Applying Truncation at the Member Level]], Age_Sex_BY[[#All],[Advanced Network ID]], $B117, Age_Sex_BY[[#All],[Insurance Category Code]],2), 2)</f>
        <v>0</v>
      </c>
      <c r="H117" s="362" t="str">
        <f>IF(ROUND(C117,0)=ROUND(SUMIFS(AN_TME_BY[[#All],[Member Months]], AN_TME_BY[[#All],[Insurance Category Code]],2, AN_TME_BY[[#All],[Advanced Network/Insurance Carrier Org ID]],B117),0), "TRUE", ROUND(C117-SUMIFS(AN_TME_BY[[#All],[Member Months]], AN_TME_BY[[#All],[Insurance Category Code]],2, AN_TME_BY[[#All],[Advanced Network/Insurance Carrier Org ID]],B117),2))</f>
        <v>TRUE</v>
      </c>
      <c r="I117" s="365" t="str">
        <f>IF(ROUND(D117,0)=ROUND(SUMIFS(AN_TME_BY[[#All],[Total Claims Excluded because of Truncation]], AN_TME_BY[[#All],[Insurance Category Code]],2, AN_TME_BY[[#All],[Advanced Network/Insurance Carrier Org ID]],B117),0), "TRUE", ROUND(D117-SUMIFS(AN_TME_BY[[#All],[Total Claims Excluded because of Truncation]], AN_TME_BY[[#All],[Insurance Category Code]],2, AN_TME_BY[[#All],[Advanced Network/Insurance Carrier Org ID]],B117),2))</f>
        <v>TRUE</v>
      </c>
      <c r="J117" s="138" t="str">
        <f>IF(ROUND(E117,0)=ROUND(SUMIFS(AN_TME_BY[[#All],[Count of Members with Claims Truncated]], AN_TME_BY[[#All],[Insurance Category Code]],2, AN_TME_BY[[#All],[Advanced Network/Insurance Carrier Org ID]],B117),0), "TRUE", ROUND(E117-SUMIFS(AN_TME_BY[[#All],[Count of Members with Claims Truncated]], AN_TME_BY[[#All],[Insurance Category Code]],2, AN_TME_BY[[#All],[Advanced Network/Insurance Carrier Org ID]],B117),2))</f>
        <v>TRUE</v>
      </c>
      <c r="K117" s="365" t="str">
        <f>IF(ROUND(F117,0)=ROUND(SUMIFS(AN_TME_BY[[#All],[TOTAL Non-Truncated Unadjusted Claims Expenses]], AN_TME_BY[[#All],[Insurance Category Code]],2, AN_TME_BY[[#All],[Advanced Network/Insurance Carrier Org ID]],B117),0), "TRUE", ROUND(F117-SUMIFS(AN_TME_BY[[#All],[TOTAL Non-Truncated Unadjusted Claims Expenses]], AN_TME_BY[[#All],[Insurance Category Code]],2, AN_TME_BY[[#All],[Advanced Network/Insurance Carrier Org ID]],B117),2))</f>
        <v>TRUE</v>
      </c>
      <c r="L117" s="367" t="str">
        <f>IF(ROUND(G117,0)=ROUND(SUMIFS(AN_TME_BY[[#All],[TOTAL Truncated Unadjusted Claims Expenses (A21 -A19)]], AN_TME_BY[[#All],[Insurance Category Code]],2, AN_TME_BY[[#All],[Advanced Network/Insurance Carrier Org ID]],B117),0), "TRUE", ROUND(G117-SUMIFS(AN_TME_BY[[#All],[TOTAL Truncated Unadjusted Claims Expenses (A21 -A19)]], AN_TME_BY[[#All],[Insurance Category Code]],2, AN_TME_BY[[#All],[Advanced Network/Insurance Carrier Org ID]],B117),2))</f>
        <v>TRUE</v>
      </c>
      <c r="M117" s="362" t="str">
        <f t="shared" si="5"/>
        <v>TRUE</v>
      </c>
      <c r="N117" s="365" t="b">
        <f>ROUND(SUMIFS(AN_TME_BY[[#All],[TOTAL Non-Truncated Unadjusted Claims Expenses]], AN_TME_BY[[#All],[Insurance Category Code]],2, AN_TME_BY[[#All],[Advanced Network/Insurance Carrier Org ID]],B117), 2)&gt;=ROUND(SUMIFS(AN_TME_BY[[#All],[TOTAL Truncated Unadjusted Claims Expenses (A21 -A19)]], AN_TME_BY[[#All],[Insurance Category Code]], 2, AN_TME_BY[[#All],[Advanced Network/Insurance Carrier Org ID]],B117),2)</f>
        <v>1</v>
      </c>
      <c r="O117" s="367" t="b">
        <f>ROUND(SUMIFS(AN_TME_BY[[#All],[TOTAL Truncated Unadjusted Claims Expenses (A21 -A19)]], AN_TME_BY[[#All],[Insurance Category Code]],2, AN_TME_BY[[#All],[Advanced Network/Insurance Carrier Org ID]],B117)+SUMIFS(AN_TME_BY[[#All],[Total Claims Excluded because of Truncation]], AN_TME_BY[[#All],[Insurance Category Code]],2, AN_TME_BY[[#All],[Advanced Network/Insurance Carrier Org ID]],B117),2)=ROUND(SUMIFS(AN_TME_BY[[#All],[TOTAL Non-Truncated Unadjusted Claims Expenses]], AN_TME_BY[[#All],[Insurance Category Code]],2, AN_TME_BY[[#All],[Advanced Network/Insurance Carrier Org ID]],B117), 2)</f>
        <v>1</v>
      </c>
      <c r="R117" s="184">
        <v>127</v>
      </c>
      <c r="S117" s="204">
        <f>ROUND(SUMIFS(Age_Sex_PY[[#All],[Total Member Months by Age/Sex Band]], Age_Sex_PY[[#All],[Advanced Network ID]], $R117, Age_Sex_PY[[#All],[Insurance Category Code]],2), 2)</f>
        <v>0</v>
      </c>
      <c r="T117" s="202">
        <f>ROUND(SUMIFS(Age_Sex_PY[[#All],[Total Dollars Excluded from Spending After Applying Truncation at the Member Level]], Age_Sex_PY[[#All],[Advanced Network ID]], $R117, Age_Sex_PY[[#All],[Insurance Category Code]],2), 2)</f>
        <v>0</v>
      </c>
      <c r="U117" s="189">
        <f>ROUND(SUMIFS(Age_Sex_PY[[#All],[Count of Members whose Spending was Truncated]], Age_Sex_PY[[#All],[Advanced Network ID]], $R117, Age_Sex_PY[[#All],[Insurance Category Code]],2),2)</f>
        <v>0</v>
      </c>
      <c r="V117" s="202">
        <f>ROUND(SUMIFS(Age_Sex_PY[[#All],[Total Spending before Truncation is Applied]], Age_Sex_PY[[#All],[Advanced Network ID]], $R117, Age_Sex_PY[[#All],[Insurance Category Code]],2), 2)</f>
        <v>0</v>
      </c>
      <c r="W117" s="203">
        <f>ROUND(SUMIFS(Age_Sex_PY[[#All],[Total Spending After Applying Truncation at the Member Level]], Age_Sex_PY[[#All],[Advanced Network ID]], $R117, Age_Sex_PY[[#All],[Insurance Category Code]],2), 2)</f>
        <v>0</v>
      </c>
      <c r="X117" s="362" t="str">
        <f>IF(ROUND(S117,0)=ROUND(SUMIFS(AN_TME_PY[[#All],[Member Months]], AN_TME_PY[[#All],[Insurance Category Code]],2, AN_TME_PY[[#All],[Advanced Network/Insurance Carrier Org ID]],R117),0), "TRUE", ROUND(S117-SUMIFS(AN_TME_PY[[#All],[Member Months]], AN_TME_PY[[#All],[Insurance Category Code]],2, AN_TME_PY[[#All],[Advanced Network/Insurance Carrier Org ID]],R117),2))</f>
        <v>TRUE</v>
      </c>
      <c r="Y117" s="365" t="str">
        <f>IF(ROUND(T117,0)=ROUND(SUMIFS(AN_TME_PY[[#All],[Total Claims Excluded because of Truncation]], AN_TME_PY[[#All],[Insurance Category Code]],2, AN_TME_PY[[#All],[Advanced Network/Insurance Carrier Org ID]],R117),0), "TRUE", ROUND(T117-SUMIFS(AN_TME_PY[[#All],[Total Claims Excluded because of Truncation]], AN_TME_PY[[#All],[Insurance Category Code]],2, AN_TME_PY[[#All],[Advanced Network/Insurance Carrier Org ID]],R117),2))</f>
        <v>TRUE</v>
      </c>
      <c r="Z117" s="138" t="str">
        <f>IF(ROUND(U117,0)=ROUND(SUMIFS(AN_TME_PY[[#All],[Count of Members with Claims Truncated]], AN_TME_PY[[#All],[Insurance Category Code]],2, AN_TME_PY[[#All],[Advanced Network/Insurance Carrier Org ID]],R117),0), "TRUE", ROUND(U117-SUMIFS(AN_TME_PY[[#All],[Count of Members with Claims Truncated]], AN_TME_PY[[#All],[Insurance Category Code]],2, AN_TME_PY[[#All],[Advanced Network/Insurance Carrier Org ID]],R117),2))</f>
        <v>TRUE</v>
      </c>
      <c r="AA117" s="365" t="str">
        <f>IF(ROUND(V117,0)=ROUND(SUMIFS(AN_TME_PY[[#All],[TOTAL Non-Truncated Unadjusted Claims Expenses]], AN_TME_PY[[#All],[Insurance Category Code]],2, AN_TME_PY[[#All],[Advanced Network/Insurance Carrier Org ID]],R117),0), "TRUE", ROUND(V117-SUMIFS(AN_TME_PY[[#All],[TOTAL Non-Truncated Unadjusted Claims Expenses]], AN_TME_PY[[#All],[Insurance Category Code]],2, AN_TME_PY[[#All],[Advanced Network/Insurance Carrier Org ID]],R117),2))</f>
        <v>TRUE</v>
      </c>
      <c r="AB117" s="367" t="str">
        <f>IF(ROUND(W117,0)=ROUND(SUMIFS(AN_TME_PY[[#All],[TOTAL Truncated Unadjusted Claims Expenses (A21 -A19)]], AN_TME_PY[[#All],[Insurance Category Code]],2, AN_TME_PY[[#All],[Advanced Network/Insurance Carrier Org ID]],R117),0), "TRUE", ROUND(W117-SUMIFS(AN_TME_PY[[#All],[TOTAL Truncated Unadjusted Claims Expenses (A21 -A19)]], AN_TME_PY[[#All],[Insurance Category Code]],2, AN_TME_PY[[#All],[Advanced Network/Insurance Carrier Org ID]],R117),2))</f>
        <v>TRUE</v>
      </c>
      <c r="AC117" s="362" t="str">
        <f t="shared" si="6"/>
        <v>TRUE</v>
      </c>
      <c r="AD117" s="365" t="b">
        <f>ROUND(SUMIFS(AN_TME_PY[[#All],[TOTAL Non-Truncated Unadjusted Claims Expenses]], AN_TME_PY[[#All],[Insurance Category Code]],2, AN_TME_PY[[#All],[Advanced Network/Insurance Carrier Org ID]],R117), 2)&gt;=ROUND(SUMIFS(AN_TME_PY[[#All],[TOTAL Truncated Unadjusted Claims Expenses (A21 -A19)]], AN_TME_PY[[#All],[Insurance Category Code]], 2, AN_TME_PY[[#All],[Advanced Network/Insurance Carrier Org ID]],R117),2)</f>
        <v>1</v>
      </c>
      <c r="AE117" s="367" t="b">
        <f>ROUND(SUMIFS(AN_TME_PY[[#All],[TOTAL Truncated Unadjusted Claims Expenses (A21 -A19)]], AN_TME_PY[[#All],[Insurance Category Code]],2, AN_TME_PY[[#All],[Advanced Network/Insurance Carrier Org ID]],R117)+SUMIFS(AN_TME_PY[[#All],[Total Claims Excluded because of Truncation]], AN_TME_PY[[#All],[Insurance Category Code]],2, AN_TME_PY[[#All],[Advanced Network/Insurance Carrier Org ID]],R117),2)=ROUND(SUMIFS(AN_TME_PY[[#All],[TOTAL Non-Truncated Unadjusted Claims Expenses]], AN_TME_PY[[#All],[Insurance Category Code]],2, AN_TME_PY[[#All],[Advanced Network/Insurance Carrier Org ID]],R117), 2)</f>
        <v>1</v>
      </c>
      <c r="AH117" s="213" t="str">
        <f t="shared" si="7"/>
        <v>NA</v>
      </c>
    </row>
    <row r="118" spans="2:34" x14ac:dyDescent="0.25">
      <c r="B118" s="184">
        <v>128</v>
      </c>
      <c r="C118" s="204">
        <f>ROUND(SUMIFS(Age_Sex_BY[[#All],[Total Member Months by Age/Sex Band]], Age_Sex_BY[[#All],[Advanced Network ID]], $B118, Age_Sex_BY[[#All],[Insurance Category Code]],2), 2)</f>
        <v>0</v>
      </c>
      <c r="D118" s="202">
        <f>ROUND(SUMIFS(Age_Sex_BY[[#All],[Total Dollars Excluded from Spending After Applying Truncation at the Member Level]], Age_Sex_BY[[#All],[Advanced Network ID]], $B118, Age_Sex_BY[[#All],[Insurance Category Code]],2), 2)</f>
        <v>0</v>
      </c>
      <c r="E118" s="189">
        <f>ROUND(SUMIFS(Age_Sex_BY[[#All],[Count of Members whose Spending was Truncated]], Age_Sex_BY[[#All],[Advanced Network ID]], $B118, Age_Sex_BY[[#All],[Insurance Category Code]],2),2)</f>
        <v>0</v>
      </c>
      <c r="F118" s="202">
        <f>ROUND(SUMIFS(Age_Sex_BY[[#All],[Total Spending before Truncation is Applied]], Age_Sex_BY[[#All],[Advanced Network ID]], $B118, Age_Sex_BY[[#All],[Insurance Category Code]],2), 2)</f>
        <v>0</v>
      </c>
      <c r="G118" s="203">
        <f>ROUND(SUMIFS(Age_Sex_BY[[#All],[Total Spending After Applying Truncation at the Member Level]], Age_Sex_BY[[#All],[Advanced Network ID]], $B118, Age_Sex_BY[[#All],[Insurance Category Code]],2), 2)</f>
        <v>0</v>
      </c>
      <c r="H118" s="362" t="str">
        <f>IF(ROUND(C118,0)=ROUND(SUMIFS(AN_TME_BY[[#All],[Member Months]], AN_TME_BY[[#All],[Insurance Category Code]],2, AN_TME_BY[[#All],[Advanced Network/Insurance Carrier Org ID]],B118),0), "TRUE", ROUND(C118-SUMIFS(AN_TME_BY[[#All],[Member Months]], AN_TME_BY[[#All],[Insurance Category Code]],2, AN_TME_BY[[#All],[Advanced Network/Insurance Carrier Org ID]],B118),2))</f>
        <v>TRUE</v>
      </c>
      <c r="I118" s="365" t="str">
        <f>IF(ROUND(D118,0)=ROUND(SUMIFS(AN_TME_BY[[#All],[Total Claims Excluded because of Truncation]], AN_TME_BY[[#All],[Insurance Category Code]],2, AN_TME_BY[[#All],[Advanced Network/Insurance Carrier Org ID]],B118),0), "TRUE", ROUND(D118-SUMIFS(AN_TME_BY[[#All],[Total Claims Excluded because of Truncation]], AN_TME_BY[[#All],[Insurance Category Code]],2, AN_TME_BY[[#All],[Advanced Network/Insurance Carrier Org ID]],B118),2))</f>
        <v>TRUE</v>
      </c>
      <c r="J118" s="138" t="str">
        <f>IF(ROUND(E118,0)=ROUND(SUMIFS(AN_TME_BY[[#All],[Count of Members with Claims Truncated]], AN_TME_BY[[#All],[Insurance Category Code]],2, AN_TME_BY[[#All],[Advanced Network/Insurance Carrier Org ID]],B118),0), "TRUE", ROUND(E118-SUMIFS(AN_TME_BY[[#All],[Count of Members with Claims Truncated]], AN_TME_BY[[#All],[Insurance Category Code]],2, AN_TME_BY[[#All],[Advanced Network/Insurance Carrier Org ID]],B118),2))</f>
        <v>TRUE</v>
      </c>
      <c r="K118" s="365" t="str">
        <f>IF(ROUND(F118,0)=ROUND(SUMIFS(AN_TME_BY[[#All],[TOTAL Non-Truncated Unadjusted Claims Expenses]], AN_TME_BY[[#All],[Insurance Category Code]],2, AN_TME_BY[[#All],[Advanced Network/Insurance Carrier Org ID]],B118),0), "TRUE", ROUND(F118-SUMIFS(AN_TME_BY[[#All],[TOTAL Non-Truncated Unadjusted Claims Expenses]], AN_TME_BY[[#All],[Insurance Category Code]],2, AN_TME_BY[[#All],[Advanced Network/Insurance Carrier Org ID]],B118),2))</f>
        <v>TRUE</v>
      </c>
      <c r="L118" s="367" t="str">
        <f>IF(ROUND(G118,0)=ROUND(SUMIFS(AN_TME_BY[[#All],[TOTAL Truncated Unadjusted Claims Expenses (A21 -A19)]], AN_TME_BY[[#All],[Insurance Category Code]],2, AN_TME_BY[[#All],[Advanced Network/Insurance Carrier Org ID]],B118),0), "TRUE", ROUND(G118-SUMIFS(AN_TME_BY[[#All],[TOTAL Truncated Unadjusted Claims Expenses (A21 -A19)]], AN_TME_BY[[#All],[Insurance Category Code]],2, AN_TME_BY[[#All],[Advanced Network/Insurance Carrier Org ID]],B118),2))</f>
        <v>TRUE</v>
      </c>
      <c r="M118" s="362" t="str">
        <f t="shared" si="5"/>
        <v>TRUE</v>
      </c>
      <c r="N118" s="365" t="b">
        <f>ROUND(SUMIFS(AN_TME_BY[[#All],[TOTAL Non-Truncated Unadjusted Claims Expenses]], AN_TME_BY[[#All],[Insurance Category Code]],2, AN_TME_BY[[#All],[Advanced Network/Insurance Carrier Org ID]],B118), 2)&gt;=ROUND(SUMIFS(AN_TME_BY[[#All],[TOTAL Truncated Unadjusted Claims Expenses (A21 -A19)]], AN_TME_BY[[#All],[Insurance Category Code]], 2, AN_TME_BY[[#All],[Advanced Network/Insurance Carrier Org ID]],B118),2)</f>
        <v>1</v>
      </c>
      <c r="O118" s="367" t="b">
        <f>ROUND(SUMIFS(AN_TME_BY[[#All],[TOTAL Truncated Unadjusted Claims Expenses (A21 -A19)]], AN_TME_BY[[#All],[Insurance Category Code]],2, AN_TME_BY[[#All],[Advanced Network/Insurance Carrier Org ID]],B118)+SUMIFS(AN_TME_BY[[#All],[Total Claims Excluded because of Truncation]], AN_TME_BY[[#All],[Insurance Category Code]],2, AN_TME_BY[[#All],[Advanced Network/Insurance Carrier Org ID]],B118),2)=ROUND(SUMIFS(AN_TME_BY[[#All],[TOTAL Non-Truncated Unadjusted Claims Expenses]], AN_TME_BY[[#All],[Insurance Category Code]],2, AN_TME_BY[[#All],[Advanced Network/Insurance Carrier Org ID]],B118), 2)</f>
        <v>1</v>
      </c>
      <c r="R118" s="184">
        <v>128</v>
      </c>
      <c r="S118" s="204">
        <f>ROUND(SUMIFS(Age_Sex_PY[[#All],[Total Member Months by Age/Sex Band]], Age_Sex_PY[[#All],[Advanced Network ID]], $R118, Age_Sex_PY[[#All],[Insurance Category Code]],2), 2)</f>
        <v>0</v>
      </c>
      <c r="T118" s="202">
        <f>ROUND(SUMIFS(Age_Sex_PY[[#All],[Total Dollars Excluded from Spending After Applying Truncation at the Member Level]], Age_Sex_PY[[#All],[Advanced Network ID]], $R118, Age_Sex_PY[[#All],[Insurance Category Code]],2), 2)</f>
        <v>0</v>
      </c>
      <c r="U118" s="189">
        <f>ROUND(SUMIFS(Age_Sex_PY[[#All],[Count of Members whose Spending was Truncated]], Age_Sex_PY[[#All],[Advanced Network ID]], $R118, Age_Sex_PY[[#All],[Insurance Category Code]],2),2)</f>
        <v>0</v>
      </c>
      <c r="V118" s="202">
        <f>ROUND(SUMIFS(Age_Sex_PY[[#All],[Total Spending before Truncation is Applied]], Age_Sex_PY[[#All],[Advanced Network ID]], $R118, Age_Sex_PY[[#All],[Insurance Category Code]],2), 2)</f>
        <v>0</v>
      </c>
      <c r="W118" s="203">
        <f>ROUND(SUMIFS(Age_Sex_PY[[#All],[Total Spending After Applying Truncation at the Member Level]], Age_Sex_PY[[#All],[Advanced Network ID]], $R118, Age_Sex_PY[[#All],[Insurance Category Code]],2), 2)</f>
        <v>0</v>
      </c>
      <c r="X118" s="362" t="str">
        <f>IF(ROUND(S118,0)=ROUND(SUMIFS(AN_TME_PY[[#All],[Member Months]], AN_TME_PY[[#All],[Insurance Category Code]],2, AN_TME_PY[[#All],[Advanced Network/Insurance Carrier Org ID]],R118),0), "TRUE", ROUND(S118-SUMIFS(AN_TME_PY[[#All],[Member Months]], AN_TME_PY[[#All],[Insurance Category Code]],2, AN_TME_PY[[#All],[Advanced Network/Insurance Carrier Org ID]],R118),2))</f>
        <v>TRUE</v>
      </c>
      <c r="Y118" s="365" t="str">
        <f>IF(ROUND(T118,0)=ROUND(SUMIFS(AN_TME_PY[[#All],[Total Claims Excluded because of Truncation]], AN_TME_PY[[#All],[Insurance Category Code]],2, AN_TME_PY[[#All],[Advanced Network/Insurance Carrier Org ID]],R118),0), "TRUE", ROUND(T118-SUMIFS(AN_TME_PY[[#All],[Total Claims Excluded because of Truncation]], AN_TME_PY[[#All],[Insurance Category Code]],2, AN_TME_PY[[#All],[Advanced Network/Insurance Carrier Org ID]],R118),2))</f>
        <v>TRUE</v>
      </c>
      <c r="Z118" s="138" t="str">
        <f>IF(ROUND(U118,0)=ROUND(SUMIFS(AN_TME_PY[[#All],[Count of Members with Claims Truncated]], AN_TME_PY[[#All],[Insurance Category Code]],2, AN_TME_PY[[#All],[Advanced Network/Insurance Carrier Org ID]],R118),0), "TRUE", ROUND(U118-SUMIFS(AN_TME_PY[[#All],[Count of Members with Claims Truncated]], AN_TME_PY[[#All],[Insurance Category Code]],2, AN_TME_PY[[#All],[Advanced Network/Insurance Carrier Org ID]],R118),2))</f>
        <v>TRUE</v>
      </c>
      <c r="AA118" s="365" t="str">
        <f>IF(ROUND(V118,0)=ROUND(SUMIFS(AN_TME_PY[[#All],[TOTAL Non-Truncated Unadjusted Claims Expenses]], AN_TME_PY[[#All],[Insurance Category Code]],2, AN_TME_PY[[#All],[Advanced Network/Insurance Carrier Org ID]],R118),0), "TRUE", ROUND(V118-SUMIFS(AN_TME_PY[[#All],[TOTAL Non-Truncated Unadjusted Claims Expenses]], AN_TME_PY[[#All],[Insurance Category Code]],2, AN_TME_PY[[#All],[Advanced Network/Insurance Carrier Org ID]],R118),2))</f>
        <v>TRUE</v>
      </c>
      <c r="AB118" s="367" t="str">
        <f>IF(ROUND(W118,0)=ROUND(SUMIFS(AN_TME_PY[[#All],[TOTAL Truncated Unadjusted Claims Expenses (A21 -A19)]], AN_TME_PY[[#All],[Insurance Category Code]],2, AN_TME_PY[[#All],[Advanced Network/Insurance Carrier Org ID]],R118),0), "TRUE", ROUND(W118-SUMIFS(AN_TME_PY[[#All],[TOTAL Truncated Unadjusted Claims Expenses (A21 -A19)]], AN_TME_PY[[#All],[Insurance Category Code]],2, AN_TME_PY[[#All],[Advanced Network/Insurance Carrier Org ID]],R118),2))</f>
        <v>TRUE</v>
      </c>
      <c r="AC118" s="362" t="str">
        <f t="shared" si="6"/>
        <v>TRUE</v>
      </c>
      <c r="AD118" s="365" t="b">
        <f>ROUND(SUMIFS(AN_TME_PY[[#All],[TOTAL Non-Truncated Unadjusted Claims Expenses]], AN_TME_PY[[#All],[Insurance Category Code]],2, AN_TME_PY[[#All],[Advanced Network/Insurance Carrier Org ID]],R118), 2)&gt;=ROUND(SUMIFS(AN_TME_PY[[#All],[TOTAL Truncated Unadjusted Claims Expenses (A21 -A19)]], AN_TME_PY[[#All],[Insurance Category Code]], 2, AN_TME_PY[[#All],[Advanced Network/Insurance Carrier Org ID]],R118),2)</f>
        <v>1</v>
      </c>
      <c r="AE118" s="367" t="b">
        <f>ROUND(SUMIFS(AN_TME_PY[[#All],[TOTAL Truncated Unadjusted Claims Expenses (A21 -A19)]], AN_TME_PY[[#All],[Insurance Category Code]],2, AN_TME_PY[[#All],[Advanced Network/Insurance Carrier Org ID]],R118)+SUMIFS(AN_TME_PY[[#All],[Total Claims Excluded because of Truncation]], AN_TME_PY[[#All],[Insurance Category Code]],2, AN_TME_PY[[#All],[Advanced Network/Insurance Carrier Org ID]],R118),2)=ROUND(SUMIFS(AN_TME_PY[[#All],[TOTAL Non-Truncated Unadjusted Claims Expenses]], AN_TME_PY[[#All],[Insurance Category Code]],2, AN_TME_PY[[#All],[Advanced Network/Insurance Carrier Org ID]],R118), 2)</f>
        <v>1</v>
      </c>
      <c r="AH118" s="213" t="str">
        <f t="shared" si="7"/>
        <v>NA</v>
      </c>
    </row>
    <row r="119" spans="2:34" x14ac:dyDescent="0.25">
      <c r="B119" s="184">
        <v>129</v>
      </c>
      <c r="C119" s="204">
        <f>ROUND(SUMIFS(Age_Sex_BY[[#All],[Total Member Months by Age/Sex Band]], Age_Sex_BY[[#All],[Advanced Network ID]], $B119, Age_Sex_BY[[#All],[Insurance Category Code]],2), 2)</f>
        <v>0</v>
      </c>
      <c r="D119" s="202">
        <f>ROUND(SUMIFS(Age_Sex_BY[[#All],[Total Dollars Excluded from Spending After Applying Truncation at the Member Level]], Age_Sex_BY[[#All],[Advanced Network ID]], $B119, Age_Sex_BY[[#All],[Insurance Category Code]],2), 2)</f>
        <v>0</v>
      </c>
      <c r="E119" s="189">
        <f>ROUND(SUMIFS(Age_Sex_BY[[#All],[Count of Members whose Spending was Truncated]], Age_Sex_BY[[#All],[Advanced Network ID]], $B119, Age_Sex_BY[[#All],[Insurance Category Code]],2),2)</f>
        <v>0</v>
      </c>
      <c r="F119" s="202">
        <f>ROUND(SUMIFS(Age_Sex_BY[[#All],[Total Spending before Truncation is Applied]], Age_Sex_BY[[#All],[Advanced Network ID]], $B119, Age_Sex_BY[[#All],[Insurance Category Code]],2), 2)</f>
        <v>0</v>
      </c>
      <c r="G119" s="203">
        <f>ROUND(SUMIFS(Age_Sex_BY[[#All],[Total Spending After Applying Truncation at the Member Level]], Age_Sex_BY[[#All],[Advanced Network ID]], $B119, Age_Sex_BY[[#All],[Insurance Category Code]],2), 2)</f>
        <v>0</v>
      </c>
      <c r="H119" s="362" t="str">
        <f>IF(ROUND(C119,0)=ROUND(SUMIFS(AN_TME_BY[[#All],[Member Months]], AN_TME_BY[[#All],[Insurance Category Code]],2, AN_TME_BY[[#All],[Advanced Network/Insurance Carrier Org ID]],B119),0), "TRUE", ROUND(C119-SUMIFS(AN_TME_BY[[#All],[Member Months]], AN_TME_BY[[#All],[Insurance Category Code]],2, AN_TME_BY[[#All],[Advanced Network/Insurance Carrier Org ID]],B119),2))</f>
        <v>TRUE</v>
      </c>
      <c r="I119" s="365" t="str">
        <f>IF(ROUND(D119,0)=ROUND(SUMIFS(AN_TME_BY[[#All],[Total Claims Excluded because of Truncation]], AN_TME_BY[[#All],[Insurance Category Code]],2, AN_TME_BY[[#All],[Advanced Network/Insurance Carrier Org ID]],B119),0), "TRUE", ROUND(D119-SUMIFS(AN_TME_BY[[#All],[Total Claims Excluded because of Truncation]], AN_TME_BY[[#All],[Insurance Category Code]],2, AN_TME_BY[[#All],[Advanced Network/Insurance Carrier Org ID]],B119),2))</f>
        <v>TRUE</v>
      </c>
      <c r="J119" s="138" t="str">
        <f>IF(ROUND(E119,0)=ROUND(SUMIFS(AN_TME_BY[[#All],[Count of Members with Claims Truncated]], AN_TME_BY[[#All],[Insurance Category Code]],2, AN_TME_BY[[#All],[Advanced Network/Insurance Carrier Org ID]],B119),0), "TRUE", ROUND(E119-SUMIFS(AN_TME_BY[[#All],[Count of Members with Claims Truncated]], AN_TME_BY[[#All],[Insurance Category Code]],2, AN_TME_BY[[#All],[Advanced Network/Insurance Carrier Org ID]],B119),2))</f>
        <v>TRUE</v>
      </c>
      <c r="K119" s="365" t="str">
        <f>IF(ROUND(F119,0)=ROUND(SUMIFS(AN_TME_BY[[#All],[TOTAL Non-Truncated Unadjusted Claims Expenses]], AN_TME_BY[[#All],[Insurance Category Code]],2, AN_TME_BY[[#All],[Advanced Network/Insurance Carrier Org ID]],B119),0), "TRUE", ROUND(F119-SUMIFS(AN_TME_BY[[#All],[TOTAL Non-Truncated Unadjusted Claims Expenses]], AN_TME_BY[[#All],[Insurance Category Code]],2, AN_TME_BY[[#All],[Advanced Network/Insurance Carrier Org ID]],B119),2))</f>
        <v>TRUE</v>
      </c>
      <c r="L119" s="367" t="str">
        <f>IF(ROUND(G119,0)=ROUND(SUMIFS(AN_TME_BY[[#All],[TOTAL Truncated Unadjusted Claims Expenses (A21 -A19)]], AN_TME_BY[[#All],[Insurance Category Code]],2, AN_TME_BY[[#All],[Advanced Network/Insurance Carrier Org ID]],B119),0), "TRUE", ROUND(G119-SUMIFS(AN_TME_BY[[#All],[TOTAL Truncated Unadjusted Claims Expenses (A21 -A19)]], AN_TME_BY[[#All],[Insurance Category Code]],2, AN_TME_BY[[#All],[Advanced Network/Insurance Carrier Org ID]],B119),2))</f>
        <v>TRUE</v>
      </c>
      <c r="M119" s="362" t="str">
        <f t="shared" si="5"/>
        <v>TRUE</v>
      </c>
      <c r="N119" s="365" t="b">
        <f>ROUND(SUMIFS(AN_TME_BY[[#All],[TOTAL Non-Truncated Unadjusted Claims Expenses]], AN_TME_BY[[#All],[Insurance Category Code]],2, AN_TME_BY[[#All],[Advanced Network/Insurance Carrier Org ID]],B119), 2)&gt;=ROUND(SUMIFS(AN_TME_BY[[#All],[TOTAL Truncated Unadjusted Claims Expenses (A21 -A19)]], AN_TME_BY[[#All],[Insurance Category Code]], 2, AN_TME_BY[[#All],[Advanced Network/Insurance Carrier Org ID]],B119),2)</f>
        <v>1</v>
      </c>
      <c r="O119" s="367" t="b">
        <f>ROUND(SUMIFS(AN_TME_BY[[#All],[TOTAL Truncated Unadjusted Claims Expenses (A21 -A19)]], AN_TME_BY[[#All],[Insurance Category Code]],2, AN_TME_BY[[#All],[Advanced Network/Insurance Carrier Org ID]],B119)+SUMIFS(AN_TME_BY[[#All],[Total Claims Excluded because of Truncation]], AN_TME_BY[[#All],[Insurance Category Code]],2, AN_TME_BY[[#All],[Advanced Network/Insurance Carrier Org ID]],B119),2)=ROUND(SUMIFS(AN_TME_BY[[#All],[TOTAL Non-Truncated Unadjusted Claims Expenses]], AN_TME_BY[[#All],[Insurance Category Code]],2, AN_TME_BY[[#All],[Advanced Network/Insurance Carrier Org ID]],B119), 2)</f>
        <v>1</v>
      </c>
      <c r="R119" s="184">
        <v>129</v>
      </c>
      <c r="S119" s="204">
        <f>ROUND(SUMIFS(Age_Sex_PY[[#All],[Total Member Months by Age/Sex Band]], Age_Sex_PY[[#All],[Advanced Network ID]], $R119, Age_Sex_PY[[#All],[Insurance Category Code]],2), 2)</f>
        <v>0</v>
      </c>
      <c r="T119" s="202">
        <f>ROUND(SUMIFS(Age_Sex_PY[[#All],[Total Dollars Excluded from Spending After Applying Truncation at the Member Level]], Age_Sex_PY[[#All],[Advanced Network ID]], $R119, Age_Sex_PY[[#All],[Insurance Category Code]],2), 2)</f>
        <v>0</v>
      </c>
      <c r="U119" s="189">
        <f>ROUND(SUMIFS(Age_Sex_PY[[#All],[Count of Members whose Spending was Truncated]], Age_Sex_PY[[#All],[Advanced Network ID]], $R119, Age_Sex_PY[[#All],[Insurance Category Code]],2),2)</f>
        <v>0</v>
      </c>
      <c r="V119" s="202">
        <f>ROUND(SUMIFS(Age_Sex_PY[[#All],[Total Spending before Truncation is Applied]], Age_Sex_PY[[#All],[Advanced Network ID]], $R119, Age_Sex_PY[[#All],[Insurance Category Code]],2), 2)</f>
        <v>0</v>
      </c>
      <c r="W119" s="203">
        <f>ROUND(SUMIFS(Age_Sex_PY[[#All],[Total Spending After Applying Truncation at the Member Level]], Age_Sex_PY[[#All],[Advanced Network ID]], $R119, Age_Sex_PY[[#All],[Insurance Category Code]],2), 2)</f>
        <v>0</v>
      </c>
      <c r="X119" s="362" t="str">
        <f>IF(ROUND(S119,0)=ROUND(SUMIFS(AN_TME_PY[[#All],[Member Months]], AN_TME_PY[[#All],[Insurance Category Code]],2, AN_TME_PY[[#All],[Advanced Network/Insurance Carrier Org ID]],R119),0), "TRUE", ROUND(S119-SUMIFS(AN_TME_PY[[#All],[Member Months]], AN_TME_PY[[#All],[Insurance Category Code]],2, AN_TME_PY[[#All],[Advanced Network/Insurance Carrier Org ID]],R119),2))</f>
        <v>TRUE</v>
      </c>
      <c r="Y119" s="365" t="str">
        <f>IF(ROUND(T119,0)=ROUND(SUMIFS(AN_TME_PY[[#All],[Total Claims Excluded because of Truncation]], AN_TME_PY[[#All],[Insurance Category Code]],2, AN_TME_PY[[#All],[Advanced Network/Insurance Carrier Org ID]],R119),0), "TRUE", ROUND(T119-SUMIFS(AN_TME_PY[[#All],[Total Claims Excluded because of Truncation]], AN_TME_PY[[#All],[Insurance Category Code]],2, AN_TME_PY[[#All],[Advanced Network/Insurance Carrier Org ID]],R119),2))</f>
        <v>TRUE</v>
      </c>
      <c r="Z119" s="138" t="str">
        <f>IF(ROUND(U119,0)=ROUND(SUMIFS(AN_TME_PY[[#All],[Count of Members with Claims Truncated]], AN_TME_PY[[#All],[Insurance Category Code]],2, AN_TME_PY[[#All],[Advanced Network/Insurance Carrier Org ID]],R119),0), "TRUE", ROUND(U119-SUMIFS(AN_TME_PY[[#All],[Count of Members with Claims Truncated]], AN_TME_PY[[#All],[Insurance Category Code]],2, AN_TME_PY[[#All],[Advanced Network/Insurance Carrier Org ID]],R119),2))</f>
        <v>TRUE</v>
      </c>
      <c r="AA119" s="365" t="str">
        <f>IF(ROUND(V119,0)=ROUND(SUMIFS(AN_TME_PY[[#All],[TOTAL Non-Truncated Unadjusted Claims Expenses]], AN_TME_PY[[#All],[Insurance Category Code]],2, AN_TME_PY[[#All],[Advanced Network/Insurance Carrier Org ID]],R119),0), "TRUE", ROUND(V119-SUMIFS(AN_TME_PY[[#All],[TOTAL Non-Truncated Unadjusted Claims Expenses]], AN_TME_PY[[#All],[Insurance Category Code]],2, AN_TME_PY[[#All],[Advanced Network/Insurance Carrier Org ID]],R119),2))</f>
        <v>TRUE</v>
      </c>
      <c r="AB119" s="367" t="str">
        <f>IF(ROUND(W119,0)=ROUND(SUMIFS(AN_TME_PY[[#All],[TOTAL Truncated Unadjusted Claims Expenses (A21 -A19)]], AN_TME_PY[[#All],[Insurance Category Code]],2, AN_TME_PY[[#All],[Advanced Network/Insurance Carrier Org ID]],R119),0), "TRUE", ROUND(W119-SUMIFS(AN_TME_PY[[#All],[TOTAL Truncated Unadjusted Claims Expenses (A21 -A19)]], AN_TME_PY[[#All],[Insurance Category Code]],2, AN_TME_PY[[#All],[Advanced Network/Insurance Carrier Org ID]],R119),2))</f>
        <v>TRUE</v>
      </c>
      <c r="AC119" s="362" t="str">
        <f t="shared" si="6"/>
        <v>TRUE</v>
      </c>
      <c r="AD119" s="365" t="b">
        <f>ROUND(SUMIFS(AN_TME_PY[[#All],[TOTAL Non-Truncated Unadjusted Claims Expenses]], AN_TME_PY[[#All],[Insurance Category Code]],2, AN_TME_PY[[#All],[Advanced Network/Insurance Carrier Org ID]],R119), 2)&gt;=ROUND(SUMIFS(AN_TME_PY[[#All],[TOTAL Truncated Unadjusted Claims Expenses (A21 -A19)]], AN_TME_PY[[#All],[Insurance Category Code]], 2, AN_TME_PY[[#All],[Advanced Network/Insurance Carrier Org ID]],R119),2)</f>
        <v>1</v>
      </c>
      <c r="AE119" s="367" t="b">
        <f>ROUND(SUMIFS(AN_TME_PY[[#All],[TOTAL Truncated Unadjusted Claims Expenses (A21 -A19)]], AN_TME_PY[[#All],[Insurance Category Code]],2, AN_TME_PY[[#All],[Advanced Network/Insurance Carrier Org ID]],R119)+SUMIFS(AN_TME_PY[[#All],[Total Claims Excluded because of Truncation]], AN_TME_PY[[#All],[Insurance Category Code]],2, AN_TME_PY[[#All],[Advanced Network/Insurance Carrier Org ID]],R119),2)=ROUND(SUMIFS(AN_TME_PY[[#All],[TOTAL Non-Truncated Unadjusted Claims Expenses]], AN_TME_PY[[#All],[Insurance Category Code]],2, AN_TME_PY[[#All],[Advanced Network/Insurance Carrier Org ID]],R119), 2)</f>
        <v>1</v>
      </c>
      <c r="AH119" s="213" t="str">
        <f t="shared" si="7"/>
        <v>NA</v>
      </c>
    </row>
    <row r="120" spans="2:34" x14ac:dyDescent="0.25">
      <c r="B120" s="184">
        <v>130</v>
      </c>
      <c r="C120" s="204">
        <f>ROUND(SUMIFS(Age_Sex_BY[[#All],[Total Member Months by Age/Sex Band]], Age_Sex_BY[[#All],[Advanced Network ID]], $B120, Age_Sex_BY[[#All],[Insurance Category Code]],2), 2)</f>
        <v>0</v>
      </c>
      <c r="D120" s="202">
        <f>ROUND(SUMIFS(Age_Sex_BY[[#All],[Total Dollars Excluded from Spending After Applying Truncation at the Member Level]], Age_Sex_BY[[#All],[Advanced Network ID]], $B120, Age_Sex_BY[[#All],[Insurance Category Code]],2), 2)</f>
        <v>0</v>
      </c>
      <c r="E120" s="189">
        <f>ROUND(SUMIFS(Age_Sex_BY[[#All],[Count of Members whose Spending was Truncated]], Age_Sex_BY[[#All],[Advanced Network ID]], $B120, Age_Sex_BY[[#All],[Insurance Category Code]],2),2)</f>
        <v>0</v>
      </c>
      <c r="F120" s="202">
        <f>ROUND(SUMIFS(Age_Sex_BY[[#All],[Total Spending before Truncation is Applied]], Age_Sex_BY[[#All],[Advanced Network ID]], $B120, Age_Sex_BY[[#All],[Insurance Category Code]],2), 2)</f>
        <v>0</v>
      </c>
      <c r="G120" s="203">
        <f>ROUND(SUMIFS(Age_Sex_BY[[#All],[Total Spending After Applying Truncation at the Member Level]], Age_Sex_BY[[#All],[Advanced Network ID]], $B120, Age_Sex_BY[[#All],[Insurance Category Code]],2), 2)</f>
        <v>0</v>
      </c>
      <c r="H120" s="362" t="str">
        <f>IF(ROUND(C120,0)=ROUND(SUMIFS(AN_TME_BY[[#All],[Member Months]], AN_TME_BY[[#All],[Insurance Category Code]],2, AN_TME_BY[[#All],[Advanced Network/Insurance Carrier Org ID]],B120),0), "TRUE", ROUND(C120-SUMIFS(AN_TME_BY[[#All],[Member Months]], AN_TME_BY[[#All],[Insurance Category Code]],2, AN_TME_BY[[#All],[Advanced Network/Insurance Carrier Org ID]],B120),2))</f>
        <v>TRUE</v>
      </c>
      <c r="I120" s="365" t="str">
        <f>IF(ROUND(D120,0)=ROUND(SUMIFS(AN_TME_BY[[#All],[Total Claims Excluded because of Truncation]], AN_TME_BY[[#All],[Insurance Category Code]],2, AN_TME_BY[[#All],[Advanced Network/Insurance Carrier Org ID]],B120),0), "TRUE", ROUND(D120-SUMIFS(AN_TME_BY[[#All],[Total Claims Excluded because of Truncation]], AN_TME_BY[[#All],[Insurance Category Code]],2, AN_TME_BY[[#All],[Advanced Network/Insurance Carrier Org ID]],B120),2))</f>
        <v>TRUE</v>
      </c>
      <c r="J120" s="138" t="str">
        <f>IF(ROUND(E120,0)=ROUND(SUMIFS(AN_TME_BY[[#All],[Count of Members with Claims Truncated]], AN_TME_BY[[#All],[Insurance Category Code]],2, AN_TME_BY[[#All],[Advanced Network/Insurance Carrier Org ID]],B120),0), "TRUE", ROUND(E120-SUMIFS(AN_TME_BY[[#All],[Count of Members with Claims Truncated]], AN_TME_BY[[#All],[Insurance Category Code]],2, AN_TME_BY[[#All],[Advanced Network/Insurance Carrier Org ID]],B120),2))</f>
        <v>TRUE</v>
      </c>
      <c r="K120" s="365" t="str">
        <f>IF(ROUND(F120,0)=ROUND(SUMIFS(AN_TME_BY[[#All],[TOTAL Non-Truncated Unadjusted Claims Expenses]], AN_TME_BY[[#All],[Insurance Category Code]],2, AN_TME_BY[[#All],[Advanced Network/Insurance Carrier Org ID]],B120),0), "TRUE", ROUND(F120-SUMIFS(AN_TME_BY[[#All],[TOTAL Non-Truncated Unadjusted Claims Expenses]], AN_TME_BY[[#All],[Insurance Category Code]],2, AN_TME_BY[[#All],[Advanced Network/Insurance Carrier Org ID]],B120),2))</f>
        <v>TRUE</v>
      </c>
      <c r="L120" s="367" t="str">
        <f>IF(ROUND(G120,0)=ROUND(SUMIFS(AN_TME_BY[[#All],[TOTAL Truncated Unadjusted Claims Expenses (A21 -A19)]], AN_TME_BY[[#All],[Insurance Category Code]],2, AN_TME_BY[[#All],[Advanced Network/Insurance Carrier Org ID]],B120),0), "TRUE", ROUND(G120-SUMIFS(AN_TME_BY[[#All],[TOTAL Truncated Unadjusted Claims Expenses (A21 -A19)]], AN_TME_BY[[#All],[Insurance Category Code]],2, AN_TME_BY[[#All],[Advanced Network/Insurance Carrier Org ID]],B120),2))</f>
        <v>TRUE</v>
      </c>
      <c r="M120" s="362" t="str">
        <f t="shared" si="5"/>
        <v>TRUE</v>
      </c>
      <c r="N120" s="365" t="b">
        <f>ROUND(SUMIFS(AN_TME_BY[[#All],[TOTAL Non-Truncated Unadjusted Claims Expenses]], AN_TME_BY[[#All],[Insurance Category Code]],2, AN_TME_BY[[#All],[Advanced Network/Insurance Carrier Org ID]],B120), 2)&gt;=ROUND(SUMIFS(AN_TME_BY[[#All],[TOTAL Truncated Unadjusted Claims Expenses (A21 -A19)]], AN_TME_BY[[#All],[Insurance Category Code]], 2, AN_TME_BY[[#All],[Advanced Network/Insurance Carrier Org ID]],B120),2)</f>
        <v>1</v>
      </c>
      <c r="O120" s="367" t="b">
        <f>ROUND(SUMIFS(AN_TME_BY[[#All],[TOTAL Truncated Unadjusted Claims Expenses (A21 -A19)]], AN_TME_BY[[#All],[Insurance Category Code]],2, AN_TME_BY[[#All],[Advanced Network/Insurance Carrier Org ID]],B120)+SUMIFS(AN_TME_BY[[#All],[Total Claims Excluded because of Truncation]], AN_TME_BY[[#All],[Insurance Category Code]],2, AN_TME_BY[[#All],[Advanced Network/Insurance Carrier Org ID]],B120),2)=ROUND(SUMIFS(AN_TME_BY[[#All],[TOTAL Non-Truncated Unadjusted Claims Expenses]], AN_TME_BY[[#All],[Insurance Category Code]],2, AN_TME_BY[[#All],[Advanced Network/Insurance Carrier Org ID]],B120), 2)</f>
        <v>1</v>
      </c>
      <c r="R120" s="184">
        <v>130</v>
      </c>
      <c r="S120" s="204">
        <f>ROUND(SUMIFS(Age_Sex_PY[[#All],[Total Member Months by Age/Sex Band]], Age_Sex_PY[[#All],[Advanced Network ID]], $R120, Age_Sex_PY[[#All],[Insurance Category Code]],2), 2)</f>
        <v>0</v>
      </c>
      <c r="T120" s="202">
        <f>ROUND(SUMIFS(Age_Sex_PY[[#All],[Total Dollars Excluded from Spending After Applying Truncation at the Member Level]], Age_Sex_PY[[#All],[Advanced Network ID]], $R120, Age_Sex_PY[[#All],[Insurance Category Code]],2), 2)</f>
        <v>0</v>
      </c>
      <c r="U120" s="189">
        <f>ROUND(SUMIFS(Age_Sex_PY[[#All],[Count of Members whose Spending was Truncated]], Age_Sex_PY[[#All],[Advanced Network ID]], $R120, Age_Sex_PY[[#All],[Insurance Category Code]],2),2)</f>
        <v>0</v>
      </c>
      <c r="V120" s="202">
        <f>ROUND(SUMIFS(Age_Sex_PY[[#All],[Total Spending before Truncation is Applied]], Age_Sex_PY[[#All],[Advanced Network ID]], $R120, Age_Sex_PY[[#All],[Insurance Category Code]],2), 2)</f>
        <v>0</v>
      </c>
      <c r="W120" s="203">
        <f>ROUND(SUMIFS(Age_Sex_PY[[#All],[Total Spending After Applying Truncation at the Member Level]], Age_Sex_PY[[#All],[Advanced Network ID]], $R120, Age_Sex_PY[[#All],[Insurance Category Code]],2), 2)</f>
        <v>0</v>
      </c>
      <c r="X120" s="362" t="str">
        <f>IF(ROUND(S120,0)=ROUND(SUMIFS(AN_TME_PY[[#All],[Member Months]], AN_TME_PY[[#All],[Insurance Category Code]],2, AN_TME_PY[[#All],[Advanced Network/Insurance Carrier Org ID]],R120),0), "TRUE", ROUND(S120-SUMIFS(AN_TME_PY[[#All],[Member Months]], AN_TME_PY[[#All],[Insurance Category Code]],2, AN_TME_PY[[#All],[Advanced Network/Insurance Carrier Org ID]],R120),2))</f>
        <v>TRUE</v>
      </c>
      <c r="Y120" s="365" t="str">
        <f>IF(ROUND(T120,0)=ROUND(SUMIFS(AN_TME_PY[[#All],[Total Claims Excluded because of Truncation]], AN_TME_PY[[#All],[Insurance Category Code]],2, AN_TME_PY[[#All],[Advanced Network/Insurance Carrier Org ID]],R120),0), "TRUE", ROUND(T120-SUMIFS(AN_TME_PY[[#All],[Total Claims Excluded because of Truncation]], AN_TME_PY[[#All],[Insurance Category Code]],2, AN_TME_PY[[#All],[Advanced Network/Insurance Carrier Org ID]],R120),2))</f>
        <v>TRUE</v>
      </c>
      <c r="Z120" s="138" t="str">
        <f>IF(ROUND(U120,0)=ROUND(SUMIFS(AN_TME_PY[[#All],[Count of Members with Claims Truncated]], AN_TME_PY[[#All],[Insurance Category Code]],2, AN_TME_PY[[#All],[Advanced Network/Insurance Carrier Org ID]],R120),0), "TRUE", ROUND(U120-SUMIFS(AN_TME_PY[[#All],[Count of Members with Claims Truncated]], AN_TME_PY[[#All],[Insurance Category Code]],2, AN_TME_PY[[#All],[Advanced Network/Insurance Carrier Org ID]],R120),2))</f>
        <v>TRUE</v>
      </c>
      <c r="AA120" s="365" t="str">
        <f>IF(ROUND(V120,0)=ROUND(SUMIFS(AN_TME_PY[[#All],[TOTAL Non-Truncated Unadjusted Claims Expenses]], AN_TME_PY[[#All],[Insurance Category Code]],2, AN_TME_PY[[#All],[Advanced Network/Insurance Carrier Org ID]],R120),0), "TRUE", ROUND(V120-SUMIFS(AN_TME_PY[[#All],[TOTAL Non-Truncated Unadjusted Claims Expenses]], AN_TME_PY[[#All],[Insurance Category Code]],2, AN_TME_PY[[#All],[Advanced Network/Insurance Carrier Org ID]],R120),2))</f>
        <v>TRUE</v>
      </c>
      <c r="AB120" s="367" t="str">
        <f>IF(ROUND(W120,0)=ROUND(SUMIFS(AN_TME_PY[[#All],[TOTAL Truncated Unadjusted Claims Expenses (A21 -A19)]], AN_TME_PY[[#All],[Insurance Category Code]],2, AN_TME_PY[[#All],[Advanced Network/Insurance Carrier Org ID]],R120),0), "TRUE", ROUND(W120-SUMIFS(AN_TME_PY[[#All],[TOTAL Truncated Unadjusted Claims Expenses (A21 -A19)]], AN_TME_PY[[#All],[Insurance Category Code]],2, AN_TME_PY[[#All],[Advanced Network/Insurance Carrier Org ID]],R120),2))</f>
        <v>TRUE</v>
      </c>
      <c r="AC120" s="362" t="str">
        <f t="shared" si="6"/>
        <v>TRUE</v>
      </c>
      <c r="AD120" s="365" t="b">
        <f>ROUND(SUMIFS(AN_TME_PY[[#All],[TOTAL Non-Truncated Unadjusted Claims Expenses]], AN_TME_PY[[#All],[Insurance Category Code]],2, AN_TME_PY[[#All],[Advanced Network/Insurance Carrier Org ID]],R120), 2)&gt;=ROUND(SUMIFS(AN_TME_PY[[#All],[TOTAL Truncated Unadjusted Claims Expenses (A21 -A19)]], AN_TME_PY[[#All],[Insurance Category Code]], 2, AN_TME_PY[[#All],[Advanced Network/Insurance Carrier Org ID]],R120),2)</f>
        <v>1</v>
      </c>
      <c r="AE120" s="367" t="b">
        <f>ROUND(SUMIFS(AN_TME_PY[[#All],[TOTAL Truncated Unadjusted Claims Expenses (A21 -A19)]], AN_TME_PY[[#All],[Insurance Category Code]],2, AN_TME_PY[[#All],[Advanced Network/Insurance Carrier Org ID]],R120)+SUMIFS(AN_TME_PY[[#All],[Total Claims Excluded because of Truncation]], AN_TME_PY[[#All],[Insurance Category Code]],2, AN_TME_PY[[#All],[Advanced Network/Insurance Carrier Org ID]],R120),2)=ROUND(SUMIFS(AN_TME_PY[[#All],[TOTAL Non-Truncated Unadjusted Claims Expenses]], AN_TME_PY[[#All],[Insurance Category Code]],2, AN_TME_PY[[#All],[Advanced Network/Insurance Carrier Org ID]],R120), 2)</f>
        <v>1</v>
      </c>
      <c r="AH120" s="213" t="str">
        <f t="shared" si="7"/>
        <v>NA</v>
      </c>
    </row>
    <row r="121" spans="2:34" x14ac:dyDescent="0.25">
      <c r="B121" s="184">
        <v>131</v>
      </c>
      <c r="C121" s="204">
        <f>ROUND(SUMIFS(Age_Sex_BY[[#All],[Total Member Months by Age/Sex Band]], Age_Sex_BY[[#All],[Advanced Network ID]], $B121, Age_Sex_BY[[#All],[Insurance Category Code]],2), 2)</f>
        <v>0</v>
      </c>
      <c r="D121" s="202">
        <f>ROUND(SUMIFS(Age_Sex_BY[[#All],[Total Dollars Excluded from Spending After Applying Truncation at the Member Level]], Age_Sex_BY[[#All],[Advanced Network ID]], $B121, Age_Sex_BY[[#All],[Insurance Category Code]],2), 2)</f>
        <v>0</v>
      </c>
      <c r="E121" s="189">
        <f>ROUND(SUMIFS(Age_Sex_BY[[#All],[Count of Members whose Spending was Truncated]], Age_Sex_BY[[#All],[Advanced Network ID]], $B121, Age_Sex_BY[[#All],[Insurance Category Code]],2),2)</f>
        <v>0</v>
      </c>
      <c r="F121" s="202">
        <f>ROUND(SUMIFS(Age_Sex_BY[[#All],[Total Spending before Truncation is Applied]], Age_Sex_BY[[#All],[Advanced Network ID]], $B121, Age_Sex_BY[[#All],[Insurance Category Code]],2), 2)</f>
        <v>0</v>
      </c>
      <c r="G121" s="203">
        <f>ROUND(SUMIFS(Age_Sex_BY[[#All],[Total Spending After Applying Truncation at the Member Level]], Age_Sex_BY[[#All],[Advanced Network ID]], $B121, Age_Sex_BY[[#All],[Insurance Category Code]],2), 2)</f>
        <v>0</v>
      </c>
      <c r="H121" s="362" t="str">
        <f>IF(ROUND(C121,0)=ROUND(SUMIFS(AN_TME_BY[[#All],[Member Months]], AN_TME_BY[[#All],[Insurance Category Code]],2, AN_TME_BY[[#All],[Advanced Network/Insurance Carrier Org ID]],B121),0), "TRUE", ROUND(C121-SUMIFS(AN_TME_BY[[#All],[Member Months]], AN_TME_BY[[#All],[Insurance Category Code]],2, AN_TME_BY[[#All],[Advanced Network/Insurance Carrier Org ID]],B121),2))</f>
        <v>TRUE</v>
      </c>
      <c r="I121" s="365" t="str">
        <f>IF(ROUND(D121,0)=ROUND(SUMIFS(AN_TME_BY[[#All],[Total Claims Excluded because of Truncation]], AN_TME_BY[[#All],[Insurance Category Code]],2, AN_TME_BY[[#All],[Advanced Network/Insurance Carrier Org ID]],B121),0), "TRUE", ROUND(D121-SUMIFS(AN_TME_BY[[#All],[Total Claims Excluded because of Truncation]], AN_TME_BY[[#All],[Insurance Category Code]],2, AN_TME_BY[[#All],[Advanced Network/Insurance Carrier Org ID]],B121),2))</f>
        <v>TRUE</v>
      </c>
      <c r="J121" s="138" t="str">
        <f>IF(ROUND(E121,0)=ROUND(SUMIFS(AN_TME_BY[[#All],[Count of Members with Claims Truncated]], AN_TME_BY[[#All],[Insurance Category Code]],2, AN_TME_BY[[#All],[Advanced Network/Insurance Carrier Org ID]],B121),0), "TRUE", ROUND(E121-SUMIFS(AN_TME_BY[[#All],[Count of Members with Claims Truncated]], AN_TME_BY[[#All],[Insurance Category Code]],2, AN_TME_BY[[#All],[Advanced Network/Insurance Carrier Org ID]],B121),2))</f>
        <v>TRUE</v>
      </c>
      <c r="K121" s="365" t="str">
        <f>IF(ROUND(F121,0)=ROUND(SUMIFS(AN_TME_BY[[#All],[TOTAL Non-Truncated Unadjusted Claims Expenses]], AN_TME_BY[[#All],[Insurance Category Code]],2, AN_TME_BY[[#All],[Advanced Network/Insurance Carrier Org ID]],B121),0), "TRUE", ROUND(F121-SUMIFS(AN_TME_BY[[#All],[TOTAL Non-Truncated Unadjusted Claims Expenses]], AN_TME_BY[[#All],[Insurance Category Code]],2, AN_TME_BY[[#All],[Advanced Network/Insurance Carrier Org ID]],B121),2))</f>
        <v>TRUE</v>
      </c>
      <c r="L121" s="367" t="str">
        <f>IF(ROUND(G121,0)=ROUND(SUMIFS(AN_TME_BY[[#All],[TOTAL Truncated Unadjusted Claims Expenses (A21 -A19)]], AN_TME_BY[[#All],[Insurance Category Code]],2, AN_TME_BY[[#All],[Advanced Network/Insurance Carrier Org ID]],B121),0), "TRUE", ROUND(G121-SUMIFS(AN_TME_BY[[#All],[TOTAL Truncated Unadjusted Claims Expenses (A21 -A19)]], AN_TME_BY[[#All],[Insurance Category Code]],2, AN_TME_BY[[#All],[Advanced Network/Insurance Carrier Org ID]],B121),2))</f>
        <v>TRUE</v>
      </c>
      <c r="M121" s="362" t="str">
        <f t="shared" si="5"/>
        <v>TRUE</v>
      </c>
      <c r="N121" s="365" t="b">
        <f>ROUND(SUMIFS(AN_TME_BY[[#All],[TOTAL Non-Truncated Unadjusted Claims Expenses]], AN_TME_BY[[#All],[Insurance Category Code]],2, AN_TME_BY[[#All],[Advanced Network/Insurance Carrier Org ID]],B121), 2)&gt;=ROUND(SUMIFS(AN_TME_BY[[#All],[TOTAL Truncated Unadjusted Claims Expenses (A21 -A19)]], AN_TME_BY[[#All],[Insurance Category Code]], 2, AN_TME_BY[[#All],[Advanced Network/Insurance Carrier Org ID]],B121),2)</f>
        <v>1</v>
      </c>
      <c r="O121" s="367" t="b">
        <f>ROUND(SUMIFS(AN_TME_BY[[#All],[TOTAL Truncated Unadjusted Claims Expenses (A21 -A19)]], AN_TME_BY[[#All],[Insurance Category Code]],2, AN_TME_BY[[#All],[Advanced Network/Insurance Carrier Org ID]],B121)+SUMIFS(AN_TME_BY[[#All],[Total Claims Excluded because of Truncation]], AN_TME_BY[[#All],[Insurance Category Code]],2, AN_TME_BY[[#All],[Advanced Network/Insurance Carrier Org ID]],B121),2)=ROUND(SUMIFS(AN_TME_BY[[#All],[TOTAL Non-Truncated Unadjusted Claims Expenses]], AN_TME_BY[[#All],[Insurance Category Code]],2, AN_TME_BY[[#All],[Advanced Network/Insurance Carrier Org ID]],B121), 2)</f>
        <v>1</v>
      </c>
      <c r="R121" s="184">
        <v>131</v>
      </c>
      <c r="S121" s="204">
        <f>ROUND(SUMIFS(Age_Sex_PY[[#All],[Total Member Months by Age/Sex Band]], Age_Sex_PY[[#All],[Advanced Network ID]], $R121, Age_Sex_PY[[#All],[Insurance Category Code]],2), 2)</f>
        <v>0</v>
      </c>
      <c r="T121" s="202">
        <f>ROUND(SUMIFS(Age_Sex_PY[[#All],[Total Dollars Excluded from Spending After Applying Truncation at the Member Level]], Age_Sex_PY[[#All],[Advanced Network ID]], $R121, Age_Sex_PY[[#All],[Insurance Category Code]],2), 2)</f>
        <v>0</v>
      </c>
      <c r="U121" s="189">
        <f>ROUND(SUMIFS(Age_Sex_PY[[#All],[Count of Members whose Spending was Truncated]], Age_Sex_PY[[#All],[Advanced Network ID]], $R121, Age_Sex_PY[[#All],[Insurance Category Code]],2),2)</f>
        <v>0</v>
      </c>
      <c r="V121" s="202">
        <f>ROUND(SUMIFS(Age_Sex_PY[[#All],[Total Spending before Truncation is Applied]], Age_Sex_PY[[#All],[Advanced Network ID]], $R121, Age_Sex_PY[[#All],[Insurance Category Code]],2), 2)</f>
        <v>0</v>
      </c>
      <c r="W121" s="203">
        <f>ROUND(SUMIFS(Age_Sex_PY[[#All],[Total Spending After Applying Truncation at the Member Level]], Age_Sex_PY[[#All],[Advanced Network ID]], $R121, Age_Sex_PY[[#All],[Insurance Category Code]],2), 2)</f>
        <v>0</v>
      </c>
      <c r="X121" s="362" t="str">
        <f>IF(ROUND(S121,0)=ROUND(SUMIFS(AN_TME_PY[[#All],[Member Months]], AN_TME_PY[[#All],[Insurance Category Code]],2, AN_TME_PY[[#All],[Advanced Network/Insurance Carrier Org ID]],R121),0), "TRUE", ROUND(S121-SUMIFS(AN_TME_PY[[#All],[Member Months]], AN_TME_PY[[#All],[Insurance Category Code]],2, AN_TME_PY[[#All],[Advanced Network/Insurance Carrier Org ID]],R121),2))</f>
        <v>TRUE</v>
      </c>
      <c r="Y121" s="365" t="str">
        <f>IF(ROUND(T121,0)=ROUND(SUMIFS(AN_TME_PY[[#All],[Total Claims Excluded because of Truncation]], AN_TME_PY[[#All],[Insurance Category Code]],2, AN_TME_PY[[#All],[Advanced Network/Insurance Carrier Org ID]],R121),0), "TRUE", ROUND(T121-SUMIFS(AN_TME_PY[[#All],[Total Claims Excluded because of Truncation]], AN_TME_PY[[#All],[Insurance Category Code]],2, AN_TME_PY[[#All],[Advanced Network/Insurance Carrier Org ID]],R121),2))</f>
        <v>TRUE</v>
      </c>
      <c r="Z121" s="138" t="str">
        <f>IF(ROUND(U121,0)=ROUND(SUMIFS(AN_TME_PY[[#All],[Count of Members with Claims Truncated]], AN_TME_PY[[#All],[Insurance Category Code]],2, AN_TME_PY[[#All],[Advanced Network/Insurance Carrier Org ID]],R121),0), "TRUE", ROUND(U121-SUMIFS(AN_TME_PY[[#All],[Count of Members with Claims Truncated]], AN_TME_PY[[#All],[Insurance Category Code]],2, AN_TME_PY[[#All],[Advanced Network/Insurance Carrier Org ID]],R121),2))</f>
        <v>TRUE</v>
      </c>
      <c r="AA121" s="365" t="str">
        <f>IF(ROUND(V121,0)=ROUND(SUMIFS(AN_TME_PY[[#All],[TOTAL Non-Truncated Unadjusted Claims Expenses]], AN_TME_PY[[#All],[Insurance Category Code]],2, AN_TME_PY[[#All],[Advanced Network/Insurance Carrier Org ID]],R121),0), "TRUE", ROUND(V121-SUMIFS(AN_TME_PY[[#All],[TOTAL Non-Truncated Unadjusted Claims Expenses]], AN_TME_PY[[#All],[Insurance Category Code]],2, AN_TME_PY[[#All],[Advanced Network/Insurance Carrier Org ID]],R121),2))</f>
        <v>TRUE</v>
      </c>
      <c r="AB121" s="367" t="str">
        <f>IF(ROUND(W121,0)=ROUND(SUMIFS(AN_TME_PY[[#All],[TOTAL Truncated Unadjusted Claims Expenses (A21 -A19)]], AN_TME_PY[[#All],[Insurance Category Code]],2, AN_TME_PY[[#All],[Advanced Network/Insurance Carrier Org ID]],R121),0), "TRUE", ROUND(W121-SUMIFS(AN_TME_PY[[#All],[TOTAL Truncated Unadjusted Claims Expenses (A21 -A19)]], AN_TME_PY[[#All],[Insurance Category Code]],2, AN_TME_PY[[#All],[Advanced Network/Insurance Carrier Org ID]],R121),2))</f>
        <v>TRUE</v>
      </c>
      <c r="AC121" s="362" t="str">
        <f t="shared" si="6"/>
        <v>TRUE</v>
      </c>
      <c r="AD121" s="365" t="b">
        <f>ROUND(SUMIFS(AN_TME_PY[[#All],[TOTAL Non-Truncated Unadjusted Claims Expenses]], AN_TME_PY[[#All],[Insurance Category Code]],2, AN_TME_PY[[#All],[Advanced Network/Insurance Carrier Org ID]],R121), 2)&gt;=ROUND(SUMIFS(AN_TME_PY[[#All],[TOTAL Truncated Unadjusted Claims Expenses (A21 -A19)]], AN_TME_PY[[#All],[Insurance Category Code]], 2, AN_TME_PY[[#All],[Advanced Network/Insurance Carrier Org ID]],R121),2)</f>
        <v>1</v>
      </c>
      <c r="AE121" s="367" t="b">
        <f>ROUND(SUMIFS(AN_TME_PY[[#All],[TOTAL Truncated Unadjusted Claims Expenses (A21 -A19)]], AN_TME_PY[[#All],[Insurance Category Code]],2, AN_TME_PY[[#All],[Advanced Network/Insurance Carrier Org ID]],R121)+SUMIFS(AN_TME_PY[[#All],[Total Claims Excluded because of Truncation]], AN_TME_PY[[#All],[Insurance Category Code]],2, AN_TME_PY[[#All],[Advanced Network/Insurance Carrier Org ID]],R121),2)=ROUND(SUMIFS(AN_TME_PY[[#All],[TOTAL Non-Truncated Unadjusted Claims Expenses]], AN_TME_PY[[#All],[Insurance Category Code]],2, AN_TME_PY[[#All],[Advanced Network/Insurance Carrier Org ID]],R121), 2)</f>
        <v>1</v>
      </c>
      <c r="AH121" s="213" t="str">
        <f t="shared" si="7"/>
        <v>NA</v>
      </c>
    </row>
    <row r="122" spans="2:34" x14ac:dyDescent="0.25">
      <c r="B122" s="277">
        <v>132</v>
      </c>
      <c r="C122" s="204">
        <f>ROUND(SUMIFS(Age_Sex_BY[[#All],[Total Member Months by Age/Sex Band]], Age_Sex_BY[[#All],[Advanced Network ID]], $B122, Age_Sex_BY[[#All],[Insurance Category Code]],2), 2)</f>
        <v>0</v>
      </c>
      <c r="D122" s="202">
        <f>ROUND(SUMIFS(Age_Sex_BY[[#All],[Total Dollars Excluded from Spending After Applying Truncation at the Member Level]], Age_Sex_BY[[#All],[Advanced Network ID]], $B122, Age_Sex_BY[[#All],[Insurance Category Code]],2), 2)</f>
        <v>0</v>
      </c>
      <c r="E122" s="189">
        <f>ROUND(SUMIFS(Age_Sex_BY[[#All],[Count of Members whose Spending was Truncated]], Age_Sex_BY[[#All],[Advanced Network ID]], $B122, Age_Sex_BY[[#All],[Insurance Category Code]],2),2)</f>
        <v>0</v>
      </c>
      <c r="F122" s="202">
        <f>ROUND(SUMIFS(Age_Sex_BY[[#All],[Total Spending before Truncation is Applied]], Age_Sex_BY[[#All],[Advanced Network ID]], $B122, Age_Sex_BY[[#All],[Insurance Category Code]],2), 2)</f>
        <v>0</v>
      </c>
      <c r="G122" s="203">
        <f>ROUND(SUMIFS(Age_Sex_BY[[#All],[Total Spending After Applying Truncation at the Member Level]], Age_Sex_BY[[#All],[Advanced Network ID]], $B122, Age_Sex_BY[[#All],[Insurance Category Code]],2), 2)</f>
        <v>0</v>
      </c>
      <c r="H122" s="362" t="str">
        <f>IF(ROUND(C122,0)=ROUND(SUMIFS(AN_TME_BY[[#All],[Member Months]], AN_TME_BY[[#All],[Insurance Category Code]],2, AN_TME_BY[[#All],[Advanced Network/Insurance Carrier Org ID]],B122),0), "TRUE", ROUND(C122-SUMIFS(AN_TME_BY[[#All],[Member Months]], AN_TME_BY[[#All],[Insurance Category Code]],2, AN_TME_BY[[#All],[Advanced Network/Insurance Carrier Org ID]],B122),2))</f>
        <v>TRUE</v>
      </c>
      <c r="I122" s="365" t="str">
        <f>IF(ROUND(D122,0)=ROUND(SUMIFS(AN_TME_BY[[#All],[Total Claims Excluded because of Truncation]], AN_TME_BY[[#All],[Insurance Category Code]],2, AN_TME_BY[[#All],[Advanced Network/Insurance Carrier Org ID]],B122),0), "TRUE", ROUND(D122-SUMIFS(AN_TME_BY[[#All],[Total Claims Excluded because of Truncation]], AN_TME_BY[[#All],[Insurance Category Code]],2, AN_TME_BY[[#All],[Advanced Network/Insurance Carrier Org ID]],B122),2))</f>
        <v>TRUE</v>
      </c>
      <c r="J122" s="138" t="str">
        <f>IF(ROUND(E122,0)=ROUND(SUMIFS(AN_TME_BY[[#All],[Count of Members with Claims Truncated]], AN_TME_BY[[#All],[Insurance Category Code]],2, AN_TME_BY[[#All],[Advanced Network/Insurance Carrier Org ID]],B122),0), "TRUE", ROUND(E122-SUMIFS(AN_TME_BY[[#All],[Count of Members with Claims Truncated]], AN_TME_BY[[#All],[Insurance Category Code]],2, AN_TME_BY[[#All],[Advanced Network/Insurance Carrier Org ID]],B122),2))</f>
        <v>TRUE</v>
      </c>
      <c r="K122" s="365" t="str">
        <f>IF(ROUND(F122,0)=ROUND(SUMIFS(AN_TME_BY[[#All],[TOTAL Non-Truncated Unadjusted Claims Expenses]], AN_TME_BY[[#All],[Insurance Category Code]],2, AN_TME_BY[[#All],[Advanced Network/Insurance Carrier Org ID]],B122),0), "TRUE", ROUND(F122-SUMIFS(AN_TME_BY[[#All],[TOTAL Non-Truncated Unadjusted Claims Expenses]], AN_TME_BY[[#All],[Insurance Category Code]],2, AN_TME_BY[[#All],[Advanced Network/Insurance Carrier Org ID]],B122),2))</f>
        <v>TRUE</v>
      </c>
      <c r="L122" s="367" t="str">
        <f>IF(ROUND(G122,0)=ROUND(SUMIFS(AN_TME_BY[[#All],[TOTAL Truncated Unadjusted Claims Expenses (A21 -A19)]], AN_TME_BY[[#All],[Insurance Category Code]],2, AN_TME_BY[[#All],[Advanced Network/Insurance Carrier Org ID]],B122),0), "TRUE", ROUND(G122-SUMIFS(AN_TME_BY[[#All],[TOTAL Truncated Unadjusted Claims Expenses (A21 -A19)]], AN_TME_BY[[#All],[Insurance Category Code]],2, AN_TME_BY[[#All],[Advanced Network/Insurance Carrier Org ID]],B122),2))</f>
        <v>TRUE</v>
      </c>
      <c r="M122" s="362" t="str">
        <f t="shared" ref="M122:M124" si="8">IF(E122=0, "TRUE",IF((C122/12)&gt;E122,"TRUE",(C122/12)-E122))</f>
        <v>TRUE</v>
      </c>
      <c r="N122" s="365" t="b">
        <f>ROUND(SUMIFS(AN_TME_BY[[#All],[TOTAL Non-Truncated Unadjusted Claims Expenses]], AN_TME_BY[[#All],[Insurance Category Code]],2, AN_TME_BY[[#All],[Advanced Network/Insurance Carrier Org ID]],B122), 2)&gt;=ROUND(SUMIFS(AN_TME_BY[[#All],[TOTAL Truncated Unadjusted Claims Expenses (A21 -A19)]], AN_TME_BY[[#All],[Insurance Category Code]], 2, AN_TME_BY[[#All],[Advanced Network/Insurance Carrier Org ID]],B122),2)</f>
        <v>1</v>
      </c>
      <c r="O122" s="367" t="b">
        <f>ROUND(SUMIFS(AN_TME_BY[[#All],[TOTAL Truncated Unadjusted Claims Expenses (A21 -A19)]], AN_TME_BY[[#All],[Insurance Category Code]],2, AN_TME_BY[[#All],[Advanced Network/Insurance Carrier Org ID]],B122)+SUMIFS(AN_TME_BY[[#All],[Total Claims Excluded because of Truncation]], AN_TME_BY[[#All],[Insurance Category Code]],2, AN_TME_BY[[#All],[Advanced Network/Insurance Carrier Org ID]],B122),2)=ROUND(SUMIFS(AN_TME_BY[[#All],[TOTAL Non-Truncated Unadjusted Claims Expenses]], AN_TME_BY[[#All],[Insurance Category Code]],2, AN_TME_BY[[#All],[Advanced Network/Insurance Carrier Org ID]],B122), 2)</f>
        <v>1</v>
      </c>
      <c r="R122" s="277">
        <v>132</v>
      </c>
      <c r="S122" s="204">
        <f>ROUND(SUMIFS(Age_Sex_PY[[#All],[Total Member Months by Age/Sex Band]], Age_Sex_PY[[#All],[Advanced Network ID]], $R122, Age_Sex_PY[[#All],[Insurance Category Code]],2), 2)</f>
        <v>0</v>
      </c>
      <c r="T122" s="202">
        <f>ROUND(SUMIFS(Age_Sex_PY[[#All],[Total Dollars Excluded from Spending After Applying Truncation at the Member Level]], Age_Sex_PY[[#All],[Advanced Network ID]], $R122, Age_Sex_PY[[#All],[Insurance Category Code]],2), 2)</f>
        <v>0</v>
      </c>
      <c r="U122" s="189">
        <f>ROUND(SUMIFS(Age_Sex_PY[[#All],[Count of Members whose Spending was Truncated]], Age_Sex_PY[[#All],[Advanced Network ID]], $R122, Age_Sex_PY[[#All],[Insurance Category Code]],2),2)</f>
        <v>0</v>
      </c>
      <c r="V122" s="202">
        <f>ROUND(SUMIFS(Age_Sex_PY[[#All],[Total Spending before Truncation is Applied]], Age_Sex_PY[[#All],[Advanced Network ID]], $R122, Age_Sex_PY[[#All],[Insurance Category Code]],2), 2)</f>
        <v>0</v>
      </c>
      <c r="W122" s="203">
        <f>ROUND(SUMIFS(Age_Sex_PY[[#All],[Total Spending After Applying Truncation at the Member Level]], Age_Sex_PY[[#All],[Advanced Network ID]], $R122, Age_Sex_PY[[#All],[Insurance Category Code]],2), 2)</f>
        <v>0</v>
      </c>
      <c r="X122" s="362" t="str">
        <f>IF(ROUND(S122,0)=ROUND(SUMIFS(AN_TME_PY[[#All],[Member Months]], AN_TME_PY[[#All],[Insurance Category Code]],2, AN_TME_PY[[#All],[Advanced Network/Insurance Carrier Org ID]],R122),0), "TRUE", ROUND(S122-SUMIFS(AN_TME_PY[[#All],[Member Months]], AN_TME_PY[[#All],[Insurance Category Code]],2, AN_TME_PY[[#All],[Advanced Network/Insurance Carrier Org ID]],R122),2))</f>
        <v>TRUE</v>
      </c>
      <c r="Y122" s="365" t="str">
        <f>IF(ROUND(T122,0)=ROUND(SUMIFS(AN_TME_PY[[#All],[Total Claims Excluded because of Truncation]], AN_TME_PY[[#All],[Insurance Category Code]],2, AN_TME_PY[[#All],[Advanced Network/Insurance Carrier Org ID]],R122),0), "TRUE", ROUND(T122-SUMIFS(AN_TME_PY[[#All],[Total Claims Excluded because of Truncation]], AN_TME_PY[[#All],[Insurance Category Code]],2, AN_TME_PY[[#All],[Advanced Network/Insurance Carrier Org ID]],R122),2))</f>
        <v>TRUE</v>
      </c>
      <c r="Z122" s="138" t="str">
        <f>IF(ROUND(U122,0)=ROUND(SUMIFS(AN_TME_PY[[#All],[Count of Members with Claims Truncated]], AN_TME_PY[[#All],[Insurance Category Code]],2, AN_TME_PY[[#All],[Advanced Network/Insurance Carrier Org ID]],R122),0), "TRUE", ROUND(U122-SUMIFS(AN_TME_PY[[#All],[Count of Members with Claims Truncated]], AN_TME_PY[[#All],[Insurance Category Code]],2, AN_TME_PY[[#All],[Advanced Network/Insurance Carrier Org ID]],R122),2))</f>
        <v>TRUE</v>
      </c>
      <c r="AA122" s="365" t="str">
        <f>IF(ROUND(V122,0)=ROUND(SUMIFS(AN_TME_PY[[#All],[TOTAL Non-Truncated Unadjusted Claims Expenses]], AN_TME_PY[[#All],[Insurance Category Code]],2, AN_TME_PY[[#All],[Advanced Network/Insurance Carrier Org ID]],R122),0), "TRUE", ROUND(V122-SUMIFS(AN_TME_PY[[#All],[TOTAL Non-Truncated Unadjusted Claims Expenses]], AN_TME_PY[[#All],[Insurance Category Code]],2, AN_TME_PY[[#All],[Advanced Network/Insurance Carrier Org ID]],R122),2))</f>
        <v>TRUE</v>
      </c>
      <c r="AB122" s="367" t="str">
        <f>IF(ROUND(W122,0)=ROUND(SUMIFS(AN_TME_PY[[#All],[TOTAL Truncated Unadjusted Claims Expenses (A21 -A19)]], AN_TME_PY[[#All],[Insurance Category Code]],2, AN_TME_PY[[#All],[Advanced Network/Insurance Carrier Org ID]],R122),0), "TRUE", ROUND(W122-SUMIFS(AN_TME_PY[[#All],[TOTAL Truncated Unadjusted Claims Expenses (A21 -A19)]], AN_TME_PY[[#All],[Insurance Category Code]],2, AN_TME_PY[[#All],[Advanced Network/Insurance Carrier Org ID]],R122),2))</f>
        <v>TRUE</v>
      </c>
      <c r="AC122" s="362" t="str">
        <f t="shared" ref="AC122:AC124" si="9">IF(U122=0, "TRUE",IF((S122/12)&gt;U122,"TRUE",(S122/12)-U122))</f>
        <v>TRUE</v>
      </c>
      <c r="AD122" s="365" t="b">
        <f>ROUND(SUMIFS(AN_TME_PY[[#All],[TOTAL Non-Truncated Unadjusted Claims Expenses]], AN_TME_PY[[#All],[Insurance Category Code]],2, AN_TME_PY[[#All],[Advanced Network/Insurance Carrier Org ID]],R122), 2)&gt;=ROUND(SUMIFS(AN_TME_PY[[#All],[TOTAL Truncated Unadjusted Claims Expenses (A21 -A19)]], AN_TME_PY[[#All],[Insurance Category Code]], 2, AN_TME_PY[[#All],[Advanced Network/Insurance Carrier Org ID]],R122),2)</f>
        <v>1</v>
      </c>
      <c r="AE122" s="367" t="b">
        <f>ROUND(SUMIFS(AN_TME_PY[[#All],[TOTAL Truncated Unadjusted Claims Expenses (A21 -A19)]], AN_TME_PY[[#All],[Insurance Category Code]],2, AN_TME_PY[[#All],[Advanced Network/Insurance Carrier Org ID]],R122)+SUMIFS(AN_TME_PY[[#All],[Total Claims Excluded because of Truncation]], AN_TME_PY[[#All],[Insurance Category Code]],2, AN_TME_PY[[#All],[Advanced Network/Insurance Carrier Org ID]],R122),2)=ROUND(SUMIFS(AN_TME_PY[[#All],[TOTAL Non-Truncated Unadjusted Claims Expenses]], AN_TME_PY[[#All],[Insurance Category Code]],2, AN_TME_PY[[#All],[Advanced Network/Insurance Carrier Org ID]],R122), 2)</f>
        <v>1</v>
      </c>
      <c r="AH122" s="213" t="str">
        <f t="shared" si="7"/>
        <v>NA</v>
      </c>
    </row>
    <row r="123" spans="2:34" x14ac:dyDescent="0.25">
      <c r="B123" s="277">
        <v>133</v>
      </c>
      <c r="C123" s="204">
        <f>ROUND(SUMIFS(Age_Sex_BY[[#All],[Total Member Months by Age/Sex Band]], Age_Sex_BY[[#All],[Advanced Network ID]], $B123, Age_Sex_BY[[#All],[Insurance Category Code]],2), 2)</f>
        <v>0</v>
      </c>
      <c r="D123" s="202">
        <f>ROUND(SUMIFS(Age_Sex_BY[[#All],[Total Dollars Excluded from Spending After Applying Truncation at the Member Level]], Age_Sex_BY[[#All],[Advanced Network ID]], $B123, Age_Sex_BY[[#All],[Insurance Category Code]],2), 2)</f>
        <v>0</v>
      </c>
      <c r="E123" s="189">
        <f>ROUND(SUMIFS(Age_Sex_BY[[#All],[Count of Members whose Spending was Truncated]], Age_Sex_BY[[#All],[Advanced Network ID]], $B123, Age_Sex_BY[[#All],[Insurance Category Code]],2),2)</f>
        <v>0</v>
      </c>
      <c r="F123" s="202">
        <f>ROUND(SUMIFS(Age_Sex_BY[[#All],[Total Spending before Truncation is Applied]], Age_Sex_BY[[#All],[Advanced Network ID]], $B123, Age_Sex_BY[[#All],[Insurance Category Code]],2), 2)</f>
        <v>0</v>
      </c>
      <c r="G123" s="203">
        <f>ROUND(SUMIFS(Age_Sex_BY[[#All],[Total Spending After Applying Truncation at the Member Level]], Age_Sex_BY[[#All],[Advanced Network ID]], $B123, Age_Sex_BY[[#All],[Insurance Category Code]],2), 2)</f>
        <v>0</v>
      </c>
      <c r="H123" s="362" t="str">
        <f>IF(ROUND(C123,0)=ROUND(SUMIFS(AN_TME_BY[[#All],[Member Months]], AN_TME_BY[[#All],[Insurance Category Code]],2, AN_TME_BY[[#All],[Advanced Network/Insurance Carrier Org ID]],B123),0), "TRUE", ROUND(C123-SUMIFS(AN_TME_BY[[#All],[Member Months]], AN_TME_BY[[#All],[Insurance Category Code]],2, AN_TME_BY[[#All],[Advanced Network/Insurance Carrier Org ID]],B123),2))</f>
        <v>TRUE</v>
      </c>
      <c r="I123" s="365" t="str">
        <f>IF(ROUND(D123,0)=ROUND(SUMIFS(AN_TME_BY[[#All],[Total Claims Excluded because of Truncation]], AN_TME_BY[[#All],[Insurance Category Code]],2, AN_TME_BY[[#All],[Advanced Network/Insurance Carrier Org ID]],B123),0), "TRUE", ROUND(D123-SUMIFS(AN_TME_BY[[#All],[Total Claims Excluded because of Truncation]], AN_TME_BY[[#All],[Insurance Category Code]],2, AN_TME_BY[[#All],[Advanced Network/Insurance Carrier Org ID]],B123),2))</f>
        <v>TRUE</v>
      </c>
      <c r="J123" s="138" t="str">
        <f>IF(ROUND(E123,0)=ROUND(SUMIFS(AN_TME_BY[[#All],[Count of Members with Claims Truncated]], AN_TME_BY[[#All],[Insurance Category Code]],2, AN_TME_BY[[#All],[Advanced Network/Insurance Carrier Org ID]],B123),0), "TRUE", ROUND(E123-SUMIFS(AN_TME_BY[[#All],[Count of Members with Claims Truncated]], AN_TME_BY[[#All],[Insurance Category Code]],2, AN_TME_BY[[#All],[Advanced Network/Insurance Carrier Org ID]],B123),2))</f>
        <v>TRUE</v>
      </c>
      <c r="K123" s="365" t="str">
        <f>IF(ROUND(F123,0)=ROUND(SUMIFS(AN_TME_BY[[#All],[TOTAL Non-Truncated Unadjusted Claims Expenses]], AN_TME_BY[[#All],[Insurance Category Code]],2, AN_TME_BY[[#All],[Advanced Network/Insurance Carrier Org ID]],B123),0), "TRUE", ROUND(F123-SUMIFS(AN_TME_BY[[#All],[TOTAL Non-Truncated Unadjusted Claims Expenses]], AN_TME_BY[[#All],[Insurance Category Code]],2, AN_TME_BY[[#All],[Advanced Network/Insurance Carrier Org ID]],B123),2))</f>
        <v>TRUE</v>
      </c>
      <c r="L123" s="367" t="str">
        <f>IF(ROUND(G123,0)=ROUND(SUMIFS(AN_TME_BY[[#All],[TOTAL Truncated Unadjusted Claims Expenses (A21 -A19)]], AN_TME_BY[[#All],[Insurance Category Code]],2, AN_TME_BY[[#All],[Advanced Network/Insurance Carrier Org ID]],B123),0), "TRUE", ROUND(G123-SUMIFS(AN_TME_BY[[#All],[TOTAL Truncated Unadjusted Claims Expenses (A21 -A19)]], AN_TME_BY[[#All],[Insurance Category Code]],2, AN_TME_BY[[#All],[Advanced Network/Insurance Carrier Org ID]],B123),2))</f>
        <v>TRUE</v>
      </c>
      <c r="M123" s="362" t="str">
        <f t="shared" si="8"/>
        <v>TRUE</v>
      </c>
      <c r="N123" s="365" t="b">
        <f>ROUND(SUMIFS(AN_TME_BY[[#All],[TOTAL Non-Truncated Unadjusted Claims Expenses]], AN_TME_BY[[#All],[Insurance Category Code]],2, AN_TME_BY[[#All],[Advanced Network/Insurance Carrier Org ID]],B123), 2)&gt;=ROUND(SUMIFS(AN_TME_BY[[#All],[TOTAL Truncated Unadjusted Claims Expenses (A21 -A19)]], AN_TME_BY[[#All],[Insurance Category Code]], 2, AN_TME_BY[[#All],[Advanced Network/Insurance Carrier Org ID]],B123),2)</f>
        <v>1</v>
      </c>
      <c r="O123" s="367" t="b">
        <f>ROUND(SUMIFS(AN_TME_BY[[#All],[TOTAL Truncated Unadjusted Claims Expenses (A21 -A19)]], AN_TME_BY[[#All],[Insurance Category Code]],2, AN_TME_BY[[#All],[Advanced Network/Insurance Carrier Org ID]],B123)+SUMIFS(AN_TME_BY[[#All],[Total Claims Excluded because of Truncation]], AN_TME_BY[[#All],[Insurance Category Code]],2, AN_TME_BY[[#All],[Advanced Network/Insurance Carrier Org ID]],B123),2)=ROUND(SUMIFS(AN_TME_BY[[#All],[TOTAL Non-Truncated Unadjusted Claims Expenses]], AN_TME_BY[[#All],[Insurance Category Code]],2, AN_TME_BY[[#All],[Advanced Network/Insurance Carrier Org ID]],B123), 2)</f>
        <v>1</v>
      </c>
      <c r="R123" s="277">
        <v>133</v>
      </c>
      <c r="S123" s="204">
        <f>ROUND(SUMIFS(Age_Sex_PY[[#All],[Total Member Months by Age/Sex Band]], Age_Sex_PY[[#All],[Advanced Network ID]], $R123, Age_Sex_PY[[#All],[Insurance Category Code]],2), 2)</f>
        <v>0</v>
      </c>
      <c r="T123" s="202">
        <f>ROUND(SUMIFS(Age_Sex_PY[[#All],[Total Dollars Excluded from Spending After Applying Truncation at the Member Level]], Age_Sex_PY[[#All],[Advanced Network ID]], $R123, Age_Sex_PY[[#All],[Insurance Category Code]],2), 2)</f>
        <v>0</v>
      </c>
      <c r="U123" s="189">
        <f>ROUND(SUMIFS(Age_Sex_PY[[#All],[Count of Members whose Spending was Truncated]], Age_Sex_PY[[#All],[Advanced Network ID]], $R123, Age_Sex_PY[[#All],[Insurance Category Code]],2),2)</f>
        <v>0</v>
      </c>
      <c r="V123" s="202">
        <f>ROUND(SUMIFS(Age_Sex_PY[[#All],[Total Spending before Truncation is Applied]], Age_Sex_PY[[#All],[Advanced Network ID]], $R123, Age_Sex_PY[[#All],[Insurance Category Code]],2), 2)</f>
        <v>0</v>
      </c>
      <c r="W123" s="203">
        <f>ROUND(SUMIFS(Age_Sex_PY[[#All],[Total Spending After Applying Truncation at the Member Level]], Age_Sex_PY[[#All],[Advanced Network ID]], $R123, Age_Sex_PY[[#All],[Insurance Category Code]],2), 2)</f>
        <v>0</v>
      </c>
      <c r="X123" s="362" t="str">
        <f>IF(ROUND(S123,0)=ROUND(SUMIFS(AN_TME_PY[[#All],[Member Months]], AN_TME_PY[[#All],[Insurance Category Code]],2, AN_TME_PY[[#All],[Advanced Network/Insurance Carrier Org ID]],R123),0), "TRUE", ROUND(S123-SUMIFS(AN_TME_PY[[#All],[Member Months]], AN_TME_PY[[#All],[Insurance Category Code]],2, AN_TME_PY[[#All],[Advanced Network/Insurance Carrier Org ID]],R123),2))</f>
        <v>TRUE</v>
      </c>
      <c r="Y123" s="365" t="str">
        <f>IF(ROUND(T123,0)=ROUND(SUMIFS(AN_TME_PY[[#All],[Total Claims Excluded because of Truncation]], AN_TME_PY[[#All],[Insurance Category Code]],2, AN_TME_PY[[#All],[Advanced Network/Insurance Carrier Org ID]],R123),0), "TRUE", ROUND(T123-SUMIFS(AN_TME_PY[[#All],[Total Claims Excluded because of Truncation]], AN_TME_PY[[#All],[Insurance Category Code]],2, AN_TME_PY[[#All],[Advanced Network/Insurance Carrier Org ID]],R123),2))</f>
        <v>TRUE</v>
      </c>
      <c r="Z123" s="138" t="str">
        <f>IF(ROUND(U123,0)=ROUND(SUMIFS(AN_TME_PY[[#All],[Count of Members with Claims Truncated]], AN_TME_PY[[#All],[Insurance Category Code]],2, AN_TME_PY[[#All],[Advanced Network/Insurance Carrier Org ID]],R123),0), "TRUE", ROUND(U123-SUMIFS(AN_TME_PY[[#All],[Count of Members with Claims Truncated]], AN_TME_PY[[#All],[Insurance Category Code]],2, AN_TME_PY[[#All],[Advanced Network/Insurance Carrier Org ID]],R123),2))</f>
        <v>TRUE</v>
      </c>
      <c r="AA123" s="365" t="str">
        <f>IF(ROUND(V123,0)=ROUND(SUMIFS(AN_TME_PY[[#All],[TOTAL Non-Truncated Unadjusted Claims Expenses]], AN_TME_PY[[#All],[Insurance Category Code]],2, AN_TME_PY[[#All],[Advanced Network/Insurance Carrier Org ID]],R123),0), "TRUE", ROUND(V123-SUMIFS(AN_TME_PY[[#All],[TOTAL Non-Truncated Unadjusted Claims Expenses]], AN_TME_PY[[#All],[Insurance Category Code]],2, AN_TME_PY[[#All],[Advanced Network/Insurance Carrier Org ID]],R123),2))</f>
        <v>TRUE</v>
      </c>
      <c r="AB123" s="367" t="str">
        <f>IF(ROUND(W123,0)=ROUND(SUMIFS(AN_TME_PY[[#All],[TOTAL Truncated Unadjusted Claims Expenses (A21 -A19)]], AN_TME_PY[[#All],[Insurance Category Code]],2, AN_TME_PY[[#All],[Advanced Network/Insurance Carrier Org ID]],R123),0), "TRUE", ROUND(W123-SUMIFS(AN_TME_PY[[#All],[TOTAL Truncated Unadjusted Claims Expenses (A21 -A19)]], AN_TME_PY[[#All],[Insurance Category Code]],2, AN_TME_PY[[#All],[Advanced Network/Insurance Carrier Org ID]],R123),2))</f>
        <v>TRUE</v>
      </c>
      <c r="AC123" s="362" t="str">
        <f t="shared" si="9"/>
        <v>TRUE</v>
      </c>
      <c r="AD123" s="365" t="b">
        <f>ROUND(SUMIFS(AN_TME_PY[[#All],[TOTAL Non-Truncated Unadjusted Claims Expenses]], AN_TME_PY[[#All],[Insurance Category Code]],2, AN_TME_PY[[#All],[Advanced Network/Insurance Carrier Org ID]],R123), 2)&gt;=ROUND(SUMIFS(AN_TME_PY[[#All],[TOTAL Truncated Unadjusted Claims Expenses (A21 -A19)]], AN_TME_PY[[#All],[Insurance Category Code]], 2, AN_TME_PY[[#All],[Advanced Network/Insurance Carrier Org ID]],R123),2)</f>
        <v>1</v>
      </c>
      <c r="AE123" s="367" t="b">
        <f>ROUND(SUMIFS(AN_TME_PY[[#All],[TOTAL Truncated Unadjusted Claims Expenses (A21 -A19)]], AN_TME_PY[[#All],[Insurance Category Code]],2, AN_TME_PY[[#All],[Advanced Network/Insurance Carrier Org ID]],R123)+SUMIFS(AN_TME_PY[[#All],[Total Claims Excluded because of Truncation]], AN_TME_PY[[#All],[Insurance Category Code]],2, AN_TME_PY[[#All],[Advanced Network/Insurance Carrier Org ID]],R123),2)=ROUND(SUMIFS(AN_TME_PY[[#All],[TOTAL Non-Truncated Unadjusted Claims Expenses]], AN_TME_PY[[#All],[Insurance Category Code]],2, AN_TME_PY[[#All],[Advanced Network/Insurance Carrier Org ID]],R123), 2)</f>
        <v>1</v>
      </c>
      <c r="AH123" s="213" t="str">
        <f t="shared" si="7"/>
        <v>NA</v>
      </c>
    </row>
    <row r="124" spans="2:34" x14ac:dyDescent="0.25">
      <c r="B124" s="277">
        <v>134</v>
      </c>
      <c r="C124" s="204">
        <f>ROUND(SUMIFS(Age_Sex_BY[[#All],[Total Member Months by Age/Sex Band]], Age_Sex_BY[[#All],[Advanced Network ID]], $B124, Age_Sex_BY[[#All],[Insurance Category Code]],2), 2)</f>
        <v>0</v>
      </c>
      <c r="D124" s="202">
        <f>ROUND(SUMIFS(Age_Sex_BY[[#All],[Total Dollars Excluded from Spending After Applying Truncation at the Member Level]], Age_Sex_BY[[#All],[Advanced Network ID]], $B124, Age_Sex_BY[[#All],[Insurance Category Code]],2), 2)</f>
        <v>0</v>
      </c>
      <c r="E124" s="189">
        <f>ROUND(SUMIFS(Age_Sex_BY[[#All],[Count of Members whose Spending was Truncated]], Age_Sex_BY[[#All],[Advanced Network ID]], $B124, Age_Sex_BY[[#All],[Insurance Category Code]],2),2)</f>
        <v>0</v>
      </c>
      <c r="F124" s="202">
        <f>ROUND(SUMIFS(Age_Sex_BY[[#All],[Total Spending before Truncation is Applied]], Age_Sex_BY[[#All],[Advanced Network ID]], $B124, Age_Sex_BY[[#All],[Insurance Category Code]],2), 2)</f>
        <v>0</v>
      </c>
      <c r="G124" s="203">
        <f>ROUND(SUMIFS(Age_Sex_BY[[#All],[Total Spending After Applying Truncation at the Member Level]], Age_Sex_BY[[#All],[Advanced Network ID]], $B124, Age_Sex_BY[[#All],[Insurance Category Code]],2), 2)</f>
        <v>0</v>
      </c>
      <c r="H124" s="362" t="str">
        <f>IF(ROUND(C124,0)=ROUND(SUMIFS(AN_TME_BY[[#All],[Member Months]], AN_TME_BY[[#All],[Insurance Category Code]],2, AN_TME_BY[[#All],[Advanced Network/Insurance Carrier Org ID]],B124),0), "TRUE", ROUND(C124-SUMIFS(AN_TME_BY[[#All],[Member Months]], AN_TME_BY[[#All],[Insurance Category Code]],2, AN_TME_BY[[#All],[Advanced Network/Insurance Carrier Org ID]],B124),2))</f>
        <v>TRUE</v>
      </c>
      <c r="I124" s="365" t="str">
        <f>IF(ROUND(D124,0)=ROUND(SUMIFS(AN_TME_BY[[#All],[Total Claims Excluded because of Truncation]], AN_TME_BY[[#All],[Insurance Category Code]],2, AN_TME_BY[[#All],[Advanced Network/Insurance Carrier Org ID]],B124),0), "TRUE", ROUND(D124-SUMIFS(AN_TME_BY[[#All],[Total Claims Excluded because of Truncation]], AN_TME_BY[[#All],[Insurance Category Code]],2, AN_TME_BY[[#All],[Advanced Network/Insurance Carrier Org ID]],B124),2))</f>
        <v>TRUE</v>
      </c>
      <c r="J124" s="138" t="str">
        <f>IF(ROUND(E124,0)=ROUND(SUMIFS(AN_TME_BY[[#All],[Count of Members with Claims Truncated]], AN_TME_BY[[#All],[Insurance Category Code]],2, AN_TME_BY[[#All],[Advanced Network/Insurance Carrier Org ID]],B124),0), "TRUE", ROUND(E124-SUMIFS(AN_TME_BY[[#All],[Count of Members with Claims Truncated]], AN_TME_BY[[#All],[Insurance Category Code]],2, AN_TME_BY[[#All],[Advanced Network/Insurance Carrier Org ID]],B124),2))</f>
        <v>TRUE</v>
      </c>
      <c r="K124" s="365" t="str">
        <f>IF(ROUND(F124,0)=ROUND(SUMIFS(AN_TME_BY[[#All],[TOTAL Non-Truncated Unadjusted Claims Expenses]], AN_TME_BY[[#All],[Insurance Category Code]],2, AN_TME_BY[[#All],[Advanced Network/Insurance Carrier Org ID]],B124),0), "TRUE", ROUND(F124-SUMIFS(AN_TME_BY[[#All],[TOTAL Non-Truncated Unadjusted Claims Expenses]], AN_TME_BY[[#All],[Insurance Category Code]],2, AN_TME_BY[[#All],[Advanced Network/Insurance Carrier Org ID]],B124),2))</f>
        <v>TRUE</v>
      </c>
      <c r="L124" s="367" t="str">
        <f>IF(ROUND(G124,0)=ROUND(SUMIFS(AN_TME_BY[[#All],[TOTAL Truncated Unadjusted Claims Expenses (A21 -A19)]], AN_TME_BY[[#All],[Insurance Category Code]],2, AN_TME_BY[[#All],[Advanced Network/Insurance Carrier Org ID]],B124),0), "TRUE", ROUND(G124-SUMIFS(AN_TME_BY[[#All],[TOTAL Truncated Unadjusted Claims Expenses (A21 -A19)]], AN_TME_BY[[#All],[Insurance Category Code]],2, AN_TME_BY[[#All],[Advanced Network/Insurance Carrier Org ID]],B124),2))</f>
        <v>TRUE</v>
      </c>
      <c r="M124" s="362" t="str">
        <f t="shared" si="8"/>
        <v>TRUE</v>
      </c>
      <c r="N124" s="365" t="b">
        <f>ROUND(SUMIFS(AN_TME_BY[[#All],[TOTAL Non-Truncated Unadjusted Claims Expenses]], AN_TME_BY[[#All],[Insurance Category Code]],2, AN_TME_BY[[#All],[Advanced Network/Insurance Carrier Org ID]],B124), 2)&gt;=ROUND(SUMIFS(AN_TME_BY[[#All],[TOTAL Truncated Unadjusted Claims Expenses (A21 -A19)]], AN_TME_BY[[#All],[Insurance Category Code]], 2, AN_TME_BY[[#All],[Advanced Network/Insurance Carrier Org ID]],B124),2)</f>
        <v>1</v>
      </c>
      <c r="O124" s="367" t="b">
        <f>ROUND(SUMIFS(AN_TME_BY[[#All],[TOTAL Truncated Unadjusted Claims Expenses (A21 -A19)]], AN_TME_BY[[#All],[Insurance Category Code]],2, AN_TME_BY[[#All],[Advanced Network/Insurance Carrier Org ID]],B124)+SUMIFS(AN_TME_BY[[#All],[Total Claims Excluded because of Truncation]], AN_TME_BY[[#All],[Insurance Category Code]],2, AN_TME_BY[[#All],[Advanced Network/Insurance Carrier Org ID]],B124),2)=ROUND(SUMIFS(AN_TME_BY[[#All],[TOTAL Non-Truncated Unadjusted Claims Expenses]], AN_TME_BY[[#All],[Insurance Category Code]],2, AN_TME_BY[[#All],[Advanced Network/Insurance Carrier Org ID]],B124), 2)</f>
        <v>1</v>
      </c>
      <c r="R124" s="277">
        <v>134</v>
      </c>
      <c r="S124" s="204">
        <f>ROUND(SUMIFS(Age_Sex_PY[[#All],[Total Member Months by Age/Sex Band]], Age_Sex_PY[[#All],[Advanced Network ID]], $R124, Age_Sex_PY[[#All],[Insurance Category Code]],2), 2)</f>
        <v>0</v>
      </c>
      <c r="T124" s="202">
        <f>ROUND(SUMIFS(Age_Sex_PY[[#All],[Total Dollars Excluded from Spending After Applying Truncation at the Member Level]], Age_Sex_PY[[#All],[Advanced Network ID]], $R124, Age_Sex_PY[[#All],[Insurance Category Code]],2), 2)</f>
        <v>0</v>
      </c>
      <c r="U124" s="189">
        <f>ROUND(SUMIFS(Age_Sex_PY[[#All],[Count of Members whose Spending was Truncated]], Age_Sex_PY[[#All],[Advanced Network ID]], $R124, Age_Sex_PY[[#All],[Insurance Category Code]],2),2)</f>
        <v>0</v>
      </c>
      <c r="V124" s="202">
        <f>ROUND(SUMIFS(Age_Sex_PY[[#All],[Total Spending before Truncation is Applied]], Age_Sex_PY[[#All],[Advanced Network ID]], $R124, Age_Sex_PY[[#All],[Insurance Category Code]],2), 2)</f>
        <v>0</v>
      </c>
      <c r="W124" s="203">
        <f>ROUND(SUMIFS(Age_Sex_PY[[#All],[Total Spending After Applying Truncation at the Member Level]], Age_Sex_PY[[#All],[Advanced Network ID]], $R124, Age_Sex_PY[[#All],[Insurance Category Code]],2), 2)</f>
        <v>0</v>
      </c>
      <c r="X124" s="362" t="str">
        <f>IF(ROUND(S124,0)=ROUND(SUMIFS(AN_TME_PY[[#All],[Member Months]], AN_TME_PY[[#All],[Insurance Category Code]],2, AN_TME_PY[[#All],[Advanced Network/Insurance Carrier Org ID]],R124),0), "TRUE", ROUND(S124-SUMIFS(AN_TME_PY[[#All],[Member Months]], AN_TME_PY[[#All],[Insurance Category Code]],2, AN_TME_PY[[#All],[Advanced Network/Insurance Carrier Org ID]],R124),2))</f>
        <v>TRUE</v>
      </c>
      <c r="Y124" s="365" t="str">
        <f>IF(ROUND(T124,0)=ROUND(SUMIFS(AN_TME_PY[[#All],[Total Claims Excluded because of Truncation]], AN_TME_PY[[#All],[Insurance Category Code]],2, AN_TME_PY[[#All],[Advanced Network/Insurance Carrier Org ID]],R124),0), "TRUE", ROUND(T124-SUMIFS(AN_TME_PY[[#All],[Total Claims Excluded because of Truncation]], AN_TME_PY[[#All],[Insurance Category Code]],2, AN_TME_PY[[#All],[Advanced Network/Insurance Carrier Org ID]],R124),2))</f>
        <v>TRUE</v>
      </c>
      <c r="Z124" s="138" t="str">
        <f>IF(ROUND(U124,0)=ROUND(SUMIFS(AN_TME_PY[[#All],[Count of Members with Claims Truncated]], AN_TME_PY[[#All],[Insurance Category Code]],2, AN_TME_PY[[#All],[Advanced Network/Insurance Carrier Org ID]],R124),0), "TRUE", ROUND(U124-SUMIFS(AN_TME_PY[[#All],[Count of Members with Claims Truncated]], AN_TME_PY[[#All],[Insurance Category Code]],2, AN_TME_PY[[#All],[Advanced Network/Insurance Carrier Org ID]],R124),2))</f>
        <v>TRUE</v>
      </c>
      <c r="AA124" s="365" t="str">
        <f>IF(ROUND(V124,0)=ROUND(SUMIFS(AN_TME_PY[[#All],[TOTAL Non-Truncated Unadjusted Claims Expenses]], AN_TME_PY[[#All],[Insurance Category Code]],2, AN_TME_PY[[#All],[Advanced Network/Insurance Carrier Org ID]],R124),0), "TRUE", ROUND(V124-SUMIFS(AN_TME_PY[[#All],[TOTAL Non-Truncated Unadjusted Claims Expenses]], AN_TME_PY[[#All],[Insurance Category Code]],2, AN_TME_PY[[#All],[Advanced Network/Insurance Carrier Org ID]],R124),2))</f>
        <v>TRUE</v>
      </c>
      <c r="AB124" s="367" t="str">
        <f>IF(ROUND(W124,0)=ROUND(SUMIFS(AN_TME_PY[[#All],[TOTAL Truncated Unadjusted Claims Expenses (A21 -A19)]], AN_TME_PY[[#All],[Insurance Category Code]],2, AN_TME_PY[[#All],[Advanced Network/Insurance Carrier Org ID]],R124),0), "TRUE", ROUND(W124-SUMIFS(AN_TME_PY[[#All],[TOTAL Truncated Unadjusted Claims Expenses (A21 -A19)]], AN_TME_PY[[#All],[Insurance Category Code]],2, AN_TME_PY[[#All],[Advanced Network/Insurance Carrier Org ID]],R124),2))</f>
        <v>TRUE</v>
      </c>
      <c r="AC124" s="362" t="str">
        <f t="shared" si="9"/>
        <v>TRUE</v>
      </c>
      <c r="AD124" s="365" t="b">
        <f>ROUND(SUMIFS(AN_TME_PY[[#All],[TOTAL Non-Truncated Unadjusted Claims Expenses]], AN_TME_PY[[#All],[Insurance Category Code]],2, AN_TME_PY[[#All],[Advanced Network/Insurance Carrier Org ID]],R124), 2)&gt;=ROUND(SUMIFS(AN_TME_PY[[#All],[TOTAL Truncated Unadjusted Claims Expenses (A21 -A19)]], AN_TME_PY[[#All],[Insurance Category Code]], 2, AN_TME_PY[[#All],[Advanced Network/Insurance Carrier Org ID]],R124),2)</f>
        <v>1</v>
      </c>
      <c r="AE124" s="367" t="b">
        <f>ROUND(SUMIFS(AN_TME_PY[[#All],[TOTAL Truncated Unadjusted Claims Expenses (A21 -A19)]], AN_TME_PY[[#All],[Insurance Category Code]],2, AN_TME_PY[[#All],[Advanced Network/Insurance Carrier Org ID]],R124)+SUMIFS(AN_TME_PY[[#All],[Total Claims Excluded because of Truncation]], AN_TME_PY[[#All],[Insurance Category Code]],2, AN_TME_PY[[#All],[Advanced Network/Insurance Carrier Org ID]],R124),2)=ROUND(SUMIFS(AN_TME_PY[[#All],[TOTAL Non-Truncated Unadjusted Claims Expenses]], AN_TME_PY[[#All],[Insurance Category Code]],2, AN_TME_PY[[#All],[Advanced Network/Insurance Carrier Org ID]],R124), 2)</f>
        <v>1</v>
      </c>
      <c r="AH124" s="213" t="str">
        <f t="shared" si="7"/>
        <v>NA</v>
      </c>
    </row>
    <row r="125" spans="2:34" ht="15.75" thickBot="1" x14ac:dyDescent="0.3">
      <c r="B125" s="185">
        <v>999</v>
      </c>
      <c r="C125" s="205">
        <f>ROUND(SUMIFS(Age_Sex_BY[[#All],[Total Member Months by Age/Sex Band]], Age_Sex_BY[[#All],[Advanced Network ID]], $B125, Age_Sex_BY[[#All],[Insurance Category Code]],2), 2)</f>
        <v>0</v>
      </c>
      <c r="D125" s="206">
        <f>ROUND(SUMIFS(Age_Sex_BY[[#All],[Total Dollars Excluded from Spending After Applying Truncation at the Member Level]], Age_Sex_BY[[#All],[Advanced Network ID]], $B125, Age_Sex_BY[[#All],[Insurance Category Code]],2), 2)</f>
        <v>0</v>
      </c>
      <c r="E125" s="207">
        <f>ROUND(SUMIFS(Age_Sex_BY[[#All],[Count of Members whose Spending was Truncated]], Age_Sex_BY[[#All],[Advanced Network ID]], $B125, Age_Sex_BY[[#All],[Insurance Category Code]],2),2)</f>
        <v>0</v>
      </c>
      <c r="F125" s="206">
        <f>ROUND(SUMIFS(Age_Sex_BY[[#All],[Total Spending before Truncation is Applied]], Age_Sex_BY[[#All],[Advanced Network ID]], $B125, Age_Sex_BY[[#All],[Insurance Category Code]],2), 2)</f>
        <v>0</v>
      </c>
      <c r="G125" s="208">
        <f>ROUND(SUMIFS(Age_Sex_BY[[#All],[Total Spending After Applying Truncation at the Member Level]], Age_Sex_BY[[#All],[Advanced Network ID]], $B125, Age_Sex_BY[[#All],[Insurance Category Code]],2), 2)</f>
        <v>0</v>
      </c>
      <c r="H125" s="363" t="str">
        <f>IF(ROUND(C125,0)=ROUND(SUMIFS(AN_TME_BY[[#All],[Member Months]], AN_TME_BY[[#All],[Insurance Category Code]],2, AN_TME_BY[[#All],[Advanced Network/Insurance Carrier Org ID]],B125),0), "TRUE", ROUND(C125-SUMIFS(AN_TME_BY[[#All],[Member Months]], AN_TME_BY[[#All],[Insurance Category Code]],2, AN_TME_BY[[#All],[Advanced Network/Insurance Carrier Org ID]],B125),2))</f>
        <v>TRUE</v>
      </c>
      <c r="I125" s="366" t="str">
        <f>IF(ROUND(D125,0)=ROUND(SUMIFS(AN_TME_BY[[#All],[Total Claims Excluded because of Truncation]], AN_TME_BY[[#All],[Insurance Category Code]],2, AN_TME_BY[[#All],[Advanced Network/Insurance Carrier Org ID]],B125),0), "TRUE", ROUND(D125-SUMIFS(AN_TME_BY[[#All],[Total Claims Excluded because of Truncation]], AN_TME_BY[[#All],[Insurance Category Code]],2, AN_TME_BY[[#All],[Advanced Network/Insurance Carrier Org ID]],B125),2))</f>
        <v>TRUE</v>
      </c>
      <c r="J125" s="364" t="str">
        <f>IF(ROUND(E125,0)=ROUND(SUMIFS(AN_TME_BY[[#All],[Count of Members with Claims Truncated]], AN_TME_BY[[#All],[Insurance Category Code]],2, AN_TME_BY[[#All],[Advanced Network/Insurance Carrier Org ID]],B125),0), "TRUE", ROUND(E125-SUMIFS(AN_TME_BY[[#All],[Count of Members with Claims Truncated]], AN_TME_BY[[#All],[Insurance Category Code]],2, AN_TME_BY[[#All],[Advanced Network/Insurance Carrier Org ID]],B125),2))</f>
        <v>TRUE</v>
      </c>
      <c r="K125" s="366" t="str">
        <f>IF(ROUND(F125,0)=ROUND(SUMIFS(AN_TME_BY[[#All],[TOTAL Non-Truncated Unadjusted Claims Expenses]], AN_TME_BY[[#All],[Insurance Category Code]],2, AN_TME_BY[[#All],[Advanced Network/Insurance Carrier Org ID]],B125),0), "TRUE", ROUND(F125-SUMIFS(AN_TME_BY[[#All],[TOTAL Non-Truncated Unadjusted Claims Expenses]], AN_TME_BY[[#All],[Insurance Category Code]],2, AN_TME_BY[[#All],[Advanced Network/Insurance Carrier Org ID]],B125),2))</f>
        <v>TRUE</v>
      </c>
      <c r="L125" s="368" t="str">
        <f>IF(ROUND(G125,0)=ROUND(SUMIFS(AN_TME_BY[[#All],[TOTAL Truncated Unadjusted Claims Expenses (A21 -A19)]], AN_TME_BY[[#All],[Insurance Category Code]],2, AN_TME_BY[[#All],[Advanced Network/Insurance Carrier Org ID]],B125),0), "TRUE", ROUND(G125-SUMIFS(AN_TME_BY[[#All],[TOTAL Truncated Unadjusted Claims Expenses (A21 -A19)]], AN_TME_BY[[#All],[Insurance Category Code]],2, AN_TME_BY[[#All],[Advanced Network/Insurance Carrier Org ID]],B125),2))</f>
        <v>TRUE</v>
      </c>
      <c r="M125" s="363" t="str">
        <f t="shared" si="5"/>
        <v>TRUE</v>
      </c>
      <c r="N125" s="366" t="b">
        <f>ROUND(SUMIFS(AN_TME_BY[[#All],[TOTAL Non-Truncated Unadjusted Claims Expenses]], AN_TME_BY[[#All],[Insurance Category Code]],2, AN_TME_BY[[#All],[Advanced Network/Insurance Carrier Org ID]],B125), 2)&gt;=ROUND(SUMIFS(AN_TME_BY[[#All],[TOTAL Truncated Unadjusted Claims Expenses (A21 -A19)]], AN_TME_BY[[#All],[Insurance Category Code]], 2, AN_TME_BY[[#All],[Advanced Network/Insurance Carrier Org ID]],B125),2)</f>
        <v>1</v>
      </c>
      <c r="O125" s="368" t="b">
        <f>ROUND(SUMIFS(AN_TME_BY[[#All],[TOTAL Truncated Unadjusted Claims Expenses (A21 -A19)]], AN_TME_BY[[#All],[Insurance Category Code]],2, AN_TME_BY[[#All],[Advanced Network/Insurance Carrier Org ID]],B125)+SUMIFS(AN_TME_BY[[#All],[Total Claims Excluded because of Truncation]], AN_TME_BY[[#All],[Insurance Category Code]],2, AN_TME_BY[[#All],[Advanced Network/Insurance Carrier Org ID]],B125),2)=ROUND(SUMIFS(AN_TME_BY[[#All],[TOTAL Non-Truncated Unadjusted Claims Expenses]], AN_TME_BY[[#All],[Insurance Category Code]],2, AN_TME_BY[[#All],[Advanced Network/Insurance Carrier Org ID]],B125), 2)</f>
        <v>1</v>
      </c>
      <c r="R125" s="185">
        <v>999</v>
      </c>
      <c r="S125" s="205">
        <f>ROUND(SUMIFS(Age_Sex_PY[[#All],[Total Member Months by Age/Sex Band]], Age_Sex_PY[[#All],[Advanced Network ID]], $R125, Age_Sex_PY[[#All],[Insurance Category Code]],2), 2)</f>
        <v>0</v>
      </c>
      <c r="T125" s="206">
        <f>ROUND(SUMIFS(Age_Sex_PY[[#All],[Total Dollars Excluded from Spending After Applying Truncation at the Member Level]], Age_Sex_PY[[#All],[Advanced Network ID]], $R125, Age_Sex_PY[[#All],[Insurance Category Code]],2), 2)</f>
        <v>0</v>
      </c>
      <c r="U125" s="207">
        <f>ROUND(SUMIFS(Age_Sex_PY[[#All],[Count of Members whose Spending was Truncated]], Age_Sex_PY[[#All],[Advanced Network ID]], $R125, Age_Sex_PY[[#All],[Insurance Category Code]],2),2)</f>
        <v>0</v>
      </c>
      <c r="V125" s="206">
        <f>ROUND(SUMIFS(Age_Sex_PY[[#All],[Total Spending before Truncation is Applied]], Age_Sex_PY[[#All],[Advanced Network ID]], $R125, Age_Sex_PY[[#All],[Insurance Category Code]],2), 2)</f>
        <v>0</v>
      </c>
      <c r="W125" s="208">
        <f>ROUND(SUMIFS(Age_Sex_PY[[#All],[Total Spending After Applying Truncation at the Member Level]], Age_Sex_PY[[#All],[Advanced Network ID]], $R125, Age_Sex_PY[[#All],[Insurance Category Code]],2), 2)</f>
        <v>0</v>
      </c>
      <c r="X125" s="363" t="str">
        <f>IF(ROUND(S125,0)=ROUND(SUMIFS(AN_TME_PY[[#All],[Member Months]], AN_TME_PY[[#All],[Insurance Category Code]],2, AN_TME_PY[[#All],[Advanced Network/Insurance Carrier Org ID]],R125),0), "TRUE", ROUND(S125-SUMIFS(AN_TME_PY[[#All],[Member Months]], AN_TME_PY[[#All],[Insurance Category Code]],2, AN_TME_PY[[#All],[Advanced Network/Insurance Carrier Org ID]],R125),2))</f>
        <v>TRUE</v>
      </c>
      <c r="Y125" s="366" t="str">
        <f>IF(ROUND(T125,0)=ROUND(SUMIFS(AN_TME_PY[[#All],[Total Claims Excluded because of Truncation]], AN_TME_PY[[#All],[Insurance Category Code]],2, AN_TME_PY[[#All],[Advanced Network/Insurance Carrier Org ID]],R125),0), "TRUE", ROUND(T125-SUMIFS(AN_TME_PY[[#All],[Total Claims Excluded because of Truncation]], AN_TME_PY[[#All],[Insurance Category Code]],2, AN_TME_PY[[#All],[Advanced Network/Insurance Carrier Org ID]],R125),2))</f>
        <v>TRUE</v>
      </c>
      <c r="Z125" s="364" t="str">
        <f>IF(ROUND(U125,0)=ROUND(SUMIFS(AN_TME_PY[[#All],[Count of Members with Claims Truncated]], AN_TME_PY[[#All],[Insurance Category Code]],2, AN_TME_PY[[#All],[Advanced Network/Insurance Carrier Org ID]],R125),0), "TRUE", ROUND(U125-SUMIFS(AN_TME_PY[[#All],[Count of Members with Claims Truncated]], AN_TME_PY[[#All],[Insurance Category Code]],2, AN_TME_PY[[#All],[Advanced Network/Insurance Carrier Org ID]],R125),2))</f>
        <v>TRUE</v>
      </c>
      <c r="AA125" s="366" t="str">
        <f>IF(ROUND(V125,0)=ROUND(SUMIFS(AN_TME_PY[[#All],[TOTAL Non-Truncated Unadjusted Claims Expenses]], AN_TME_PY[[#All],[Insurance Category Code]],2, AN_TME_PY[[#All],[Advanced Network/Insurance Carrier Org ID]],R125),0), "TRUE", ROUND(V125-SUMIFS(AN_TME_PY[[#All],[TOTAL Non-Truncated Unadjusted Claims Expenses]], AN_TME_PY[[#All],[Insurance Category Code]],2, AN_TME_PY[[#All],[Advanced Network/Insurance Carrier Org ID]],R125),2))</f>
        <v>TRUE</v>
      </c>
      <c r="AB125" s="368" t="str">
        <f>IF(ROUND(W125,0)=ROUND(SUMIFS(AN_TME_PY[[#All],[TOTAL Truncated Unadjusted Claims Expenses (A21 -A19)]], AN_TME_PY[[#All],[Insurance Category Code]],2, AN_TME_PY[[#All],[Advanced Network/Insurance Carrier Org ID]],R125),0), "TRUE", ROUND(W125-SUMIFS(AN_TME_PY[[#All],[TOTAL Truncated Unadjusted Claims Expenses (A21 -A19)]], AN_TME_PY[[#All],[Insurance Category Code]],2, AN_TME_PY[[#All],[Advanced Network/Insurance Carrier Org ID]],R125),2))</f>
        <v>TRUE</v>
      </c>
      <c r="AC125" s="363" t="str">
        <f t="shared" si="6"/>
        <v>TRUE</v>
      </c>
      <c r="AD125" s="366" t="b">
        <f>ROUND(SUMIFS(AN_TME_PY[[#All],[TOTAL Non-Truncated Unadjusted Claims Expenses]], AN_TME_PY[[#All],[Insurance Category Code]],2, AN_TME_PY[[#All],[Advanced Network/Insurance Carrier Org ID]],R125), 2)&gt;=ROUND(SUMIFS(AN_TME_PY[[#All],[TOTAL Truncated Unadjusted Claims Expenses (A21 -A19)]], AN_TME_PY[[#All],[Insurance Category Code]], 2, AN_TME_PY[[#All],[Advanced Network/Insurance Carrier Org ID]],R125),2)</f>
        <v>1</v>
      </c>
      <c r="AE125" s="368" t="b">
        <f>ROUND(SUMIFS(AN_TME_PY[[#All],[TOTAL Truncated Unadjusted Claims Expenses (A21 -A19)]], AN_TME_PY[[#All],[Insurance Category Code]],2, AN_TME_PY[[#All],[Advanced Network/Insurance Carrier Org ID]],R125)+SUMIFS(AN_TME_PY[[#All],[Total Claims Excluded because of Truncation]], AN_TME_PY[[#All],[Insurance Category Code]],2, AN_TME_PY[[#All],[Advanced Network/Insurance Carrier Org ID]],R125),2)=ROUND(SUMIFS(AN_TME_PY[[#All],[TOTAL Non-Truncated Unadjusted Claims Expenses]], AN_TME_PY[[#All],[Insurance Category Code]],2, AN_TME_PY[[#All],[Advanced Network/Insurance Carrier Org ID]],R125), 2)</f>
        <v>1</v>
      </c>
      <c r="AH125" s="214" t="str">
        <f t="shared" si="7"/>
        <v>NA</v>
      </c>
    </row>
    <row r="127" spans="2:34" ht="15.75" thickBot="1" x14ac:dyDescent="0.3"/>
    <row r="128" spans="2:34" ht="24" thickBot="1" x14ac:dyDescent="0.4">
      <c r="B128" s="283" t="s">
        <v>401</v>
      </c>
      <c r="C128" s="356" t="s">
        <v>387</v>
      </c>
      <c r="D128" s="357"/>
      <c r="E128" s="357"/>
      <c r="F128" s="357"/>
      <c r="G128" s="358"/>
      <c r="H128" s="359" t="s">
        <v>388</v>
      </c>
      <c r="I128" s="360"/>
      <c r="J128" s="360"/>
      <c r="K128" s="360"/>
      <c r="L128" s="361"/>
      <c r="M128" s="353" t="s">
        <v>389</v>
      </c>
      <c r="N128" s="354"/>
      <c r="O128" s="355"/>
      <c r="R128" s="209" t="s">
        <v>401</v>
      </c>
      <c r="S128" s="356" t="s">
        <v>390</v>
      </c>
      <c r="T128" s="357"/>
      <c r="U128" s="357"/>
      <c r="V128" s="357"/>
      <c r="W128" s="358"/>
      <c r="X128" s="359" t="s">
        <v>391</v>
      </c>
      <c r="Y128" s="360"/>
      <c r="Z128" s="360"/>
      <c r="AA128" s="360"/>
      <c r="AB128" s="361"/>
      <c r="AC128" s="353" t="s">
        <v>389</v>
      </c>
      <c r="AD128" s="354"/>
      <c r="AE128" s="355"/>
    </row>
    <row r="129" spans="2:31" ht="136.5" customHeight="1" x14ac:dyDescent="0.25">
      <c r="B129" s="285" t="s">
        <v>267</v>
      </c>
      <c r="C129" s="192" t="s">
        <v>182</v>
      </c>
      <c r="D129" s="193" t="s">
        <v>268</v>
      </c>
      <c r="E129" s="193" t="s">
        <v>392</v>
      </c>
      <c r="F129" s="193" t="s">
        <v>184</v>
      </c>
      <c r="G129" s="194" t="s">
        <v>188</v>
      </c>
      <c r="H129" s="196" t="s">
        <v>242</v>
      </c>
      <c r="I129" s="197" t="s">
        <v>393</v>
      </c>
      <c r="J129" s="197" t="s">
        <v>394</v>
      </c>
      <c r="K129" s="197" t="s">
        <v>395</v>
      </c>
      <c r="L129" s="198" t="s">
        <v>396</v>
      </c>
      <c r="M129" s="199" t="s">
        <v>397</v>
      </c>
      <c r="N129" s="200" t="s">
        <v>398</v>
      </c>
      <c r="O129" s="201" t="s">
        <v>399</v>
      </c>
      <c r="R129" s="210" t="s">
        <v>267</v>
      </c>
      <c r="S129" s="192" t="s">
        <v>182</v>
      </c>
      <c r="T129" s="193" t="s">
        <v>268</v>
      </c>
      <c r="U129" s="193" t="s">
        <v>392</v>
      </c>
      <c r="V129" s="193" t="s">
        <v>184</v>
      </c>
      <c r="W129" s="194" t="s">
        <v>188</v>
      </c>
      <c r="X129" s="196" t="s">
        <v>242</v>
      </c>
      <c r="Y129" s="197" t="s">
        <v>393</v>
      </c>
      <c r="Z129" s="197" t="s">
        <v>394</v>
      </c>
      <c r="AA129" s="197" t="s">
        <v>395</v>
      </c>
      <c r="AB129" s="198" t="s">
        <v>396</v>
      </c>
      <c r="AC129" s="199" t="s">
        <v>397</v>
      </c>
      <c r="AD129" s="200" t="s">
        <v>398</v>
      </c>
      <c r="AE129" s="201" t="s">
        <v>399</v>
      </c>
    </row>
    <row r="130" spans="2:31" x14ac:dyDescent="0.25">
      <c r="B130" s="190">
        <v>100</v>
      </c>
      <c r="C130" s="204">
        <f>ROUND(SUMIFS(Age_Sex_BY[[#All],[Total Member Months by Age/Sex Band]], Age_Sex_BY[[#All],[Advanced Network ID]], $B130, Age_Sex_BY[[#All],[Insurance Category Code]],6), 2)</f>
        <v>0</v>
      </c>
      <c r="D130" s="202">
        <f>ROUND(SUMIFS(Age_Sex_BY[[#All],[Total Dollars Excluded from Spending After Applying Truncation at the Member Level]], Age_Sex_BY[[#All],[Advanced Network ID]], $B130, Age_Sex_BY[[#All],[Insurance Category Code]],6), 2)</f>
        <v>0</v>
      </c>
      <c r="E130" s="9">
        <f>ROUND(SUMIFS(Age_Sex_BY[[#All],[Count of Members whose Spending was Truncated]], Age_Sex_BY[[#All],[Advanced Network ID]], $B130, Age_Sex_BY[[#All],[Insurance Category Code]],6),2)</f>
        <v>0</v>
      </c>
      <c r="F130" s="202">
        <f>ROUND(SUMIFS(Age_Sex_BY[[#All],[Total Spending before Truncation is Applied]], Age_Sex_BY[[#All],[Advanced Network ID]], $B130, Age_Sex_BY[[#All],[Insurance Category Code]],6), 2)</f>
        <v>0</v>
      </c>
      <c r="G130" s="202">
        <f>ROUND(SUMIFS(Age_Sex_BY[[#All],[Total Spending After Applying Truncation at the Member Level]], Age_Sex_BY[[#All],[Advanced Network ID]], $B130, Age_Sex_BY[[#All],[Insurance Category Code]],6), 2)</f>
        <v>0</v>
      </c>
      <c r="H130" s="362" t="str">
        <f>IF(ROUND(C130,0)=ROUND(SUMIFS(AN_TME_BY[[#All],[Member Months]], AN_TME_BY[[#All],[Insurance Category Code]],6, AN_TME_BY[[#All],[Advanced Network/Insurance Carrier Org ID]],B130),0), "TRUE", ROUND(C130-SUMIFS(AN_TME_BY[[#All],[Member Months]], AN_TME_BY[[#All],[Insurance Category Code]],6, AN_TME_BY[[#All],[Advanced Network/Insurance Carrier Org ID]],B130),2))</f>
        <v>TRUE</v>
      </c>
      <c r="I130" s="369" t="str">
        <f>IF(ROUND(D130,0)=ROUND(SUMIFS(AN_TME_BY[[#All],[Total Claims Excluded because of Truncation]], AN_TME_BY[[#All],[Insurance Category Code]],6, AN_TME_BY[[#All],[Advanced Network/Insurance Carrier Org ID]],B130),0), "TRUE", ROUND(D130-SUMIFS(AN_TME_BY[[#All],[Total Claims Excluded because of Truncation]], AN_TME_BY[[#All],[Insurance Category Code]],6, AN_TME_BY[[#All],[Advanced Network/Insurance Carrier Org ID]],B130),2))</f>
        <v>TRUE</v>
      </c>
      <c r="J130" s="138" t="str">
        <f>IF(ROUND(E130,0)=ROUND(SUMIFS(AN_TME_BY[[#All],[Count of Members with Claims Truncated]], AN_TME_BY[[#All],[Insurance Category Code]],6, AN_TME_BY[[#All],[Advanced Network/Insurance Carrier Org ID]],B130),0), "TRUE", ROUND(E130-SUMIFS(AN_TME_BY[[#All],[Count of Members with Claims Truncated]], AN_TME_BY[[#All],[Insurance Category Code]],6, AN_TME_BY[[#All],[Advanced Network/Insurance Carrier Org ID]],B130),2))</f>
        <v>TRUE</v>
      </c>
      <c r="K130" s="369" t="str">
        <f>IF(ROUND(F130,0)=ROUND(SUMIFS(AN_TME_BY[[#All],[TOTAL Non-Truncated Unadjusted Claims Expenses]], AN_TME_BY[[#All],[Insurance Category Code]],6, AN_TME_BY[[#All],[Advanced Network/Insurance Carrier Org ID]],B130),0), "TRUE", ROUND(F130-SUMIFS(AN_TME_BY[[#All],[TOTAL Non-Truncated Unadjusted Claims Expenses]], AN_TME_BY[[#All],[Insurance Category Code]],6, AN_TME_BY[[#All],[Advanced Network/Insurance Carrier Org ID]],B130),2))</f>
        <v>TRUE</v>
      </c>
      <c r="L130" s="369" t="str">
        <f>IF(ROUND(G130,0)=ROUND(SUMIFS(AN_TME_BY[[#All],[TOTAL Truncated Unadjusted Claims Expenses (A21 -A19)]], AN_TME_BY[[#All],[Insurance Category Code]],6, AN_TME_BY[[#All],[Advanced Network/Insurance Carrier Org ID]],B130),0), "TRUE", ROUND(G130-SUMIFS(AN_TME_BY[[#All],[TOTAL Truncated Unadjusted Claims Expenses (A21 -A19)]], AN_TME_BY[[#All],[Insurance Category Code]],6, AN_TME_BY[[#All],[Advanced Network/Insurance Carrier Org ID]],B130),2))</f>
        <v>TRUE</v>
      </c>
      <c r="M130" s="362" t="str">
        <f>IF(E130=0, "TRUE",IF((C130/12)&gt;E130,"TRUE",(C130/12)-E130))</f>
        <v>TRUE</v>
      </c>
      <c r="N130" s="365" t="b">
        <f>ROUND(SUMIFS(AN_TME_BY[[#All],[TOTAL Non-Truncated Unadjusted Claims Expenses]], AN_TME_BY[[#All],[Insurance Category Code]],6, AN_TME_BY[[#All],[Advanced Network/Insurance Carrier Org ID]],B130), 2)&gt;=ROUND(SUMIFS(AN_TME_BY[[#All],[TOTAL Truncated Unadjusted Claims Expenses (A21 -A19)]], AN_TME_BY[[#All],[Insurance Category Code]], 6, AN_TME_BY[[#All],[Advanced Network/Insurance Carrier Org ID]],B130),2)</f>
        <v>1</v>
      </c>
      <c r="O130" s="367" t="b">
        <f>ROUND(SUMIFS(AN_TME_BY[[#All],[TOTAL Truncated Unadjusted Claims Expenses (A21 -A19)]], AN_TME_BY[[#All],[Insurance Category Code]],6, AN_TME_BY[[#All],[Advanced Network/Insurance Carrier Org ID]],B130)+SUMIFS(AN_TME_BY[[#All],[Total Claims Excluded because of Truncation]], AN_TME_BY[[#All],[Insurance Category Code]],6, AN_TME_BY[[#All],[Advanced Network/Insurance Carrier Org ID]],B130),2)=ROUND(SUMIFS(AN_TME_BY[[#All],[TOTAL Non-Truncated Unadjusted Claims Expenses]], AN_TME_BY[[#All],[Insurance Category Code]],6, AN_TME_BY[[#All],[Advanced Network/Insurance Carrier Org ID]],B130), 2)</f>
        <v>1</v>
      </c>
      <c r="R130" s="184">
        <v>100</v>
      </c>
      <c r="S130" s="204">
        <f>ROUND(SUMIFS(Age_Sex_PY[[#All],[Total Member Months by Age/Sex Band]], Age_Sex_PY[[#All],[Advanced Network ID]], $R130, Age_Sex_PY[[#All],[Insurance Category Code]],6), 2)</f>
        <v>0</v>
      </c>
      <c r="T130" s="202">
        <f>ROUND(SUMIFS(Age_Sex_PY[[#All],[Total Dollars Excluded from Spending After Applying Truncation at the Member Level]], Age_Sex_PY[[#All],[Advanced Network ID]], $B130, Age_Sex_PY[[#All],[Insurance Category Code]],6), 2)</f>
        <v>0</v>
      </c>
      <c r="U130" s="9">
        <f>ROUND(SUMIFS(Age_Sex_PY[[#All],[Count of Members whose Spending was Truncated]], Age_Sex_PY[[#All],[Advanced Network ID]], $B130, Age_Sex_PY[[#All],[Insurance Category Code]],6),2)</f>
        <v>0</v>
      </c>
      <c r="V130" s="202">
        <f>ROUND(SUMIFS(Age_Sex_PY[[#All],[Total Spending before Truncation is Applied]], Age_Sex_PY[[#All],[Advanced Network ID]], $B130, Age_Sex_PY[[#All],[Insurance Category Code]],6), 2)</f>
        <v>0</v>
      </c>
      <c r="W130" s="203">
        <f>ROUND(SUMIFS(Age_Sex_PY[[#All],[Total Spending After Applying Truncation at the Member Level]], Age_Sex_PY[[#All],[Advanced Network ID]], $B130, Age_Sex_PY[[#All],[Insurance Category Code]],6), 2)</f>
        <v>0</v>
      </c>
      <c r="X130" s="362" t="str">
        <f>IF(ROUND(S130,0)=ROUND(SUMIFS(AN_TME_PY[[#All],[Member Months]], AN_TME_PY[[#All],[Insurance Category Code]],6, AN_TME_PY[[#All],[Advanced Network/Insurance Carrier Org ID]],R130),0), "TRUE", ROUND(S130-SUMIFS(AN_TME_PY[[#All],[Member Months]], AN_TME_PY[[#All],[Insurance Category Code]],6, AN_TME_PY[[#All],[Advanced Network/Insurance Carrier Org ID]],R130),2))</f>
        <v>TRUE</v>
      </c>
      <c r="Y130" s="369" t="str">
        <f>IF(ROUND(T130,0)=ROUND(SUMIFS(AN_TME_PY[[#All],[Total Claims Excluded because of Truncation]], AN_TME_PY[[#All],[Insurance Category Code]],6, AN_TME_PY[[#All],[Advanced Network/Insurance Carrier Org ID]],R130),0), "TRUE", ROUND(T130-SUMIFS(AN_TME_PY[[#All],[Total Claims Excluded because of Truncation]], AN_TME_PY[[#All],[Insurance Category Code]],6, AN_TME_PY[[#All],[Advanced Network/Insurance Carrier Org ID]],R130),2))</f>
        <v>TRUE</v>
      </c>
      <c r="Z130" s="138" t="str">
        <f>IF(ROUND(U130,0)=ROUND(SUMIFS(AN_TME_PY[[#All],[Count of Members with Claims Truncated]], AN_TME_PY[[#All],[Insurance Category Code]],6, AN_TME_PY[[#All],[Advanced Network/Insurance Carrier Org ID]],R130),0), "TRUE", ROUND(U130-SUMIFS(AN_TME_PY[[#All],[Count of Members with Claims Truncated]], AN_TME_PY[[#All],[Insurance Category Code]],6, AN_TME_PY[[#All],[Advanced Network/Insurance Carrier Org ID]],R130),2))</f>
        <v>TRUE</v>
      </c>
      <c r="AA130" s="369" t="str">
        <f>IF(ROUND(V130,0)=ROUND(SUMIFS(AN_TME_PY[[#All],[TOTAL Non-Truncated Unadjusted Claims Expenses]], AN_TME_PY[[#All],[Insurance Category Code]],6, AN_TME_PY[[#All],[Advanced Network/Insurance Carrier Org ID]],R130),0), "TRUE", ROUND(V130-SUMIFS(AN_TME_PY[[#All],[TOTAL Non-Truncated Unadjusted Claims Expenses]], AN_TME_PY[[#All],[Insurance Category Code]],6, AN_TME_PY[[#All],[Advanced Network/Insurance Carrier Org ID]],R130),2))</f>
        <v>TRUE</v>
      </c>
      <c r="AB130" s="369" t="str">
        <f>IF(ROUND(W130,0)=ROUND(SUMIFS(AN_TME_PY[[#All],[TOTAL Truncated Unadjusted Claims Expenses (A21 -A19)]], AN_TME_PY[[#All],[Insurance Category Code]],6, AN_TME_PY[[#All],[Advanced Network/Insurance Carrier Org ID]],R130),0), "TRUE", ROUND(W130-SUMIFS(AN_TME_PY[[#All],[TOTAL Truncated Unadjusted Claims Expenses (A21 -A19)]], AN_TME_PY[[#All],[Insurance Category Code]],6, AN_TME_PY[[#All],[Advanced Network/Insurance Carrier Org ID]],R130),2))</f>
        <v>TRUE</v>
      </c>
      <c r="AC130" s="362" t="str">
        <f>IF(U130=0, "TRUE",IF((S130/12)&gt;U130,"TRUE",(S130/12)-U130))</f>
        <v>TRUE</v>
      </c>
      <c r="AD130" s="365" t="b">
        <f>ROUND(SUMIFS(AN_TME_PY[[#All],[TOTAL Non-Truncated Unadjusted Claims Expenses]], AN_TME_PY[[#All],[Insurance Category Code]],6, AN_TME_PY[[#All],[Advanced Network/Insurance Carrier Org ID]],R130), 2)&gt;=ROUND(SUMIFS(AN_TME_PY[[#All],[TOTAL Truncated Unadjusted Claims Expenses (A21 -A19)]], AN_TME_PY[[#All],[Insurance Category Code]], 6, AN_TME_PY[[#All],[Advanced Network/Insurance Carrier Org ID]],R130),2)</f>
        <v>1</v>
      </c>
      <c r="AE130" s="367" t="b">
        <f>ROUND(SUMIFS(AN_TME_PY[[#All],[TOTAL Truncated Unadjusted Claims Expenses (A21 -A19)]], AN_TME_PY[[#All],[Insurance Category Code]],6, AN_TME_PY[[#All],[Advanced Network/Insurance Carrier Org ID]],R130)+SUMIFS(AN_TME_PY[[#All],[Total Claims Excluded because of Truncation]], AN_TME_PY[[#All],[Insurance Category Code]],6, AN_TME_PY[[#All],[Advanced Network/Insurance Carrier Org ID]],R130),2)=ROUND(SUMIFS(AN_TME_PY[[#All],[TOTAL Non-Truncated Unadjusted Claims Expenses]], AN_TME_PY[[#All],[Insurance Category Code]],6, AN_TME_PY[[#All],[Advanced Network/Insurance Carrier Org ID]],R130), 2)</f>
        <v>1</v>
      </c>
    </row>
    <row r="131" spans="2:31" ht="15.75" thickBot="1" x14ac:dyDescent="0.3">
      <c r="B131" s="191">
        <v>999</v>
      </c>
      <c r="C131" s="205">
        <f>ROUND(SUMIFS(Age_Sex_BY[[#All],[Total Member Months by Age/Sex Band]], Age_Sex_BY[[#All],[Advanced Network ID]], $B131, Age_Sex_BY[[#All],[Insurance Category Code]],6), 2)</f>
        <v>0</v>
      </c>
      <c r="D131" s="206">
        <f>ROUND(SUMIFS(Age_Sex_BY[[#All],[Total Dollars Excluded from Spending After Applying Truncation at the Member Level]], Age_Sex_BY[[#All],[Advanced Network ID]], $B131, Age_Sex_BY[[#All],[Insurance Category Code]],6), 2)</f>
        <v>0</v>
      </c>
      <c r="E131" s="195">
        <f>ROUND(SUMIFS(Age_Sex_BY[[#All],[Count of Members whose Spending was Truncated]], Age_Sex_BY[[#All],[Advanced Network ID]], $B131, Age_Sex_BY[[#All],[Insurance Category Code]],6),2)</f>
        <v>0</v>
      </c>
      <c r="F131" s="206">
        <f>ROUND(SUMIFS(Age_Sex_BY[[#All],[Total Spending before Truncation is Applied]], Age_Sex_BY[[#All],[Advanced Network ID]], $B131, Age_Sex_BY[[#All],[Insurance Category Code]],6), 2)</f>
        <v>0</v>
      </c>
      <c r="G131" s="206">
        <f>ROUND(SUMIFS(Age_Sex_BY[[#All],[Total Spending After Applying Truncation at the Member Level]], Age_Sex_BY[[#All],[Advanced Network ID]], $B131, Age_Sex_BY[[#All],[Insurance Category Code]],6), 2)</f>
        <v>0</v>
      </c>
      <c r="H131" s="363" t="str">
        <f>IF(ROUND(C131,0)=ROUND(SUMIFS(AN_TME_BY[[#All],[Member Months]], AN_TME_BY[[#All],[Insurance Category Code]],6, AN_TME_BY[[#All],[Advanced Network/Insurance Carrier Org ID]],B131),0), "TRUE", ROUND(C131-SUMIFS(AN_TME_BY[[#All],[Member Months]], AN_TME_BY[[#All],[Insurance Category Code]],6, AN_TME_BY[[#All],[Advanced Network/Insurance Carrier Org ID]],B131),2))</f>
        <v>TRUE</v>
      </c>
      <c r="I131" s="370" t="str">
        <f>IF(ROUND(D131,0)=ROUND(SUMIFS(AN_TME_BY[[#All],[Total Claims Excluded because of Truncation]], AN_TME_BY[[#All],[Insurance Category Code]],6, AN_TME_BY[[#All],[Advanced Network/Insurance Carrier Org ID]],B131),0), "TRUE", ROUND(D131-SUMIFS(AN_TME_BY[[#All],[Total Claims Excluded because of Truncation]], AN_TME_BY[[#All],[Insurance Category Code]],6, AN_TME_BY[[#All],[Advanced Network/Insurance Carrier Org ID]],B131),2))</f>
        <v>TRUE</v>
      </c>
      <c r="J131" s="364" t="str">
        <f>IF(ROUND(E131,0)=ROUND(SUMIFS(AN_TME_BY[[#All],[Count of Members with Claims Truncated]], AN_TME_BY[[#All],[Insurance Category Code]],6, AN_TME_BY[[#All],[Advanced Network/Insurance Carrier Org ID]],B131),0), "TRUE", ROUND(E131-SUMIFS(AN_TME_BY[[#All],[Count of Members with Claims Truncated]], AN_TME_BY[[#All],[Insurance Category Code]],6, AN_TME_BY[[#All],[Advanced Network/Insurance Carrier Org ID]],B131),2))</f>
        <v>TRUE</v>
      </c>
      <c r="K131" s="370" t="str">
        <f>IF(ROUND(F131,0)=ROUND(SUMIFS(AN_TME_BY[[#All],[TOTAL Non-Truncated Unadjusted Claims Expenses]], AN_TME_BY[[#All],[Insurance Category Code]],6, AN_TME_BY[[#All],[Advanced Network/Insurance Carrier Org ID]],B131),0), "TRUE", ROUND(F131-SUMIFS(AN_TME_BY[[#All],[TOTAL Non-Truncated Unadjusted Claims Expenses]], AN_TME_BY[[#All],[Insurance Category Code]],6, AN_TME_BY[[#All],[Advanced Network/Insurance Carrier Org ID]],B131),2))</f>
        <v>TRUE</v>
      </c>
      <c r="L131" s="370" t="str">
        <f>IF(ROUND(G131,0)=ROUND(SUMIFS(AN_TME_BY[[#All],[TOTAL Truncated Unadjusted Claims Expenses (A21 -A19)]], AN_TME_BY[[#All],[Insurance Category Code]],6, AN_TME_BY[[#All],[Advanced Network/Insurance Carrier Org ID]],B131),0), "TRUE", ROUND(G131-SUMIFS(AN_TME_BY[[#All],[TOTAL Truncated Unadjusted Claims Expenses (A21 -A19)]], AN_TME_BY[[#All],[Insurance Category Code]],6, AN_TME_BY[[#All],[Advanced Network/Insurance Carrier Org ID]],B131),2))</f>
        <v>TRUE</v>
      </c>
      <c r="M131" s="363" t="str">
        <f t="shared" ref="M131" si="10">IF(E131=0, "TRUE",IF((C131/12)&gt;E131,"TRUE",(C131/12)-E131))</f>
        <v>TRUE</v>
      </c>
      <c r="N131" s="366" t="b">
        <f>ROUND(SUMIFS(AN_TME_BY[[#All],[TOTAL Non-Truncated Unadjusted Claims Expenses]], AN_TME_BY[[#All],[Insurance Category Code]],6, AN_TME_BY[[#All],[Advanced Network/Insurance Carrier Org ID]],B131), 2)&gt;=ROUND(SUMIFS(AN_TME_BY[[#All],[TOTAL Truncated Unadjusted Claims Expenses (A21 -A19)]], AN_TME_BY[[#All],[Insurance Category Code]], 6, AN_TME_BY[[#All],[Advanced Network/Insurance Carrier Org ID]],B131),2)</f>
        <v>1</v>
      </c>
      <c r="O131" s="368" t="b">
        <f>ROUND(SUMIFS(AN_TME_BY[[#All],[TOTAL Truncated Unadjusted Claims Expenses (A21 -A19)]], AN_TME_BY[[#All],[Insurance Category Code]],6, AN_TME_BY[[#All],[Advanced Network/Insurance Carrier Org ID]],B131)+SUMIFS(AN_TME_BY[[#All],[Total Claims Excluded because of Truncation]], AN_TME_BY[[#All],[Insurance Category Code]],6, AN_TME_BY[[#All],[Advanced Network/Insurance Carrier Org ID]],B131),2)=ROUND(SUMIFS(AN_TME_BY[[#All],[TOTAL Non-Truncated Unadjusted Claims Expenses]], AN_TME_BY[[#All],[Insurance Category Code]],6, AN_TME_BY[[#All],[Advanced Network/Insurance Carrier Org ID]],B131), 2)</f>
        <v>1</v>
      </c>
      <c r="R131" s="185">
        <v>999</v>
      </c>
      <c r="S131" s="205">
        <f>ROUND(SUMIFS(Age_Sex_PY[[#All],[Total Member Months by Age/Sex Band]], Age_Sex_PY[[#All],[Advanced Network ID]], $R131, Age_Sex_PY[[#All],[Insurance Category Code]],6), 2)</f>
        <v>0</v>
      </c>
      <c r="T131" s="206">
        <f>ROUND(SUMIFS(Age_Sex_PY[[#All],[Total Dollars Excluded from Spending After Applying Truncation at the Member Level]], Age_Sex_PY[[#All],[Advanced Network ID]], $B131, Age_Sex_PY[[#All],[Insurance Category Code]],6), 2)</f>
        <v>0</v>
      </c>
      <c r="U131" s="195">
        <f>ROUND(SUMIFS(Age_Sex_PY[[#All],[Count of Members whose Spending was Truncated]], Age_Sex_PY[[#All],[Advanced Network ID]], $B131, Age_Sex_PY[[#All],[Insurance Category Code]],6),2)</f>
        <v>0</v>
      </c>
      <c r="V131" s="206">
        <f>ROUND(SUMIFS(Age_Sex_PY[[#All],[Total Spending before Truncation is Applied]], Age_Sex_PY[[#All],[Advanced Network ID]], $B131, Age_Sex_PY[[#All],[Insurance Category Code]],6), 2)</f>
        <v>0</v>
      </c>
      <c r="W131" s="208">
        <f>ROUND(SUMIFS(Age_Sex_PY[[#All],[Total Spending After Applying Truncation at the Member Level]], Age_Sex_PY[[#All],[Advanced Network ID]], $B131, Age_Sex_PY[[#All],[Insurance Category Code]],6), 2)</f>
        <v>0</v>
      </c>
      <c r="X131" s="363" t="str">
        <f>IF(ROUND(S131,0)=ROUND(SUMIFS(AN_TME_PY[[#All],[Member Months]], AN_TME_PY[[#All],[Insurance Category Code]],6, AN_TME_PY[[#All],[Advanced Network/Insurance Carrier Org ID]],R131),0), "TRUE", ROUND(S131-SUMIFS(AN_TME_PY[[#All],[Member Months]], AN_TME_PY[[#All],[Insurance Category Code]],6, AN_TME_PY[[#All],[Advanced Network/Insurance Carrier Org ID]],R131),2))</f>
        <v>TRUE</v>
      </c>
      <c r="Y131" s="370" t="str">
        <f>IF(ROUND(T131,0)=ROUND(SUMIFS(AN_TME_PY[[#All],[Total Claims Excluded because of Truncation]], AN_TME_PY[[#All],[Insurance Category Code]],6, AN_TME_PY[[#All],[Advanced Network/Insurance Carrier Org ID]],R131),0), "TRUE", ROUND(T131-SUMIFS(AN_TME_PY[[#All],[Total Claims Excluded because of Truncation]], AN_TME_PY[[#All],[Insurance Category Code]],6, AN_TME_PY[[#All],[Advanced Network/Insurance Carrier Org ID]],R131),2))</f>
        <v>TRUE</v>
      </c>
      <c r="Z131" s="364" t="str">
        <f>IF(ROUND(U131,0)=ROUND(SUMIFS(AN_TME_PY[[#All],[Count of Members with Claims Truncated]], AN_TME_PY[[#All],[Insurance Category Code]],6, AN_TME_PY[[#All],[Advanced Network/Insurance Carrier Org ID]],R131),0), "TRUE", ROUND(U131-SUMIFS(AN_TME_PY[[#All],[Count of Members with Claims Truncated]], AN_TME_PY[[#All],[Insurance Category Code]],6, AN_TME_PY[[#All],[Advanced Network/Insurance Carrier Org ID]],R131),2))</f>
        <v>TRUE</v>
      </c>
      <c r="AA131" s="370" t="str">
        <f>IF(ROUND(V131,0)=ROUND(SUMIFS(AN_TME_PY[[#All],[TOTAL Non-Truncated Unadjusted Claims Expenses]], AN_TME_PY[[#All],[Insurance Category Code]],6, AN_TME_PY[[#All],[Advanced Network/Insurance Carrier Org ID]],R131),0), "TRUE", ROUND(V131-SUMIFS(AN_TME_PY[[#All],[TOTAL Non-Truncated Unadjusted Claims Expenses]], AN_TME_PY[[#All],[Insurance Category Code]],6, AN_TME_PY[[#All],[Advanced Network/Insurance Carrier Org ID]],R131),2))</f>
        <v>TRUE</v>
      </c>
      <c r="AB131" s="370" t="str">
        <f>IF(ROUND(W131,0)=ROUND(SUMIFS(AN_TME_PY[[#All],[TOTAL Truncated Unadjusted Claims Expenses (A21 -A19)]], AN_TME_PY[[#All],[Insurance Category Code]],6, AN_TME_PY[[#All],[Advanced Network/Insurance Carrier Org ID]],R131),0), "TRUE", ROUND(W131-SUMIFS(AN_TME_PY[[#All],[TOTAL Truncated Unadjusted Claims Expenses (A21 -A19)]], AN_TME_PY[[#All],[Insurance Category Code]],6, AN_TME_PY[[#All],[Advanced Network/Insurance Carrier Org ID]],R131),2))</f>
        <v>TRUE</v>
      </c>
      <c r="AC131" s="363" t="str">
        <f>IF(U131=0, "TRUE",IF((S131/12)&gt;U131,"TRUE",(S131/12)-U131))</f>
        <v>TRUE</v>
      </c>
      <c r="AD131" s="366" t="b">
        <f>ROUND(SUMIFS(AN_TME_PY[[#All],[TOTAL Non-Truncated Unadjusted Claims Expenses]], AN_TME_PY[[#All],[Insurance Category Code]],6, AN_TME_PY[[#All],[Advanced Network/Insurance Carrier Org ID]],R131), 2)&gt;=ROUND(SUMIFS(AN_TME_PY[[#All],[TOTAL Truncated Unadjusted Claims Expenses (A21 -A19)]], AN_TME_PY[[#All],[Insurance Category Code]], 6, AN_TME_PY[[#All],[Advanced Network/Insurance Carrier Org ID]],R131),2)</f>
        <v>1</v>
      </c>
      <c r="AE131" s="368" t="b">
        <f>ROUND(SUMIFS(AN_TME_PY[[#All],[TOTAL Truncated Unadjusted Claims Expenses (A21 -A19)]], AN_TME_PY[[#All],[Insurance Category Code]],6, AN_TME_PY[[#All],[Advanced Network/Insurance Carrier Org ID]],R131)+SUMIFS(AN_TME_PY[[#All],[Total Claims Excluded because of Truncation]], AN_TME_PY[[#All],[Insurance Category Code]],6, AN_TME_PY[[#All],[Advanced Network/Insurance Carrier Org ID]],R131),2)=ROUND(SUMIFS(AN_TME_PY[[#All],[TOTAL Non-Truncated Unadjusted Claims Expenses]], AN_TME_PY[[#All],[Insurance Category Code]],6, AN_TME_PY[[#All],[Advanced Network/Insurance Carrier Org ID]],R131), 2)</f>
        <v>1</v>
      </c>
    </row>
    <row r="133" spans="2:31" x14ac:dyDescent="0.25">
      <c r="B133" s="15" t="s">
        <v>402</v>
      </c>
    </row>
    <row r="134" spans="2:31" x14ac:dyDescent="0.25">
      <c r="B134" s="26" t="s">
        <v>403</v>
      </c>
      <c r="I134" s="14"/>
    </row>
    <row r="135" spans="2:31" ht="45" x14ac:dyDescent="0.25">
      <c r="B135" s="33" t="s">
        <v>84</v>
      </c>
      <c r="C135" s="33" t="s">
        <v>404</v>
      </c>
      <c r="D135" s="33" t="s">
        <v>132</v>
      </c>
      <c r="E135" s="33" t="s">
        <v>134</v>
      </c>
      <c r="F135" s="33" t="s">
        <v>136</v>
      </c>
      <c r="G135" s="33" t="s">
        <v>138</v>
      </c>
      <c r="H135" s="33" t="s">
        <v>140</v>
      </c>
      <c r="I135" s="33" t="s">
        <v>142</v>
      </c>
      <c r="J135" s="33" t="s">
        <v>144</v>
      </c>
      <c r="K135" s="33" t="s">
        <v>146</v>
      </c>
      <c r="L135" s="33" t="s">
        <v>148</v>
      </c>
      <c r="M135" s="33" t="s">
        <v>405</v>
      </c>
    </row>
    <row r="136" spans="2:31" x14ac:dyDescent="0.25">
      <c r="B136" s="4">
        <v>2</v>
      </c>
      <c r="C136" s="48" t="str">
        <f>IF(C38&lt;&gt;0,(SUMIFS(AN_TME_BY[[#All],[TOTAL Non-Truncated Unadjusted Claims Expenses]], AN_TME_BY[[#All],[Insurance Category Code]],B136, AN_TME_BY[[#All], [Advanced Network/Insurance Carrier Org ID]],100))/C38, "NA")</f>
        <v>NA</v>
      </c>
      <c r="D136" s="49" t="str">
        <f>IF(C38&lt;&gt;0,(SUMIFS(AN_TME_BY[[#All],[Claims: Hospital Inpatient]], AN_TME_BY[[#All],[Insurance Category Code]],B136, AN_TME_BY[[#All], [Advanced Network/Insurance Carrier Org ID]],100))/C38, "NA")</f>
        <v>NA</v>
      </c>
      <c r="E136" s="49" t="str">
        <f>IF(C38&lt;&gt;0,(SUMIFS(AN_TME_BY[[#All],[Claims: Hospital Outpatient]], AN_TME_BY[[#All],[Insurance Category Code]],B136, AN_TME_BY[[#All], [Advanced Network/Insurance Carrier Org ID]],100))/C38, "NA")</f>
        <v>NA</v>
      </c>
      <c r="F136" s="49" t="str">
        <f>IF(C38&lt;&gt;0,(SUMIFS(AN_TME_BY[[#All],[Claims: Professional, Primary Care]], AN_TME_BY[[#All],[Insurance Category Code]],B136, AN_TME_BY[[#All], [Advanced Network/Insurance Carrier Org ID]],100))/C38, "NA")</f>
        <v>NA</v>
      </c>
      <c r="G136" s="49" t="str">
        <f>IF(C38&lt;&gt;0,(SUMIFS(AN_TME_BY[[#All],[Claims: Professional, Primary Care (for Monitoring Purposes)]], AN_TME_BY[[#All],[Insurance Category Code]],B136, AN_TME_BY[[#All], [Advanced Network/Insurance Carrier Org ID]],100))/C38, "NA")</f>
        <v>NA</v>
      </c>
      <c r="H136" s="49" t="str">
        <f>IF(C38&lt;&gt;0,(SUMIFS(AN_TME_BY[[#All],[Claims: Professional, Specialty]], AN_TME_BY[[#All],[Insurance Category Code]],B136, AN_TME_BY[[#All], [Advanced Network/Insurance Carrier Org ID]],100))/C38, "NA")</f>
        <v>NA</v>
      </c>
      <c r="I136" s="49" t="str">
        <f>IF(C38&lt;&gt;0,(SUMIFS(AN_TME_BY[[#All],[Claims: Professional Other]], AN_TME_BY[[#All],[Insurance Category Code]],B136, AN_TME_BY[[#All], [Advanced Network/Insurance Carrier Org ID]],100))/C38, "NA")</f>
        <v>NA</v>
      </c>
      <c r="J136" s="48" t="str">
        <f>IF(C38&lt;&gt;0,(SUMIFS(AN_TME_BY[[#All],[Claims: Pharmacy]], AN_TME_BY[[#All],[Insurance Category Code]],B136, AN_TME_BY[[#All], [Advanced Network/Insurance Carrier Org ID]],100))/C38, "NA")</f>
        <v>NA</v>
      </c>
      <c r="K136" s="50" t="str">
        <f>IF(C38&lt;&gt;0,(SUMIFS(AN_TME_BY[[#All],[Claims: Long-Term Care]], AN_TME_BY[[#All],[Insurance Category Code]],B136, AN_TME_BY[[#All], [Advanced Network/Insurance Carrier Org ID]],100))/C38, "NA")</f>
        <v>NA</v>
      </c>
      <c r="L136" s="50" t="str">
        <f>IF(C38&lt;&gt;0,(SUMIFS(AN_TME_BY[[#All],[Claims: Other]], AN_TME_BY[[#All],[Insurance Category Code]],B136, AN_TME_BY[[#All], [Advanced Network/Insurance Carrier Org ID]],100))/C38, "NA")</f>
        <v>NA</v>
      </c>
      <c r="M136" s="50" t="str">
        <f>IF(C38&lt;&gt;0,(SUMIFS(AN_TME_BY[[#All],[TOTAL Non-Claims Expenses]], AN_TME_BY[[#All],[Insurance Category Code]],B136, AN_TME_BY[[#All], [Advanced Network/Insurance Carrier Org ID]],100))/C38, "NA")</f>
        <v>NA</v>
      </c>
    </row>
    <row r="137" spans="2:31" x14ac:dyDescent="0.25">
      <c r="B137" s="4">
        <v>6</v>
      </c>
      <c r="C137" s="48" t="str">
        <f>IF(C39&lt;&gt;0,(SUMIFS(AN_TME_BY[[#All],[TOTAL Non-Truncated Unadjusted Claims Expenses]], AN_TME_BY[[#All],[Insurance Category Code]],B137, AN_TME_BY[[#All], [Advanced Network/Insurance Carrier Org ID]],100))/C39, "NA")</f>
        <v>NA</v>
      </c>
      <c r="D137" s="49" t="str">
        <f>IF(C39&lt;&gt;0,(SUMIFS(AN_TME_BY[[#All],[Claims: Hospital Inpatient]], AN_TME_BY[[#All],[Insurance Category Code]],B137, AN_TME_BY[[#All], [Advanced Network/Insurance Carrier Org ID]],100))/C39, "NA")</f>
        <v>NA</v>
      </c>
      <c r="E137" s="49" t="str">
        <f>IF(C39&lt;&gt;0,(SUMIFS(AN_TME_BY[[#All],[Claims: Hospital Outpatient]], AN_TME_BY[[#All],[Insurance Category Code]],B137, AN_TME_BY[[#All], [Advanced Network/Insurance Carrier Org ID]],100))/C39, "NA")</f>
        <v>NA</v>
      </c>
      <c r="F137" s="49" t="str">
        <f>IF(C39&lt;&gt;0,(SUMIFS(AN_TME_BY[[#All],[Claims: Professional, Primary Care]], AN_TME_BY[[#All],[Insurance Category Code]],B137, AN_TME_BY[[#All], [Advanced Network/Insurance Carrier Org ID]],100))/C39, "NA")</f>
        <v>NA</v>
      </c>
      <c r="G137" s="49" t="str">
        <f>IF(C39&lt;&gt;0,(SUMIFS(AN_TME_BY[[#All],[Claims: Professional, Primary Care (for Monitoring Purposes)]], AN_TME_BY[[#All],[Insurance Category Code]],B137, AN_TME_BY[[#All], [Advanced Network/Insurance Carrier Org ID]],100))/C39, "NA")</f>
        <v>NA</v>
      </c>
      <c r="H137" s="49" t="str">
        <f>IF(C39&lt;&gt;0,(SUMIFS(AN_TME_BY[[#All],[Claims: Professional, Specialty]], AN_TME_BY[[#All],[Insurance Category Code]],B137, AN_TME_BY[[#All], [Advanced Network/Insurance Carrier Org ID]],100))/C39, "NA")</f>
        <v>NA</v>
      </c>
      <c r="I137" s="49" t="str">
        <f>IF(C39&lt;&gt;0,(SUMIFS(AN_TME_BY[[#All],[Claims: Professional Other]], AN_TME_BY[[#All],[Insurance Category Code]],B137, AN_TME_BY[[#All], [Advanced Network/Insurance Carrier Org ID]],100))/C39, "NA")</f>
        <v>NA</v>
      </c>
      <c r="J137" s="48" t="str">
        <f>IF(C39&lt;&gt;0,(SUMIFS(AN_TME_BY[[#All],[Claims: Pharmacy]], AN_TME_BY[[#All],[Insurance Category Code]],B137, AN_TME_BY[[#All], [Advanced Network/Insurance Carrier Org ID]],100))/C39, "NA")</f>
        <v>NA</v>
      </c>
      <c r="K137" s="50" t="str">
        <f>IF(C39&lt;&gt;0,(SUMIFS(AN_TME_BY[[#All],[Claims: Long-Term Care]], AN_TME_BY[[#All],[Insurance Category Code]],B137, AN_TME_BY[[#All], [Advanced Network/Insurance Carrier Org ID]],100))/C39, "NA")</f>
        <v>NA</v>
      </c>
      <c r="L137" s="50" t="str">
        <f>IF(C39&lt;&gt;0,(SUMIFS(AN_TME_BY[[#All],[Claims: Other]], AN_TME_BY[[#All],[Insurance Category Code]],B137, AN_TME_BY[[#All], [Advanced Network/Insurance Carrier Org ID]],100))/C39, "NA")</f>
        <v>NA</v>
      </c>
      <c r="M137" s="50" t="str">
        <f>IF(C39&lt;&gt;0,(SUMIFS(AN_TME_BY[[#All],[TOTAL Non-Claims Expenses]], AN_TME_BY[[#All],[Insurance Category Code]],B137, AN_TME_BY[[#All], [Advanced Network/Insurance Carrier Org ID]],100))/C39, "NA")</f>
        <v>NA</v>
      </c>
    </row>
    <row r="141" spans="2:31" x14ac:dyDescent="0.25">
      <c r="B141" s="15" t="s">
        <v>406</v>
      </c>
    </row>
    <row r="142" spans="2:31" x14ac:dyDescent="0.25">
      <c r="B142" s="26" t="s">
        <v>403</v>
      </c>
      <c r="I142" s="14"/>
    </row>
    <row r="143" spans="2:31" ht="45" x14ac:dyDescent="0.25">
      <c r="B143" s="33" t="s">
        <v>84</v>
      </c>
      <c r="C143" s="33" t="s">
        <v>404</v>
      </c>
      <c r="D143" s="33" t="s">
        <v>132</v>
      </c>
      <c r="E143" s="33" t="s">
        <v>134</v>
      </c>
      <c r="F143" s="33" t="s">
        <v>136</v>
      </c>
      <c r="G143" s="33" t="s">
        <v>138</v>
      </c>
      <c r="H143" s="33" t="s">
        <v>140</v>
      </c>
      <c r="I143" s="33" t="s">
        <v>142</v>
      </c>
      <c r="J143" s="33" t="s">
        <v>144</v>
      </c>
      <c r="K143" s="33" t="s">
        <v>146</v>
      </c>
      <c r="L143" s="33" t="s">
        <v>148</v>
      </c>
      <c r="M143" s="33" t="s">
        <v>405</v>
      </c>
    </row>
    <row r="144" spans="2:31" x14ac:dyDescent="0.25">
      <c r="B144" s="4">
        <v>2</v>
      </c>
      <c r="C144" s="48" t="str">
        <f>IF(C46&lt;&gt;0,(SUMIFS(AN_TME_PY[[#All],[TOTAL Non-Truncated Unadjusted Claims Expenses]], AN_TME_PY[[#All],[Insurance Category Code]],B144, AN_TME_PY[[#All], [Advanced Network/Insurance Carrier Org ID]],100))/C46, "NA")</f>
        <v>NA</v>
      </c>
      <c r="D144" s="49" t="str">
        <f>IF(C46&lt;&gt;0,(SUMIFS(AN_TME_PY[[#All],[Claims: Hospital Inpatient]], AN_TME_PY[[#All],[Insurance Category Code]],B144, AN_TME_PY[[#All], [Advanced Network/Insurance Carrier Org ID]],100))/C46, "NA")</f>
        <v>NA</v>
      </c>
      <c r="E144" s="49" t="str">
        <f>IF(C46&lt;&gt;0,(SUMIFS(AN_TME_PY[[#All],[Claims: Hospital Outpatient]], AN_TME_PY[[#All],[Insurance Category Code]],B144, AN_TME_PY[[#All], [Advanced Network/Insurance Carrier Org ID]],100))/C46, "NA")</f>
        <v>NA</v>
      </c>
      <c r="F144" s="49" t="str">
        <f>IF(C46&lt;&gt;0,(SUMIFS(AN_TME_PY[[#All],[Claims: Professional, Primary Care]], AN_TME_PY[[#All],[Insurance Category Code]],B144, AN_TME_PY[[#All], [Advanced Network/Insurance Carrier Org ID]],100))/C46, "NA")</f>
        <v>NA</v>
      </c>
      <c r="G144" s="49" t="str">
        <f>IF(C46&lt;&gt;0,(SUMIFS(AN_TME_PY[[#All],[Claims: Professional, Primary Care (for Monitoring Purposes)]], AN_TME_PY[[#All],[Insurance Category Code]],B144, AN_TME_PY[[#All], [Advanced Network/Insurance Carrier Org ID]],100))/C46, "NA")</f>
        <v>NA</v>
      </c>
      <c r="H144" s="49" t="str">
        <f>IF(C46&lt;&gt;0,(SUMIFS(AN_TME_PY[[#All],[Claims: Professional, Specialty]], AN_TME_PY[[#All],[Insurance Category Code]],B144, AN_TME_PY[[#All], [Advanced Network/Insurance Carrier Org ID]],100))/C46, "NA")</f>
        <v>NA</v>
      </c>
      <c r="I144" s="49" t="str">
        <f>IF(C46&lt;&gt;0,(SUMIFS(AN_TME_PY[[#All],[Claims: Professional Other]], AN_TME_PY[[#All],[Insurance Category Code]],B144, AN_TME_PY[[#All], [Advanced Network/Insurance Carrier Org ID]],100))/C46, "NA")</f>
        <v>NA</v>
      </c>
      <c r="J144" s="48" t="str">
        <f>IF(C46&lt;&gt;0,(SUMIFS(AN_TME_PY[[#All],[Claims: Pharmacy]], AN_TME_PY[[#All],[Insurance Category Code]],B144, AN_TME_PY[[#All], [Advanced Network/Insurance Carrier Org ID]],100))/C46, "NA")</f>
        <v>NA</v>
      </c>
      <c r="K144" s="50" t="str">
        <f>IF(C46&lt;&gt;0,(SUMIFS(AN_TME_PY[[#All],[Claims: Long-Term Care]], AN_TME_PY[[#All],[Insurance Category Code]],B144, AN_TME_PY[[#All], [Advanced Network/Insurance Carrier Org ID]],100))/C46, "NA")</f>
        <v>NA</v>
      </c>
      <c r="L144" s="50" t="str">
        <f>IF(C46&lt;&gt;0,(SUMIFS(AN_TME_PY[[#All],[Claims: Other]], AN_TME_PY[[#All],[Insurance Category Code]],B144, AN_TME_PY[[#All], [Advanced Network/Insurance Carrier Org ID]],100))/C46, "NA")</f>
        <v>NA</v>
      </c>
      <c r="M144" s="50" t="str">
        <f>IF(C46&lt;&gt;0,(SUMIFS(AN_TME_PY[[#All],[TOTAL Non-Claims Expenses]], AN_TME_PY[[#All],[Insurance Category Code]],B144, AN_TME_PY[[#All], [Advanced Network/Insurance Carrier Org ID]],100))/C46, "NA")</f>
        <v>NA</v>
      </c>
    </row>
    <row r="145" spans="2:13" x14ac:dyDescent="0.25">
      <c r="B145" s="4">
        <v>6</v>
      </c>
      <c r="C145" s="48" t="str">
        <f>IF(C47&lt;&gt;0,(SUMIFS(AN_TME_PY[[#All],[TOTAL Non-Truncated Unadjusted Claims Expenses]], AN_TME_PY[[#All],[Insurance Category Code]],B145, AN_TME_PY[[#All], [Advanced Network/Insurance Carrier Org ID]],100))/C47, "NA")</f>
        <v>NA</v>
      </c>
      <c r="D145" s="49" t="str">
        <f>IF(C47&lt;&gt;0,(SUMIFS(AN_TME_PY[[#All],[Claims: Hospital Inpatient]], AN_TME_PY[[#All],[Insurance Category Code]],B145, AN_TME_PY[[#All], [Advanced Network/Insurance Carrier Org ID]],100))/C47, "NA")</f>
        <v>NA</v>
      </c>
      <c r="E145" s="49" t="str">
        <f>IF(C47&lt;&gt;0,(SUMIFS(AN_TME_PY[[#All],[Claims: Hospital Outpatient]], AN_TME_PY[[#All],[Insurance Category Code]],B145, AN_TME_PY[[#All], [Advanced Network/Insurance Carrier Org ID]],100))/C47, "NA")</f>
        <v>NA</v>
      </c>
      <c r="F145" s="49" t="str">
        <f>IF(C47&lt;&gt;0,(SUMIFS(AN_TME_PY[[#All],[Claims: Professional, Primary Care]], AN_TME_PY[[#All],[Insurance Category Code]],B145, AN_TME_PY[[#All], [Advanced Network/Insurance Carrier Org ID]],100))/C47, "NA")</f>
        <v>NA</v>
      </c>
      <c r="G145" s="49" t="str">
        <f>IF(C47&lt;&gt;0,(SUMIFS(AN_TME_PY[[#All],[Claims: Professional, Primary Care (for Monitoring Purposes)]], AN_TME_PY[[#All],[Insurance Category Code]],B145, AN_TME_PY[[#All], [Advanced Network/Insurance Carrier Org ID]],100))/C47, "NA")</f>
        <v>NA</v>
      </c>
      <c r="H145" s="49" t="str">
        <f>IF(C47&lt;&gt;0,(SUMIFS(AN_TME_PY[[#All],[Claims: Professional, Specialty]], AN_TME_PY[[#All],[Insurance Category Code]],B145, AN_TME_PY[[#All], [Advanced Network/Insurance Carrier Org ID]],100))/C47, "NA")</f>
        <v>NA</v>
      </c>
      <c r="I145" s="49" t="str">
        <f>IF(C47&lt;&gt;0,(SUMIFS(AN_TME_PY[[#All],[Claims: Professional Other]], AN_TME_PY[[#All],[Insurance Category Code]],B145, AN_TME_PY[[#All], [Advanced Network/Insurance Carrier Org ID]],100))/C47, "NA")</f>
        <v>NA</v>
      </c>
      <c r="J145" s="48" t="str">
        <f>IF(C47&lt;&gt;0,(SUMIFS(AN_TME_PY[[#All],[Claims: Pharmacy]], AN_TME_PY[[#All],[Insurance Category Code]],B145, AN_TME_PY[[#All], [Advanced Network/Insurance Carrier Org ID]],100))/C47, "NA")</f>
        <v>NA</v>
      </c>
      <c r="K145" s="50" t="str">
        <f>IF(C47&lt;&gt;0,(SUMIFS(AN_TME_PY[[#All],[Claims: Long-Term Care]], AN_TME_PY[[#All],[Insurance Category Code]],B145, AN_TME_PY[[#All], [Advanced Network/Insurance Carrier Org ID]],100))/C47, "NA")</f>
        <v>NA</v>
      </c>
      <c r="L145" s="50" t="str">
        <f>IF(C47&lt;&gt;0,(SUMIFS(AN_TME_PY[[#All],[Claims: Other]], AN_TME_PY[[#All],[Insurance Category Code]],B145, AN_TME_PY[[#All], [Advanced Network/Insurance Carrier Org ID]],100))/C47, "NA")</f>
        <v>NA</v>
      </c>
      <c r="M145" s="50" t="str">
        <f>IF(C47&lt;&gt;0,(SUMIFS(AN_TME_PY[[#All],[TOTAL Non-Claims Expenses]], AN_TME_PY[[#All],[Insurance Category Code]],B145, AN_TME_PY[[#All], [Advanced Network/Insurance Carrier Org ID]],100))/C47, "NA")</f>
        <v>NA</v>
      </c>
    </row>
    <row r="147" spans="2:13" x14ac:dyDescent="0.25">
      <c r="B147" s="29"/>
      <c r="C147" s="29"/>
      <c r="D147" s="14"/>
    </row>
    <row r="148" spans="2:13" x14ac:dyDescent="0.25">
      <c r="B148" s="15" t="s">
        <v>407</v>
      </c>
      <c r="C148" s="29"/>
    </row>
    <row r="149" spans="2:13" x14ac:dyDescent="0.25">
      <c r="B149" s="78" t="s">
        <v>408</v>
      </c>
      <c r="C149" s="29"/>
    </row>
    <row r="150" spans="2:13" x14ac:dyDescent="0.25">
      <c r="B150" s="136" t="s">
        <v>409</v>
      </c>
      <c r="C150" s="8" t="s">
        <v>410</v>
      </c>
      <c r="D150" s="8" t="s">
        <v>411</v>
      </c>
      <c r="E150" s="8" t="s">
        <v>412</v>
      </c>
      <c r="F150" s="8" t="s">
        <v>411</v>
      </c>
    </row>
    <row r="151" spans="2:13" ht="60" x14ac:dyDescent="0.25">
      <c r="B151" s="132" t="s">
        <v>281</v>
      </c>
      <c r="C151" s="9">
        <f>'Mandatory Questions'!C12</f>
        <v>0</v>
      </c>
      <c r="D151" s="9" t="str">
        <f>IF(C151=VLOOKUP(B151,MandatoryQ[],2,FALSE),"Yes","No")</f>
        <v>No</v>
      </c>
      <c r="E151" s="9">
        <f>'Mandatory Questions'!D12</f>
        <v>0</v>
      </c>
      <c r="F151" s="9" t="str">
        <f>IF(E151=VLOOKUP(B151,MandatoryQ[],2,FALSE),"Yes","No")</f>
        <v>No</v>
      </c>
    </row>
    <row r="152" spans="2:13" ht="30" x14ac:dyDescent="0.25">
      <c r="B152" s="132" t="s">
        <v>282</v>
      </c>
      <c r="C152" s="9">
        <f>'Mandatory Questions'!C13</f>
        <v>0</v>
      </c>
      <c r="D152" s="9" t="str">
        <f>IF(C152=VLOOKUP(B152,MandatoryQ[],2,FALSE),"Yes","No")</f>
        <v>No</v>
      </c>
      <c r="E152" s="9">
        <f>'Mandatory Questions'!D13</f>
        <v>0</v>
      </c>
      <c r="F152" s="9" t="str">
        <f>IF(E152=VLOOKUP(B152,MandatoryQ[],2,FALSE),"Yes","No")</f>
        <v>No</v>
      </c>
    </row>
    <row r="153" spans="2:13" ht="45" x14ac:dyDescent="0.25">
      <c r="B153" s="132" t="s">
        <v>283</v>
      </c>
      <c r="C153" s="9">
        <f>'Mandatory Questions'!C14</f>
        <v>0</v>
      </c>
      <c r="D153" s="9" t="str">
        <f>IF(C153=VLOOKUP(B153,MandatoryQ[],2,FALSE),"Yes","No")</f>
        <v>No</v>
      </c>
      <c r="E153" s="9">
        <f>'Mandatory Questions'!D14</f>
        <v>0</v>
      </c>
      <c r="F153" s="9" t="str">
        <f>IF(E153=VLOOKUP(B153,MandatoryQ[],2,FALSE),"Yes","No")</f>
        <v>No</v>
      </c>
    </row>
    <row r="154" spans="2:13" ht="45" x14ac:dyDescent="0.25">
      <c r="B154" s="132" t="s">
        <v>284</v>
      </c>
      <c r="C154" s="9">
        <f>'Mandatory Questions'!C15</f>
        <v>0</v>
      </c>
      <c r="D154" s="9" t="str">
        <f>IF(C154=VLOOKUP(B154,MandatoryQ[],2,FALSE),"Yes","No")</f>
        <v>No</v>
      </c>
      <c r="E154" s="9">
        <f>'Mandatory Questions'!D15</f>
        <v>0</v>
      </c>
      <c r="F154" s="9" t="str">
        <f>IF(E154=VLOOKUP(B154,MandatoryQ[],2,FALSE),"Yes","No")</f>
        <v>No</v>
      </c>
    </row>
    <row r="155" spans="2:13" ht="45" x14ac:dyDescent="0.25">
      <c r="B155" s="132" t="s">
        <v>285</v>
      </c>
      <c r="C155" s="9">
        <f>'Mandatory Questions'!C16</f>
        <v>0</v>
      </c>
      <c r="D155" s="9" t="str">
        <f>IF(C155=VLOOKUP(B155,MandatoryQ[],2,FALSE),"Yes","No")</f>
        <v>No</v>
      </c>
      <c r="E155" s="9">
        <f>'Mandatory Questions'!D16</f>
        <v>0</v>
      </c>
      <c r="F155" s="9" t="str">
        <f>IF(E155=VLOOKUP(B155,MandatoryQ[],2,FALSE),"Yes","No")</f>
        <v>No</v>
      </c>
    </row>
    <row r="156" spans="2:13" ht="45" x14ac:dyDescent="0.25">
      <c r="B156" s="132" t="s">
        <v>286</v>
      </c>
      <c r="C156" s="9">
        <f>'Mandatory Questions'!C17</f>
        <v>0</v>
      </c>
      <c r="D156" s="9" t="str">
        <f>IF(C156=VLOOKUP(B156,MandatoryQ[],2,FALSE),"Yes","No")</f>
        <v>No</v>
      </c>
      <c r="E156" s="9">
        <f>'Mandatory Questions'!D17</f>
        <v>0</v>
      </c>
      <c r="F156" s="9" t="str">
        <f>IF(E156=VLOOKUP(B156,MandatoryQ[],2,FALSE),"Yes","No")</f>
        <v>No</v>
      </c>
    </row>
    <row r="157" spans="2:13" ht="28.9" customHeight="1" x14ac:dyDescent="0.25">
      <c r="B157" s="132" t="s">
        <v>287</v>
      </c>
      <c r="C157" s="9">
        <f>'Mandatory Questions'!C18</f>
        <v>0</v>
      </c>
      <c r="D157" s="9" t="str">
        <f>IF(C157=VLOOKUP(B157,MandatoryQ[],2,FALSE),"Yes","No")</f>
        <v>No</v>
      </c>
      <c r="E157" s="9">
        <f>'Mandatory Questions'!D18</f>
        <v>0</v>
      </c>
      <c r="F157" s="9" t="str">
        <f>IF(E157=VLOOKUP(B157,MandatoryQ[],2,FALSE),"Yes","No")</f>
        <v>No</v>
      </c>
    </row>
    <row r="158" spans="2:13" ht="45" x14ac:dyDescent="0.25">
      <c r="B158" s="132" t="s">
        <v>288</v>
      </c>
      <c r="C158" s="9">
        <f>'Mandatory Questions'!C19</f>
        <v>0</v>
      </c>
      <c r="D158" s="9" t="str">
        <f>IF(C158=VLOOKUP(B158,MandatoryQ[],2,FALSE),"Yes","No")</f>
        <v>No</v>
      </c>
      <c r="E158" s="9">
        <f>'Mandatory Questions'!D19</f>
        <v>0</v>
      </c>
      <c r="F158" s="9" t="str">
        <f>IF(E158=VLOOKUP(B158,MandatoryQ[],2,FALSE),"Yes","No")</f>
        <v>No</v>
      </c>
    </row>
    <row r="159" spans="2:13" ht="45" x14ac:dyDescent="0.25">
      <c r="B159" s="132" t="s">
        <v>289</v>
      </c>
      <c r="C159" s="9">
        <f>'Mandatory Questions'!C20</f>
        <v>0</v>
      </c>
      <c r="D159" s="9" t="str">
        <f>IF(C159=VLOOKUP(B159,MandatoryQ[],2,FALSE),"Yes","No")</f>
        <v>No</v>
      </c>
      <c r="E159" s="9">
        <f>'Mandatory Questions'!D20</f>
        <v>0</v>
      </c>
      <c r="F159" s="9" t="str">
        <f>IF(E159=VLOOKUP(B159,MandatoryQ[],2,FALSE),"Yes","No")</f>
        <v>No</v>
      </c>
    </row>
    <row r="160" spans="2:13" ht="45" x14ac:dyDescent="0.25">
      <c r="B160" s="132" t="s">
        <v>290</v>
      </c>
      <c r="C160" s="9">
        <f>'Mandatory Questions'!C21</f>
        <v>0</v>
      </c>
      <c r="D160" s="9" t="str">
        <f>IF(C160=VLOOKUP(B160,MandatoryQ[],2,FALSE),"Yes","No")</f>
        <v>No</v>
      </c>
      <c r="E160" s="9">
        <f>'Mandatory Questions'!D21</f>
        <v>0</v>
      </c>
      <c r="F160" s="9" t="str">
        <f>IF(E160=VLOOKUP(B160,MandatoryQ[],2,FALSE),"Yes","No")</f>
        <v>No</v>
      </c>
    </row>
    <row r="161" spans="2:6" ht="30" x14ac:dyDescent="0.25">
      <c r="B161" s="132" t="s">
        <v>291</v>
      </c>
      <c r="C161" s="9">
        <f>'Mandatory Questions'!C22</f>
        <v>0</v>
      </c>
      <c r="D161" s="9" t="str">
        <f>IF(C161=VLOOKUP(B161,MandatoryQ[],2,FALSE),"Yes","No")</f>
        <v>No</v>
      </c>
      <c r="E161" s="9">
        <f>'Mandatory Questions'!D22</f>
        <v>0</v>
      </c>
      <c r="F161" s="9" t="str">
        <f>IF(E161=VLOOKUP(B161,MandatoryQ[],2,FALSE),"Yes","No")</f>
        <v>No</v>
      </c>
    </row>
    <row r="162" spans="2:6" ht="45" x14ac:dyDescent="0.25">
      <c r="B162" s="132" t="s">
        <v>292</v>
      </c>
      <c r="C162" s="9">
        <f>'Mandatory Questions'!C23</f>
        <v>0</v>
      </c>
      <c r="D162" s="9" t="str">
        <f>IF(C162=VLOOKUP(B162,MandatoryQ[],2,FALSE),"Yes","No")</f>
        <v>No</v>
      </c>
      <c r="E162" s="9">
        <f>'Mandatory Questions'!D23</f>
        <v>0</v>
      </c>
      <c r="F162" s="9" t="str">
        <f>IF(E162=VLOOKUP(B162,MandatoryQ[],2,FALSE),"Yes","No")</f>
        <v>No</v>
      </c>
    </row>
    <row r="163" spans="2:6" ht="45" x14ac:dyDescent="0.25">
      <c r="B163" s="132" t="s">
        <v>293</v>
      </c>
      <c r="C163" s="9">
        <f>'Mandatory Questions'!C24</f>
        <v>0</v>
      </c>
      <c r="D163" s="9" t="str">
        <f>IF(C163=VLOOKUP(B163,MandatoryQ[],2,FALSE),"Yes","No")</f>
        <v>No</v>
      </c>
      <c r="E163" s="9">
        <f>'Mandatory Questions'!D24</f>
        <v>0</v>
      </c>
      <c r="F163" s="9" t="str">
        <f>IF(E163=VLOOKUP(B163,MandatoryQ[],2,FALSE),"Yes","No")</f>
        <v>No</v>
      </c>
    </row>
    <row r="164" spans="2:6" ht="30" x14ac:dyDescent="0.25">
      <c r="B164" s="132" t="s">
        <v>294</v>
      </c>
      <c r="C164" s="9">
        <f>'Mandatory Questions'!C25</f>
        <v>0</v>
      </c>
      <c r="D164" s="9" t="str">
        <f>IF(C164=VLOOKUP(B164,MandatoryQ[],2,FALSE),"Yes","No")</f>
        <v>Yes</v>
      </c>
      <c r="E164" s="9">
        <f>'Mandatory Questions'!D25</f>
        <v>0</v>
      </c>
      <c r="F164" s="9" t="str">
        <f>IF(E164=VLOOKUP(B164,MandatoryQ[],2,FALSE),"Yes","No")</f>
        <v>Yes</v>
      </c>
    </row>
    <row r="165" spans="2:6" ht="30" x14ac:dyDescent="0.25">
      <c r="B165" s="132" t="s">
        <v>295</v>
      </c>
      <c r="C165" s="9">
        <f>'Mandatory Questions'!C26</f>
        <v>0</v>
      </c>
      <c r="D165" s="9" t="str">
        <f>IF(C165=VLOOKUP(B165,MandatoryQ[],2,FALSE),"Yes","No")</f>
        <v>No</v>
      </c>
      <c r="E165" s="9">
        <f>'Mandatory Questions'!D26</f>
        <v>0</v>
      </c>
      <c r="F165" s="9" t="str">
        <f>IF(E165=VLOOKUP(B165,MandatoryQ[],2,FALSE),"Yes","No")</f>
        <v>No</v>
      </c>
    </row>
    <row r="166" spans="2:6" ht="30" x14ac:dyDescent="0.25">
      <c r="B166" s="132" t="s">
        <v>296</v>
      </c>
      <c r="C166" s="9">
        <f>'Mandatory Questions'!C27</f>
        <v>0</v>
      </c>
      <c r="D166" s="9" t="str">
        <f>IF(C166=VLOOKUP(B166,MandatoryQ[],2,FALSE),"Yes","No")</f>
        <v>No</v>
      </c>
      <c r="E166" s="9">
        <f>'Mandatory Questions'!D27</f>
        <v>0</v>
      </c>
      <c r="F166" s="9" t="str">
        <f>IF(E166=VLOOKUP(B166,MandatoryQ[],2,FALSE),"Yes","No")</f>
        <v>No</v>
      </c>
    </row>
    <row r="167" spans="2:6" ht="90" x14ac:dyDescent="0.25">
      <c r="B167" s="132" t="s">
        <v>297</v>
      </c>
      <c r="C167" s="9">
        <f>'Mandatory Questions'!C28</f>
        <v>0</v>
      </c>
      <c r="D167" s="9" t="str">
        <f>IF(C167=VLOOKUP(B167,MandatoryQ[],2,FALSE),"Yes","No")</f>
        <v>Yes</v>
      </c>
      <c r="E167" s="9">
        <f>'Mandatory Questions'!D28</f>
        <v>0</v>
      </c>
      <c r="F167" s="9" t="str">
        <f>IF(E167=VLOOKUP(B167,MandatoryQ[],2,FALSE),"Yes","No")</f>
        <v>Yes</v>
      </c>
    </row>
    <row r="168" spans="2:6" ht="30" x14ac:dyDescent="0.25">
      <c r="B168" s="132" t="s">
        <v>298</v>
      </c>
      <c r="C168" s="9">
        <f>'Mandatory Questions'!C29</f>
        <v>0</v>
      </c>
      <c r="D168" s="9" t="str">
        <f>IF(C168=VLOOKUP(B168,MandatoryQ[],2,FALSE),"Yes","No")</f>
        <v>No</v>
      </c>
      <c r="E168" s="9">
        <f>'Mandatory Questions'!D29</f>
        <v>0</v>
      </c>
      <c r="F168" s="9" t="str">
        <f>IF(E168=VLOOKUP(B168,MandatoryQ[],2,FALSE),"Yes","No")</f>
        <v>No</v>
      </c>
    </row>
    <row r="169" spans="2:6" ht="30" x14ac:dyDescent="0.25">
      <c r="B169" s="132" t="s">
        <v>299</v>
      </c>
      <c r="C169" s="9">
        <f>'Mandatory Questions'!C30</f>
        <v>0</v>
      </c>
      <c r="D169" s="9" t="str">
        <f>IF(C169=VLOOKUP(B169,MandatoryQ[],2,FALSE),"Yes","No")</f>
        <v>Yes</v>
      </c>
      <c r="E169" s="9">
        <f>'Mandatory Questions'!D30</f>
        <v>0</v>
      </c>
      <c r="F169" s="9" t="str">
        <f>IF(E169=VLOOKUP(B169,MandatoryQ[],2,FALSE),"Yes","No")</f>
        <v>Yes</v>
      </c>
    </row>
    <row r="170" spans="2:6" ht="60" x14ac:dyDescent="0.25">
      <c r="B170" s="132" t="s">
        <v>300</v>
      </c>
      <c r="C170" s="9">
        <f>'Mandatory Questions'!C31</f>
        <v>0</v>
      </c>
      <c r="D170" s="9" t="str">
        <f>IF(C170=VLOOKUP(B170,MandatoryQ[],2,FALSE),"Yes","No")</f>
        <v>Yes</v>
      </c>
      <c r="E170" s="9">
        <f>'Mandatory Questions'!D31</f>
        <v>0</v>
      </c>
      <c r="F170" s="9" t="str">
        <f>IF(E170=VLOOKUP(B170,MandatoryQ[],2,FALSE),"Yes","No")</f>
        <v>Yes</v>
      </c>
    </row>
    <row r="171" spans="2:6" ht="45" x14ac:dyDescent="0.25">
      <c r="B171" s="137" t="s">
        <v>301</v>
      </c>
      <c r="C171" s="9">
        <f>'Mandatory Questions'!C32</f>
        <v>0</v>
      </c>
      <c r="D171" s="9" t="str">
        <f>IF(C171=VLOOKUP(B171,MandatoryQ[],2,FALSE),"Yes","No")</f>
        <v>No</v>
      </c>
      <c r="E171" s="9">
        <f>'Mandatory Questions'!D32</f>
        <v>0</v>
      </c>
      <c r="F171" s="9" t="str">
        <f>IF(E171=VLOOKUP(B171,MandatoryQ[],2,FALSE),"Yes","No")</f>
        <v>No</v>
      </c>
    </row>
    <row r="172" spans="2:6" ht="60" x14ac:dyDescent="0.25">
      <c r="B172" s="137" t="s">
        <v>302</v>
      </c>
      <c r="C172" s="9">
        <f>'Mandatory Questions'!C33</f>
        <v>0</v>
      </c>
      <c r="D172" s="9" t="str">
        <f>IF(C172=VLOOKUP(B172,MandatoryQ[],2,FALSE),"Yes","No")</f>
        <v>No</v>
      </c>
      <c r="E172" s="9">
        <f>'Mandatory Questions'!D33</f>
        <v>0</v>
      </c>
      <c r="F172" s="9" t="str">
        <f>IF(E172=VLOOKUP(B172,MandatoryQ[],2,FALSE),"Yes","No")</f>
        <v>No</v>
      </c>
    </row>
    <row r="173" spans="2:6" ht="30" x14ac:dyDescent="0.25">
      <c r="B173" s="137" t="s">
        <v>303</v>
      </c>
      <c r="C173" s="9">
        <f>'Mandatory Questions'!C34</f>
        <v>0</v>
      </c>
      <c r="D173" s="9" t="str">
        <f>IF(C173=VLOOKUP(B173,MandatoryQ[],2,FALSE),"Yes","No")</f>
        <v>No</v>
      </c>
      <c r="E173" s="9">
        <f>'Mandatory Questions'!D34</f>
        <v>0</v>
      </c>
      <c r="F173" s="9" t="str">
        <f>IF(E173=VLOOKUP(B173,MandatoryQ[],2,FALSE),"Yes","No")</f>
        <v>No</v>
      </c>
    </row>
    <row r="174" spans="2:6" ht="45" x14ac:dyDescent="0.25">
      <c r="B174" s="137" t="s">
        <v>304</v>
      </c>
      <c r="C174" s="9">
        <f>'Mandatory Questions'!C35</f>
        <v>0</v>
      </c>
      <c r="D174" s="9" t="str">
        <f>IF(C174=VLOOKUP(B174,MandatoryQ[],2,FALSE),"Yes","No")</f>
        <v>No</v>
      </c>
      <c r="E174" s="9">
        <f>'Mandatory Questions'!D35</f>
        <v>0</v>
      </c>
      <c r="F174" s="9" t="str">
        <f>IF(E174=VLOOKUP(B174,MandatoryQ[],2,FALSE),"Yes","No")</f>
        <v>No</v>
      </c>
    </row>
    <row r="175" spans="2:6" ht="75" x14ac:dyDescent="0.25">
      <c r="B175" s="137" t="s">
        <v>305</v>
      </c>
      <c r="C175" s="9">
        <f>'Mandatory Questions'!C36</f>
        <v>0</v>
      </c>
      <c r="D175" s="9" t="str">
        <f>IF(C175=VLOOKUP(B175,MandatoryQ[],2,FALSE),"Yes","No")</f>
        <v>No</v>
      </c>
      <c r="E175" s="9">
        <f>'Mandatory Questions'!D36</f>
        <v>0</v>
      </c>
      <c r="F175" s="9" t="str">
        <f>IF(E175=VLOOKUP(B175,MandatoryQ[],2,FALSE),"Yes","No")</f>
        <v>No</v>
      </c>
    </row>
    <row r="176" spans="2:6" ht="90" x14ac:dyDescent="0.25">
      <c r="B176" s="137" t="s">
        <v>306</v>
      </c>
      <c r="C176" s="9">
        <f>'Mandatory Questions'!C37</f>
        <v>0</v>
      </c>
      <c r="D176" s="9" t="str">
        <f>IF(C176=VLOOKUP(B176,MandatoryQ[],2,FALSE),"Yes","No")</f>
        <v>No</v>
      </c>
      <c r="E176" s="9">
        <f>'Mandatory Questions'!D37</f>
        <v>0</v>
      </c>
      <c r="F176" s="9" t="str">
        <f>IF(E176=VLOOKUP(B176,MandatoryQ[],2,FALSE),"Yes","No")</f>
        <v>No</v>
      </c>
    </row>
    <row r="177" spans="2:6" ht="30" x14ac:dyDescent="0.25">
      <c r="B177" s="132" t="s">
        <v>307</v>
      </c>
      <c r="C177" s="9">
        <f>'Mandatory Questions'!C38</f>
        <v>0</v>
      </c>
      <c r="D177" s="9" t="str">
        <f>IF(C177=VLOOKUP(B177,MandatoryQ[],2,FALSE),"Yes","No")</f>
        <v>Yes</v>
      </c>
      <c r="E177" s="9">
        <f>'Mandatory Questions'!D38</f>
        <v>0</v>
      </c>
      <c r="F177" s="9" t="str">
        <f>IF(E177=VLOOKUP(B177,MandatoryQ[],2,FALSE),"Yes","No")</f>
        <v>Yes</v>
      </c>
    </row>
  </sheetData>
  <sheetProtection algorithmName="SHA-512" hashValue="MW0n/bRk1M+tEXkuRaaIPtdwq4x54NDkFcQVzyDhd5JHi8s5ApaxorzflFJx2asgjSATihbwaoYKgrdlEEXW2A==" saltValue="WsuUTcIdfydefg8rrev6jQ==" spinCount="100000" sheet="1" objects="1" scenarios="1"/>
  <mergeCells count="14">
    <mergeCell ref="C6:D6"/>
    <mergeCell ref="E6:F6"/>
    <mergeCell ref="AC88:AE88"/>
    <mergeCell ref="S128:W128"/>
    <mergeCell ref="X128:AB128"/>
    <mergeCell ref="AC128:AE128"/>
    <mergeCell ref="C128:G128"/>
    <mergeCell ref="H128:L128"/>
    <mergeCell ref="M128:O128"/>
    <mergeCell ref="S88:W88"/>
    <mergeCell ref="X88:AB88"/>
    <mergeCell ref="C88:G88"/>
    <mergeCell ref="H88:L88"/>
    <mergeCell ref="M88:O88"/>
  </mergeCells>
  <conditionalFormatting sqref="C12">
    <cfRule type="cellIs" dxfId="49" priority="26" operator="equal">
      <formula>0</formula>
    </cfRule>
    <cfRule type="cellIs" dxfId="48" priority="27" operator="notEqual">
      <formula>0</formula>
    </cfRule>
  </conditionalFormatting>
  <conditionalFormatting sqref="C52:C85 F52:F85">
    <cfRule type="cellIs" dxfId="47" priority="7" operator="lessThanOrEqual">
      <formula>0</formula>
    </cfRule>
    <cfRule type="cellIs" dxfId="46" priority="9" operator="greaterThan">
      <formula>0</formula>
    </cfRule>
  </conditionalFormatting>
  <conditionalFormatting sqref="C151:C177 E151:E177">
    <cfRule type="expression" dxfId="45" priority="77">
      <formula>D151="Yes"</formula>
    </cfRule>
    <cfRule type="expression" dxfId="44" priority="76">
      <formula>D151="No"</formula>
    </cfRule>
    <cfRule type="cellIs" dxfId="43" priority="75" operator="equal">
      <formula>0</formula>
    </cfRule>
  </conditionalFormatting>
  <conditionalFormatting sqref="C5:D5">
    <cfRule type="cellIs" dxfId="42" priority="33" operator="notEqual">
      <formula>0</formula>
    </cfRule>
    <cfRule type="cellIs" dxfId="41" priority="32" operator="equal">
      <formula>0</formula>
    </cfRule>
  </conditionalFormatting>
  <conditionalFormatting sqref="C8:F9">
    <cfRule type="cellIs" dxfId="40" priority="28" operator="equal">
      <formula>0</formula>
    </cfRule>
    <cfRule type="cellIs" dxfId="39" priority="29" operator="notEqual">
      <formula>0</formula>
    </cfRule>
  </conditionalFormatting>
  <conditionalFormatting sqref="C10:F10">
    <cfRule type="notContainsText" dxfId="38" priority="24" operator="notContains" text="Yes">
      <formula>ISERROR(SEARCH("Yes",C10))</formula>
    </cfRule>
    <cfRule type="containsText" dxfId="37" priority="25" operator="containsText" text="Yes">
      <formula>NOT(ISERROR(SEARCH("Yes",C10)))</formula>
    </cfRule>
  </conditionalFormatting>
  <conditionalFormatting sqref="C136:M137 C144:M145">
    <cfRule type="cellIs" dxfId="36" priority="86" operator="lessThan">
      <formula>10</formula>
    </cfRule>
  </conditionalFormatting>
  <conditionalFormatting sqref="D25:D26 D30:D31">
    <cfRule type="cellIs" dxfId="35" priority="239" operator="equal">
      <formula>$C$25</formula>
    </cfRule>
  </conditionalFormatting>
  <conditionalFormatting sqref="D26">
    <cfRule type="cellIs" dxfId="34" priority="226" operator="notEqual">
      <formula>$C$26</formula>
    </cfRule>
    <cfRule type="cellIs" dxfId="33" priority="227" operator="equal">
      <formula>$C$26</formula>
    </cfRule>
  </conditionalFormatting>
  <conditionalFormatting sqref="D27:D29">
    <cfRule type="cellIs" dxfId="32" priority="10" operator="notEqual">
      <formula>$C$25</formula>
    </cfRule>
    <cfRule type="cellIs" dxfId="31" priority="11" operator="equal">
      <formula>$C$25</formula>
    </cfRule>
  </conditionalFormatting>
  <conditionalFormatting sqref="D30">
    <cfRule type="cellIs" dxfId="30" priority="228" operator="equal">
      <formula>$C$30</formula>
    </cfRule>
    <cfRule type="cellIs" dxfId="29" priority="229" operator="notEqual">
      <formula>$C$30</formula>
    </cfRule>
  </conditionalFormatting>
  <conditionalFormatting sqref="D30:D31 D25:D26">
    <cfRule type="cellIs" dxfId="28" priority="238" operator="notEqual">
      <formula>$C$25</formula>
    </cfRule>
  </conditionalFormatting>
  <conditionalFormatting sqref="D52 D85">
    <cfRule type="cellIs" dxfId="27" priority="5" operator="lessThanOrEqual">
      <formula>0</formula>
    </cfRule>
    <cfRule type="cellIs" dxfId="26" priority="6" operator="greaterThan">
      <formula>0</formula>
    </cfRule>
  </conditionalFormatting>
  <conditionalFormatting sqref="E37:E39 G37:G39">
    <cfRule type="notContainsText" dxfId="25" priority="190" operator="notContains" text="Yes">
      <formula>ISERROR(SEARCH("Yes",E37))</formula>
    </cfRule>
    <cfRule type="cellIs" dxfId="24" priority="189" operator="equal">
      <formula>"Yes"</formula>
    </cfRule>
  </conditionalFormatting>
  <conditionalFormatting sqref="E45:E47">
    <cfRule type="cellIs" dxfId="23" priority="12" operator="equal">
      <formula>"Yes"</formula>
    </cfRule>
    <cfRule type="notContainsText" dxfId="22" priority="13" operator="notContains" text="Yes">
      <formula>ISERROR(SEARCH("Yes",E45))</formula>
    </cfRule>
  </conditionalFormatting>
  <conditionalFormatting sqref="F25:F29">
    <cfRule type="cellIs" dxfId="21" priority="22" operator="notEqual">
      <formula>$C$25</formula>
    </cfRule>
    <cfRule type="cellIs" dxfId="20" priority="23" operator="equal">
      <formula>$C$25</formula>
    </cfRule>
  </conditionalFormatting>
  <conditionalFormatting sqref="F26">
    <cfRule type="cellIs" dxfId="19" priority="21" operator="equal">
      <formula>$C$26</formula>
    </cfRule>
    <cfRule type="cellIs" dxfId="18" priority="20" operator="notEqual">
      <formula>$C$26</formula>
    </cfRule>
  </conditionalFormatting>
  <conditionalFormatting sqref="F30">
    <cfRule type="cellIs" dxfId="17" priority="17" operator="notEqual">
      <formula>$C$30</formula>
    </cfRule>
    <cfRule type="cellIs" dxfId="16" priority="16" operator="equal">
      <formula>$C$30</formula>
    </cfRule>
  </conditionalFormatting>
  <conditionalFormatting sqref="F30:F31">
    <cfRule type="cellIs" dxfId="15" priority="19" operator="equal">
      <formula>$C$25</formula>
    </cfRule>
    <cfRule type="cellIs" dxfId="14" priority="18" operator="notEqual">
      <formula>$C$25</formula>
    </cfRule>
  </conditionalFormatting>
  <conditionalFormatting sqref="G25:G31">
    <cfRule type="notContainsText" dxfId="13" priority="43" operator="notContains" text="Yes">
      <formula>ISERROR(SEARCH("Yes",G25))</formula>
    </cfRule>
    <cfRule type="containsText" dxfId="12" priority="44" operator="containsText" text="Yes">
      <formula>NOT(ISERROR(SEARCH("Yes",G25)))</formula>
    </cfRule>
  </conditionalFormatting>
  <conditionalFormatting sqref="G45:G47">
    <cfRule type="notContainsText" dxfId="11" priority="15" operator="notContains" text="Yes">
      <formula>ISERROR(SEARCH("Yes",G45))</formula>
    </cfRule>
    <cfRule type="cellIs" dxfId="10" priority="14" operator="equal">
      <formula>"Yes"</formula>
    </cfRule>
  </conditionalFormatting>
  <conditionalFormatting sqref="G52 G85">
    <cfRule type="cellIs" dxfId="9" priority="1" operator="lessThanOrEqual">
      <formula>0</formula>
    </cfRule>
    <cfRule type="cellIs" dxfId="8" priority="2" operator="greaterThan">
      <formula>0</formula>
    </cfRule>
  </conditionalFormatting>
  <conditionalFormatting sqref="H90:O125">
    <cfRule type="notContainsText" dxfId="7" priority="38" operator="notContains" text="TRUE">
      <formula>ISERROR(SEARCH("TRUE",H90))</formula>
    </cfRule>
    <cfRule type="containsText" dxfId="6" priority="39" operator="containsText" text="TRUE">
      <formula>NOT(ISERROR(SEARCH("TRUE",H90)))</formula>
    </cfRule>
  </conditionalFormatting>
  <conditionalFormatting sqref="H130:O131">
    <cfRule type="notContainsText" dxfId="5" priority="40" operator="notContains" text="TRUE">
      <formula>ISERROR(SEARCH("TRUE",H130))</formula>
    </cfRule>
    <cfRule type="containsText" dxfId="4" priority="41" operator="containsText" text="TRUE">
      <formula>NOT(ISERROR(SEARCH("TRUE",H130)))</formula>
    </cfRule>
  </conditionalFormatting>
  <conditionalFormatting sqref="X90:AE125">
    <cfRule type="notContainsText" dxfId="3" priority="36" operator="notContains" text="TRUE">
      <formula>ISERROR(SEARCH("TRUE",X90))</formula>
    </cfRule>
    <cfRule type="containsText" dxfId="2" priority="37" operator="containsText" text="TRUE">
      <formula>NOT(ISERROR(SEARCH("TRUE",X90)))</formula>
    </cfRule>
  </conditionalFormatting>
  <conditionalFormatting sqref="X130:AE131">
    <cfRule type="notContainsText" dxfId="1" priority="34" operator="notContains" text="TRUE">
      <formula>ISERROR(SEARCH("TRUE",X130))</formula>
    </cfRule>
    <cfRule type="containsText" dxfId="0" priority="35" operator="containsText" text="TRUE">
      <formula>NOT(ISERROR(SEARCH("TRUE",X130)))</formula>
    </cfRule>
  </conditionalFormatting>
  <hyperlinks>
    <hyperlink ref="B5" location="MM_DSS" display="Check for DSS Overall: Alignment of member months across the Advanced Network, Age/Sex, and Line of Business Tabs" xr:uid="{E0EBB0E2-C767-4865-A3BA-569E1E301474}"/>
    <hyperlink ref="B8" location="TruncSpend_AN" display="Check by Advanced Network: Alignment of truncated and non-truncated spending by Advanced Network Across the AN and Age/Sex tabs" xr:uid="{8886F08A-7735-44DD-A8D6-6079ED9DBA00}"/>
    <hyperlink ref="B12" location="MMChange20to21" display="For how many Advanced Networks was there a significant (&gt;10%) increase or decrease in member months attributed from 2021 to 2022 (for ICC2)?" xr:uid="{21DFDB24-526A-4673-A818-1AE0BABC4F11}"/>
    <hyperlink ref="B9" location="'Data Validation'!B50" display="Advanced Networks With No Spending Attributed" xr:uid="{96E923BB-0C8A-4413-9981-BFE52CF7632C}"/>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Please select an option from the drop down menu." prompt="Please select an option from the drop down menu." xr:uid="{70B49168-C8B3-40E8-A801-5504546A0FE6}">
          <x14:formula1>
            <xm:f>'Reference Tables'!$B$50:$B$57</xm:f>
          </x14:formula1>
          <xm:sqref>C1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3C2D9-82C0-4BEE-BDEE-8854974E3553}">
  <dimension ref="A1:I51"/>
  <sheetViews>
    <sheetView topLeftCell="A4" zoomScale="90" zoomScaleNormal="90" workbookViewId="0">
      <selection activeCell="E50" sqref="E50"/>
    </sheetView>
  </sheetViews>
  <sheetFormatPr defaultRowHeight="15" x14ac:dyDescent="0.25"/>
  <cols>
    <col min="1" max="1" width="33" bestFit="1" customWidth="1"/>
    <col min="2" max="2" width="20.7109375" customWidth="1"/>
    <col min="3" max="3" width="20.140625" customWidth="1"/>
    <col min="4" max="4" width="26.140625" customWidth="1"/>
    <col min="5" max="5" width="23.28515625" customWidth="1"/>
    <col min="6" max="6" width="19" customWidth="1"/>
    <col min="7" max="7" width="19.140625" customWidth="1"/>
    <col min="8" max="8" width="34.140625" customWidth="1"/>
    <col min="9" max="9" width="42.5703125" customWidth="1"/>
  </cols>
  <sheetData>
    <row r="1" spans="1:9" x14ac:dyDescent="0.25">
      <c r="A1" s="37"/>
      <c r="B1" s="37"/>
      <c r="C1" s="37"/>
      <c r="D1" s="37"/>
      <c r="E1" s="37"/>
      <c r="F1" s="37"/>
      <c r="G1" s="37"/>
      <c r="H1" s="37"/>
      <c r="I1" s="37"/>
    </row>
    <row r="2" spans="1:9" x14ac:dyDescent="0.25">
      <c r="A2" s="38"/>
      <c r="B2" s="38"/>
      <c r="C2" s="37"/>
      <c r="D2" s="37"/>
      <c r="E2" s="37"/>
      <c r="F2" s="37"/>
      <c r="G2" s="37"/>
      <c r="H2" s="37"/>
      <c r="I2" s="37"/>
    </row>
    <row r="3" spans="1:9" x14ac:dyDescent="0.25">
      <c r="A3" s="39" t="s">
        <v>413</v>
      </c>
      <c r="B3" s="39">
        <v>1</v>
      </c>
      <c r="C3" s="39">
        <v>2</v>
      </c>
      <c r="D3" s="39">
        <v>3</v>
      </c>
      <c r="E3" s="39">
        <v>4</v>
      </c>
      <c r="F3" s="39">
        <v>5</v>
      </c>
      <c r="G3" s="39">
        <v>6</v>
      </c>
      <c r="H3" s="39">
        <v>7</v>
      </c>
      <c r="I3" s="37"/>
    </row>
    <row r="4" spans="1:9" ht="30" x14ac:dyDescent="0.25">
      <c r="A4" s="40" t="s">
        <v>75</v>
      </c>
      <c r="B4" s="41" t="s">
        <v>99</v>
      </c>
      <c r="C4" s="41" t="s">
        <v>414</v>
      </c>
      <c r="D4" s="41" t="s">
        <v>415</v>
      </c>
      <c r="E4" s="42" t="s">
        <v>416</v>
      </c>
      <c r="F4" s="43" t="s">
        <v>417</v>
      </c>
      <c r="G4" s="42" t="s">
        <v>418</v>
      </c>
      <c r="H4" s="42" t="s">
        <v>92</v>
      </c>
      <c r="I4" s="37"/>
    </row>
    <row r="5" spans="1:9" x14ac:dyDescent="0.25">
      <c r="A5" s="44" t="s">
        <v>76</v>
      </c>
      <c r="B5" s="93" t="s">
        <v>419</v>
      </c>
      <c r="C5" s="93"/>
      <c r="D5" s="93" t="s">
        <v>419</v>
      </c>
      <c r="E5" s="93" t="s">
        <v>419</v>
      </c>
      <c r="F5" s="93" t="s">
        <v>419</v>
      </c>
      <c r="G5" s="93"/>
      <c r="H5" s="93"/>
      <c r="I5" s="37"/>
    </row>
    <row r="6" spans="1:9" x14ac:dyDescent="0.25">
      <c r="A6" s="44" t="s">
        <v>77</v>
      </c>
      <c r="B6" s="93" t="s">
        <v>419</v>
      </c>
      <c r="C6" s="93"/>
      <c r="D6" s="93" t="s">
        <v>419</v>
      </c>
      <c r="E6" s="93" t="s">
        <v>419</v>
      </c>
      <c r="F6" s="93" t="s">
        <v>419</v>
      </c>
      <c r="G6" s="93"/>
      <c r="H6" s="93"/>
      <c r="I6" s="37"/>
    </row>
    <row r="7" spans="1:9" x14ac:dyDescent="0.25">
      <c r="A7" s="44" t="s">
        <v>78</v>
      </c>
      <c r="B7" s="93"/>
      <c r="C7" s="93"/>
      <c r="D7" s="93" t="s">
        <v>419</v>
      </c>
      <c r="E7" s="93" t="s">
        <v>419</v>
      </c>
      <c r="F7" s="93"/>
      <c r="G7" s="93"/>
      <c r="H7" s="93"/>
      <c r="I7" s="37"/>
    </row>
    <row r="8" spans="1:9" x14ac:dyDescent="0.25">
      <c r="A8" s="44" t="s">
        <v>79</v>
      </c>
      <c r="B8" s="93" t="s">
        <v>419</v>
      </c>
      <c r="C8" s="93"/>
      <c r="D8" s="93" t="s">
        <v>419</v>
      </c>
      <c r="E8" s="93"/>
      <c r="F8" s="93" t="s">
        <v>419</v>
      </c>
      <c r="G8" s="93"/>
      <c r="H8" s="93"/>
      <c r="I8" s="37"/>
    </row>
    <row r="9" spans="1:9" x14ac:dyDescent="0.25">
      <c r="A9" s="44" t="s">
        <v>80</v>
      </c>
      <c r="B9" s="93" t="s">
        <v>419</v>
      </c>
      <c r="C9" s="93"/>
      <c r="D9" s="93" t="s">
        <v>419</v>
      </c>
      <c r="E9" s="93" t="s">
        <v>419</v>
      </c>
      <c r="F9" s="93" t="s">
        <v>419</v>
      </c>
      <c r="G9" s="93"/>
      <c r="H9" s="93"/>
      <c r="I9" s="37"/>
    </row>
    <row r="10" spans="1:9" x14ac:dyDescent="0.25">
      <c r="A10" s="44" t="s">
        <v>83</v>
      </c>
      <c r="B10" s="93"/>
      <c r="C10" s="93" t="s">
        <v>419</v>
      </c>
      <c r="D10" s="93"/>
      <c r="E10" s="93"/>
      <c r="F10" s="93"/>
      <c r="G10" s="93" t="s">
        <v>419</v>
      </c>
      <c r="H10" s="93"/>
      <c r="I10" s="37"/>
    </row>
    <row r="11" spans="1:9" x14ac:dyDescent="0.25">
      <c r="A11" s="45" t="s">
        <v>420</v>
      </c>
      <c r="B11" s="93" t="s">
        <v>419</v>
      </c>
      <c r="C11" s="93"/>
      <c r="D11" s="93" t="s">
        <v>419</v>
      </c>
      <c r="E11" s="93"/>
      <c r="F11" s="93"/>
      <c r="G11" s="93"/>
      <c r="H11" s="93"/>
      <c r="I11" s="37"/>
    </row>
    <row r="12" spans="1:9" x14ac:dyDescent="0.25">
      <c r="A12" s="45" t="s">
        <v>82</v>
      </c>
      <c r="B12" s="93" t="s">
        <v>419</v>
      </c>
      <c r="C12" s="93"/>
      <c r="D12" s="93"/>
      <c r="E12" s="93"/>
      <c r="F12" s="93" t="s">
        <v>419</v>
      </c>
      <c r="G12" s="93"/>
      <c r="H12" s="93"/>
      <c r="I12" s="37"/>
    </row>
    <row r="13" spans="1:9" x14ac:dyDescent="0.25">
      <c r="A13" s="37"/>
      <c r="B13" s="37"/>
      <c r="C13" s="37"/>
      <c r="D13" s="37"/>
      <c r="E13" s="37"/>
      <c r="F13" s="37"/>
      <c r="G13" s="37"/>
      <c r="H13" s="37"/>
      <c r="I13" s="37"/>
    </row>
    <row r="14" spans="1:9" x14ac:dyDescent="0.25">
      <c r="A14" s="37"/>
      <c r="B14" s="37"/>
      <c r="C14" s="37"/>
      <c r="D14" s="37"/>
      <c r="E14" s="37"/>
      <c r="F14" s="37"/>
      <c r="G14" s="37"/>
      <c r="H14" s="37"/>
      <c r="I14" s="37"/>
    </row>
    <row r="15" spans="1:9" ht="75" x14ac:dyDescent="0.25">
      <c r="A15" s="125" t="s">
        <v>311</v>
      </c>
      <c r="B15" s="41" t="s">
        <v>421</v>
      </c>
      <c r="D15" s="125" t="s">
        <v>312</v>
      </c>
      <c r="E15" s="41" t="s">
        <v>421</v>
      </c>
    </row>
    <row r="16" spans="1:9" x14ac:dyDescent="0.25">
      <c r="A16" s="44" t="s">
        <v>76</v>
      </c>
      <c r="B16" s="126">
        <v>1418160</v>
      </c>
      <c r="D16" s="44" t="s">
        <v>76</v>
      </c>
      <c r="E16" s="126">
        <v>1710528</v>
      </c>
    </row>
    <row r="17" spans="1:9" x14ac:dyDescent="0.25">
      <c r="A17" s="44" t="s">
        <v>77</v>
      </c>
      <c r="B17" s="126">
        <v>561084</v>
      </c>
      <c r="D17" s="44" t="s">
        <v>77</v>
      </c>
      <c r="E17" s="126">
        <v>606336</v>
      </c>
    </row>
    <row r="18" spans="1:9" x14ac:dyDescent="0.25">
      <c r="A18" s="44" t="s">
        <v>78</v>
      </c>
      <c r="B18" s="126">
        <v>0</v>
      </c>
      <c r="D18" s="44" t="s">
        <v>78</v>
      </c>
      <c r="E18" s="126">
        <v>0</v>
      </c>
    </row>
    <row r="19" spans="1:9" x14ac:dyDescent="0.25">
      <c r="A19" s="44" t="s">
        <v>79</v>
      </c>
      <c r="B19" s="126">
        <v>444120</v>
      </c>
      <c r="D19" s="44" t="s">
        <v>79</v>
      </c>
      <c r="E19" s="126">
        <v>380052</v>
      </c>
    </row>
    <row r="20" spans="1:9" x14ac:dyDescent="0.25">
      <c r="A20" s="45" t="s">
        <v>80</v>
      </c>
      <c r="B20" s="127">
        <v>2031024</v>
      </c>
      <c r="D20" s="45" t="s">
        <v>80</v>
      </c>
      <c r="E20" s="127">
        <v>2098488</v>
      </c>
    </row>
    <row r="21" spans="1:9" x14ac:dyDescent="0.25">
      <c r="A21" s="45" t="s">
        <v>82</v>
      </c>
      <c r="B21" s="260">
        <v>169212</v>
      </c>
      <c r="D21" s="45" t="s">
        <v>82</v>
      </c>
      <c r="E21" s="127">
        <v>141252</v>
      </c>
    </row>
    <row r="22" spans="1:9" x14ac:dyDescent="0.25">
      <c r="A22" s="37"/>
      <c r="B22" s="37"/>
      <c r="D22" s="37"/>
      <c r="E22" s="37"/>
    </row>
    <row r="23" spans="1:9" x14ac:dyDescent="0.25">
      <c r="A23" s="37"/>
      <c r="B23" s="37"/>
      <c r="C23" s="37"/>
      <c r="D23" s="37"/>
      <c r="E23" s="46"/>
      <c r="F23" s="37"/>
      <c r="G23" s="37"/>
      <c r="H23" s="37"/>
      <c r="I23" s="37"/>
    </row>
    <row r="24" spans="1:9" x14ac:dyDescent="0.25">
      <c r="A24" s="66" t="s">
        <v>409</v>
      </c>
      <c r="B24" s="65" t="s">
        <v>422</v>
      </c>
      <c r="C24" s="37"/>
      <c r="F24" s="37"/>
      <c r="G24" s="37"/>
      <c r="H24" s="37"/>
      <c r="I24" s="37"/>
    </row>
    <row r="25" spans="1:9" ht="75" x14ac:dyDescent="0.25">
      <c r="A25" s="131" t="s">
        <v>281</v>
      </c>
      <c r="B25" s="135" t="s">
        <v>10</v>
      </c>
    </row>
    <row r="26" spans="1:9" ht="30" x14ac:dyDescent="0.25">
      <c r="A26" s="131" t="s">
        <v>282</v>
      </c>
      <c r="B26" s="135" t="s">
        <v>10</v>
      </c>
    </row>
    <row r="27" spans="1:9" ht="45" x14ac:dyDescent="0.25">
      <c r="A27" s="131" t="s">
        <v>283</v>
      </c>
      <c r="B27" s="135" t="s">
        <v>10</v>
      </c>
    </row>
    <row r="28" spans="1:9" ht="45" x14ac:dyDescent="0.25">
      <c r="A28" s="131" t="s">
        <v>284</v>
      </c>
      <c r="B28" s="135" t="s">
        <v>10</v>
      </c>
    </row>
    <row r="29" spans="1:9" ht="45" x14ac:dyDescent="0.25">
      <c r="A29" s="131" t="s">
        <v>285</v>
      </c>
      <c r="B29" s="134" t="s">
        <v>10</v>
      </c>
    </row>
    <row r="30" spans="1:9" ht="45" x14ac:dyDescent="0.25">
      <c r="A30" s="131" t="s">
        <v>286</v>
      </c>
      <c r="B30" s="134" t="s">
        <v>10</v>
      </c>
    </row>
    <row r="31" spans="1:9" ht="30" x14ac:dyDescent="0.25">
      <c r="A31" s="131" t="s">
        <v>287</v>
      </c>
      <c r="B31" s="134" t="s">
        <v>10</v>
      </c>
    </row>
    <row r="32" spans="1:9" ht="45" x14ac:dyDescent="0.25">
      <c r="A32" s="131" t="s">
        <v>288</v>
      </c>
      <c r="B32" s="134" t="s">
        <v>10</v>
      </c>
    </row>
    <row r="33" spans="1:2" ht="45" x14ac:dyDescent="0.25">
      <c r="A33" s="131" t="s">
        <v>289</v>
      </c>
      <c r="B33" s="134" t="s">
        <v>10</v>
      </c>
    </row>
    <row r="34" spans="1:2" ht="45" x14ac:dyDescent="0.25">
      <c r="A34" s="131" t="s">
        <v>290</v>
      </c>
      <c r="B34" s="134" t="s">
        <v>10</v>
      </c>
    </row>
    <row r="35" spans="1:2" ht="30" x14ac:dyDescent="0.25">
      <c r="A35" s="131" t="s">
        <v>291</v>
      </c>
      <c r="B35" s="134" t="s">
        <v>10</v>
      </c>
    </row>
    <row r="36" spans="1:2" ht="45" x14ac:dyDescent="0.25">
      <c r="A36" s="132" t="s">
        <v>292</v>
      </c>
      <c r="B36" s="134" t="s">
        <v>423</v>
      </c>
    </row>
    <row r="37" spans="1:2" ht="45" x14ac:dyDescent="0.25">
      <c r="A37" s="131" t="s">
        <v>293</v>
      </c>
      <c r="B37" s="134" t="s">
        <v>424</v>
      </c>
    </row>
    <row r="38" spans="1:2" ht="30" x14ac:dyDescent="0.25">
      <c r="A38" s="131" t="s">
        <v>294</v>
      </c>
      <c r="B38" s="134"/>
    </row>
    <row r="39" spans="1:2" ht="30" x14ac:dyDescent="0.25">
      <c r="A39" s="131" t="s">
        <v>295</v>
      </c>
      <c r="B39" s="134" t="s">
        <v>5</v>
      </c>
    </row>
    <row r="40" spans="1:2" ht="30" x14ac:dyDescent="0.25">
      <c r="A40" s="131" t="s">
        <v>296</v>
      </c>
      <c r="B40" s="134" t="s">
        <v>10</v>
      </c>
    </row>
    <row r="41" spans="1:2" ht="105" x14ac:dyDescent="0.25">
      <c r="A41" s="132" t="s">
        <v>297</v>
      </c>
      <c r="B41" s="94"/>
    </row>
    <row r="42" spans="1:2" ht="30" x14ac:dyDescent="0.25">
      <c r="A42" s="131" t="s">
        <v>298</v>
      </c>
      <c r="B42" s="94" t="s">
        <v>10</v>
      </c>
    </row>
    <row r="43" spans="1:2" ht="30" x14ac:dyDescent="0.25">
      <c r="A43" s="131" t="s">
        <v>299</v>
      </c>
      <c r="B43" s="94"/>
    </row>
    <row r="44" spans="1:2" ht="60" x14ac:dyDescent="0.25">
      <c r="A44" s="131" t="s">
        <v>300</v>
      </c>
      <c r="B44" s="94"/>
    </row>
    <row r="45" spans="1:2" ht="45" x14ac:dyDescent="0.25">
      <c r="A45" s="133" t="s">
        <v>301</v>
      </c>
      <c r="B45" s="94" t="s">
        <v>10</v>
      </c>
    </row>
    <row r="46" spans="1:2" ht="75" x14ac:dyDescent="0.25">
      <c r="A46" s="133" t="s">
        <v>302</v>
      </c>
      <c r="B46" s="94" t="s">
        <v>10</v>
      </c>
    </row>
    <row r="47" spans="1:2" ht="30" x14ac:dyDescent="0.25">
      <c r="A47" s="133" t="s">
        <v>303</v>
      </c>
      <c r="B47" s="94" t="s">
        <v>10</v>
      </c>
    </row>
    <row r="48" spans="1:2" ht="45" x14ac:dyDescent="0.25">
      <c r="A48" s="133" t="s">
        <v>304</v>
      </c>
      <c r="B48" s="94" t="s">
        <v>10</v>
      </c>
    </row>
    <row r="49" spans="1:2" ht="90" x14ac:dyDescent="0.25">
      <c r="A49" s="133" t="s">
        <v>305</v>
      </c>
      <c r="B49" s="95" t="s">
        <v>10</v>
      </c>
    </row>
    <row r="50" spans="1:2" ht="105" x14ac:dyDescent="0.25">
      <c r="A50" s="133" t="s">
        <v>306</v>
      </c>
      <c r="B50" s="95" t="s">
        <v>425</v>
      </c>
    </row>
    <row r="51" spans="1:2" ht="45" x14ac:dyDescent="0.25">
      <c r="A51" s="131" t="s">
        <v>307</v>
      </c>
      <c r="B51" s="95"/>
    </row>
  </sheetData>
  <pageMargins left="0.7" right="0.7" top="0.75" bottom="0.75" header="0.3" footer="0.3"/>
  <tableParts count="4">
    <tablePart r:id="rId1"/>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DBD31-47B4-49E7-BCF5-08D2BB256923}">
  <sheetPr>
    <tabColor theme="0" tint="-0.249977111117893"/>
  </sheetPr>
  <dimension ref="A1:E102"/>
  <sheetViews>
    <sheetView zoomScaleNormal="100" workbookViewId="0">
      <selection sqref="A1:B2"/>
    </sheetView>
  </sheetViews>
  <sheetFormatPr defaultRowHeight="15" x14ac:dyDescent="0.25"/>
  <cols>
    <col min="1" max="1" width="56.5703125" style="18" customWidth="1"/>
    <col min="2" max="2" width="82.5703125" customWidth="1"/>
    <col min="5" max="5" width="13.140625" customWidth="1"/>
  </cols>
  <sheetData>
    <row r="1" spans="1:5" x14ac:dyDescent="0.25">
      <c r="A1" s="320" t="s">
        <v>30</v>
      </c>
      <c r="B1" s="320"/>
      <c r="C1" s="17"/>
      <c r="D1" s="17"/>
      <c r="E1" s="17"/>
    </row>
    <row r="2" spans="1:5" x14ac:dyDescent="0.25">
      <c r="A2" s="320"/>
      <c r="B2" s="320"/>
      <c r="C2" s="17"/>
      <c r="D2" s="17"/>
      <c r="E2" s="17"/>
    </row>
    <row r="3" spans="1:5" x14ac:dyDescent="0.25">
      <c r="A3"/>
    </row>
    <row r="4" spans="1:5" x14ac:dyDescent="0.25">
      <c r="A4" s="20" t="s">
        <v>31</v>
      </c>
      <c r="B4" s="20" t="s">
        <v>32</v>
      </c>
      <c r="C4" s="1"/>
      <c r="D4" s="1"/>
      <c r="E4" s="1"/>
    </row>
    <row r="5" spans="1:5" x14ac:dyDescent="0.25">
      <c r="A5" s="111">
        <v>44788</v>
      </c>
      <c r="B5" s="19" t="s">
        <v>33</v>
      </c>
    </row>
    <row r="6" spans="1:5" x14ac:dyDescent="0.25">
      <c r="A6" s="111">
        <v>45153</v>
      </c>
      <c r="B6" s="19" t="s">
        <v>34</v>
      </c>
    </row>
    <row r="7" spans="1:5" x14ac:dyDescent="0.25">
      <c r="A7" s="111">
        <v>45519</v>
      </c>
      <c r="B7" s="19" t="s">
        <v>35</v>
      </c>
    </row>
    <row r="8" spans="1:5" x14ac:dyDescent="0.25">
      <c r="A8" s="111">
        <v>45884</v>
      </c>
      <c r="B8" s="19" t="s">
        <v>36</v>
      </c>
    </row>
    <row r="9" spans="1:5" x14ac:dyDescent="0.25">
      <c r="A9" s="111">
        <v>46249</v>
      </c>
      <c r="B9" s="19" t="s">
        <v>37</v>
      </c>
    </row>
    <row r="10" spans="1:5" x14ac:dyDescent="0.25">
      <c r="A10"/>
    </row>
    <row r="11" spans="1:5" x14ac:dyDescent="0.25">
      <c r="A11" s="177" t="s">
        <v>38</v>
      </c>
      <c r="B11" s="21" t="s">
        <v>39</v>
      </c>
    </row>
    <row r="12" spans="1:5" x14ac:dyDescent="0.25">
      <c r="A12" s="178">
        <v>100</v>
      </c>
      <c r="B12" s="179" t="s">
        <v>40</v>
      </c>
    </row>
    <row r="13" spans="1:5" x14ac:dyDescent="0.25">
      <c r="A13" s="178">
        <v>101</v>
      </c>
      <c r="B13" s="179" t="s">
        <v>41</v>
      </c>
      <c r="D13" s="1"/>
      <c r="E13" s="1"/>
    </row>
    <row r="14" spans="1:5" x14ac:dyDescent="0.25">
      <c r="A14" s="178">
        <v>102</v>
      </c>
      <c r="B14" s="179" t="s">
        <v>42</v>
      </c>
    </row>
    <row r="15" spans="1:5" x14ac:dyDescent="0.25">
      <c r="A15" s="178">
        <v>103</v>
      </c>
      <c r="B15" s="179" t="s">
        <v>43</v>
      </c>
    </row>
    <row r="16" spans="1:5" x14ac:dyDescent="0.25">
      <c r="A16" s="178">
        <v>104</v>
      </c>
      <c r="B16" s="179" t="s">
        <v>44</v>
      </c>
    </row>
    <row r="17" spans="1:5" x14ac:dyDescent="0.25">
      <c r="A17" s="178">
        <v>105</v>
      </c>
      <c r="B17" s="179" t="s">
        <v>45</v>
      </c>
    </row>
    <row r="18" spans="1:5" x14ac:dyDescent="0.25">
      <c r="A18" s="178">
        <v>106</v>
      </c>
      <c r="B18" s="179" t="s">
        <v>46</v>
      </c>
    </row>
    <row r="19" spans="1:5" x14ac:dyDescent="0.25">
      <c r="A19" s="114">
        <v>107</v>
      </c>
      <c r="B19" s="179" t="s">
        <v>426</v>
      </c>
    </row>
    <row r="20" spans="1:5" ht="30" x14ac:dyDescent="0.25">
      <c r="A20" s="114">
        <v>108</v>
      </c>
      <c r="B20" s="179" t="s">
        <v>47</v>
      </c>
    </row>
    <row r="21" spans="1:5" x14ac:dyDescent="0.25">
      <c r="A21" s="114">
        <v>109</v>
      </c>
      <c r="B21" s="179" t="s">
        <v>48</v>
      </c>
    </row>
    <row r="22" spans="1:5" x14ac:dyDescent="0.25">
      <c r="A22" s="114">
        <v>110</v>
      </c>
      <c r="B22" s="179" t="s">
        <v>49</v>
      </c>
    </row>
    <row r="23" spans="1:5" x14ac:dyDescent="0.25">
      <c r="A23" s="114">
        <v>111</v>
      </c>
      <c r="B23" s="179" t="s">
        <v>45</v>
      </c>
    </row>
    <row r="24" spans="1:5" x14ac:dyDescent="0.25">
      <c r="A24" s="114">
        <v>112</v>
      </c>
      <c r="B24" s="179" t="s">
        <v>50</v>
      </c>
    </row>
    <row r="25" spans="1:5" x14ac:dyDescent="0.25">
      <c r="A25" s="114">
        <v>113</v>
      </c>
      <c r="B25" s="179" t="s">
        <v>51</v>
      </c>
    </row>
    <row r="26" spans="1:5" x14ac:dyDescent="0.25">
      <c r="A26" s="114">
        <v>114</v>
      </c>
      <c r="B26" s="179" t="s">
        <v>52</v>
      </c>
    </row>
    <row r="27" spans="1:5" x14ac:dyDescent="0.25">
      <c r="A27" s="114">
        <v>115</v>
      </c>
      <c r="B27" s="179" t="s">
        <v>53</v>
      </c>
      <c r="C27" s="2"/>
      <c r="D27" s="1"/>
      <c r="E27" s="1"/>
    </row>
    <row r="28" spans="1:5" x14ac:dyDescent="0.25">
      <c r="A28" s="114">
        <v>116</v>
      </c>
      <c r="B28" s="179" t="s">
        <v>54</v>
      </c>
      <c r="C28" s="2"/>
    </row>
    <row r="29" spans="1:5" x14ac:dyDescent="0.25">
      <c r="A29" s="114">
        <v>117</v>
      </c>
      <c r="B29" s="179" t="s">
        <v>55</v>
      </c>
      <c r="C29" s="2"/>
    </row>
    <row r="30" spans="1:5" x14ac:dyDescent="0.25">
      <c r="A30" s="114">
        <v>118</v>
      </c>
      <c r="B30" s="179" t="s">
        <v>56</v>
      </c>
      <c r="C30" s="2"/>
    </row>
    <row r="31" spans="1:5" x14ac:dyDescent="0.25">
      <c r="A31" s="114">
        <v>119</v>
      </c>
      <c r="B31" s="179" t="s">
        <v>57</v>
      </c>
      <c r="C31" s="2"/>
    </row>
    <row r="32" spans="1:5" x14ac:dyDescent="0.25">
      <c r="A32" s="114">
        <v>120</v>
      </c>
      <c r="B32" s="179" t="s">
        <v>58</v>
      </c>
      <c r="C32" s="2"/>
    </row>
    <row r="33" spans="1:5" x14ac:dyDescent="0.25">
      <c r="A33" s="114">
        <v>121</v>
      </c>
      <c r="B33" s="179" t="s">
        <v>59</v>
      </c>
      <c r="C33" s="2"/>
    </row>
    <row r="34" spans="1:5" x14ac:dyDescent="0.25">
      <c r="A34" s="114">
        <v>122</v>
      </c>
      <c r="B34" s="179" t="s">
        <v>60</v>
      </c>
      <c r="C34" s="2"/>
    </row>
    <row r="35" spans="1:5" x14ac:dyDescent="0.25">
      <c r="A35" s="114">
        <v>123</v>
      </c>
      <c r="B35" s="179" t="s">
        <v>61</v>
      </c>
      <c r="C35" s="2"/>
    </row>
    <row r="36" spans="1:5" x14ac:dyDescent="0.25">
      <c r="A36" s="114">
        <v>124</v>
      </c>
      <c r="B36" s="179" t="s">
        <v>62</v>
      </c>
      <c r="C36" s="2"/>
    </row>
    <row r="37" spans="1:5" x14ac:dyDescent="0.25">
      <c r="A37" s="114">
        <v>125</v>
      </c>
      <c r="B37" s="179" t="s">
        <v>63</v>
      </c>
      <c r="C37" s="2"/>
    </row>
    <row r="38" spans="1:5" x14ac:dyDescent="0.25">
      <c r="A38" s="114">
        <v>126</v>
      </c>
      <c r="B38" s="179" t="s">
        <v>64</v>
      </c>
      <c r="C38" s="2"/>
    </row>
    <row r="39" spans="1:5" x14ac:dyDescent="0.25">
      <c r="A39" s="114">
        <v>127</v>
      </c>
      <c r="B39" s="179" t="s">
        <v>65</v>
      </c>
      <c r="C39" s="2"/>
    </row>
    <row r="40" spans="1:5" x14ac:dyDescent="0.25">
      <c r="A40" s="114">
        <v>128</v>
      </c>
      <c r="B40" s="179" t="s">
        <v>66</v>
      </c>
      <c r="C40" s="2"/>
    </row>
    <row r="41" spans="1:5" x14ac:dyDescent="0.25">
      <c r="A41" s="114">
        <v>129</v>
      </c>
      <c r="B41" s="179" t="s">
        <v>67</v>
      </c>
      <c r="C41" s="2"/>
    </row>
    <row r="42" spans="1:5" x14ac:dyDescent="0.25">
      <c r="A42" s="114">
        <v>130</v>
      </c>
      <c r="B42" s="179" t="s">
        <v>68</v>
      </c>
      <c r="C42" s="2"/>
    </row>
    <row r="43" spans="1:5" x14ac:dyDescent="0.25">
      <c r="A43" s="18">
        <v>131</v>
      </c>
      <c r="B43" s="179" t="s">
        <v>69</v>
      </c>
      <c r="C43" s="2"/>
    </row>
    <row r="44" spans="1:5" x14ac:dyDescent="0.25">
      <c r="A44" s="18">
        <v>132</v>
      </c>
      <c r="B44" s="179" t="s">
        <v>70</v>
      </c>
      <c r="C44" s="2"/>
    </row>
    <row r="45" spans="1:5" x14ac:dyDescent="0.25">
      <c r="A45" s="18">
        <v>133</v>
      </c>
      <c r="B45" s="179" t="s">
        <v>71</v>
      </c>
      <c r="C45" s="2"/>
    </row>
    <row r="46" spans="1:5" x14ac:dyDescent="0.25">
      <c r="A46" s="18">
        <v>134</v>
      </c>
      <c r="B46" s="179" t="s">
        <v>72</v>
      </c>
      <c r="C46" s="2"/>
    </row>
    <row r="47" spans="1:5" x14ac:dyDescent="0.25">
      <c r="A47" s="114">
        <v>999</v>
      </c>
      <c r="B47" s="179" t="s">
        <v>73</v>
      </c>
    </row>
    <row r="48" spans="1:5" x14ac:dyDescent="0.25">
      <c r="A48" s="1"/>
      <c r="B48" s="1"/>
      <c r="C48" s="1"/>
      <c r="D48" s="1"/>
      <c r="E48" s="1"/>
    </row>
    <row r="49" spans="1:2" x14ac:dyDescent="0.25">
      <c r="A49" s="21" t="s">
        <v>74</v>
      </c>
      <c r="B49" s="21" t="s">
        <v>75</v>
      </c>
    </row>
    <row r="50" spans="1:2" x14ac:dyDescent="0.25">
      <c r="A50" s="2">
        <v>201</v>
      </c>
      <c r="B50" s="22" t="s">
        <v>76</v>
      </c>
    </row>
    <row r="51" spans="1:2" x14ac:dyDescent="0.25">
      <c r="A51" s="2">
        <v>202</v>
      </c>
      <c r="B51" s="22" t="s">
        <v>77</v>
      </c>
    </row>
    <row r="52" spans="1:2" x14ac:dyDescent="0.25">
      <c r="A52" s="2">
        <v>203</v>
      </c>
      <c r="B52" s="22" t="s">
        <v>78</v>
      </c>
    </row>
    <row r="53" spans="1:2" x14ac:dyDescent="0.25">
      <c r="A53" s="2">
        <v>204</v>
      </c>
      <c r="B53" s="22" t="s">
        <v>79</v>
      </c>
    </row>
    <row r="54" spans="1:2" x14ac:dyDescent="0.25">
      <c r="A54" s="2">
        <v>206</v>
      </c>
      <c r="B54" s="22" t="s">
        <v>80</v>
      </c>
    </row>
    <row r="55" spans="1:2" x14ac:dyDescent="0.25">
      <c r="A55" s="2">
        <v>207</v>
      </c>
      <c r="B55" s="22" t="s">
        <v>81</v>
      </c>
    </row>
    <row r="56" spans="1:2" x14ac:dyDescent="0.25">
      <c r="A56" s="18">
        <v>208</v>
      </c>
      <c r="B56" s="22" t="s">
        <v>82</v>
      </c>
    </row>
    <row r="57" spans="1:2" x14ac:dyDescent="0.25">
      <c r="A57" s="2">
        <v>301</v>
      </c>
      <c r="B57" s="22" t="s">
        <v>83</v>
      </c>
    </row>
    <row r="59" spans="1:2" x14ac:dyDescent="0.25">
      <c r="A59" s="23" t="s">
        <v>84</v>
      </c>
      <c r="B59" s="21" t="s">
        <v>85</v>
      </c>
    </row>
    <row r="60" spans="1:2" x14ac:dyDescent="0.25">
      <c r="A60" s="18">
        <v>1</v>
      </c>
      <c r="B60" s="13" t="s">
        <v>86</v>
      </c>
    </row>
    <row r="61" spans="1:2" x14ac:dyDescent="0.25">
      <c r="A61" s="18">
        <v>2</v>
      </c>
      <c r="B61" s="13" t="s">
        <v>87</v>
      </c>
    </row>
    <row r="62" spans="1:2" x14ac:dyDescent="0.25">
      <c r="A62" s="18">
        <v>3</v>
      </c>
      <c r="B62" s="13" t="s">
        <v>88</v>
      </c>
    </row>
    <row r="63" spans="1:2" x14ac:dyDescent="0.25">
      <c r="A63" s="18">
        <v>4</v>
      </c>
      <c r="B63" s="13" t="s">
        <v>89</v>
      </c>
    </row>
    <row r="64" spans="1:2" x14ac:dyDescent="0.25">
      <c r="A64" s="18">
        <v>5</v>
      </c>
      <c r="B64" s="13" t="s">
        <v>90</v>
      </c>
    </row>
    <row r="65" spans="1:2" x14ac:dyDescent="0.25">
      <c r="A65" s="18">
        <v>6</v>
      </c>
      <c r="B65" s="13" t="s">
        <v>91</v>
      </c>
    </row>
    <row r="66" spans="1:2" x14ac:dyDescent="0.25">
      <c r="A66" s="18">
        <v>7</v>
      </c>
      <c r="B66" s="13" t="s">
        <v>92</v>
      </c>
    </row>
    <row r="68" spans="1:2" x14ac:dyDescent="0.25">
      <c r="A68" s="23" t="s">
        <v>93</v>
      </c>
      <c r="B68" s="21" t="s">
        <v>85</v>
      </c>
    </row>
    <row r="69" spans="1:2" x14ac:dyDescent="0.25">
      <c r="A69" s="18">
        <v>901</v>
      </c>
      <c r="B69" s="2" t="s">
        <v>94</v>
      </c>
    </row>
    <row r="70" spans="1:2" x14ac:dyDescent="0.25">
      <c r="A70" s="18">
        <v>902</v>
      </c>
      <c r="B70" s="2" t="s">
        <v>95</v>
      </c>
    </row>
    <row r="71" spans="1:2" x14ac:dyDescent="0.25">
      <c r="A71" s="18">
        <v>903</v>
      </c>
      <c r="B71" s="2" t="s">
        <v>96</v>
      </c>
    </row>
    <row r="72" spans="1:2" x14ac:dyDescent="0.25">
      <c r="A72" s="18">
        <v>904</v>
      </c>
      <c r="B72" s="2" t="s">
        <v>97</v>
      </c>
    </row>
    <row r="73" spans="1:2" x14ac:dyDescent="0.25">
      <c r="A73" s="18">
        <v>905</v>
      </c>
      <c r="B73" s="2" t="s">
        <v>98</v>
      </c>
    </row>
    <row r="74" spans="1:2" x14ac:dyDescent="0.25">
      <c r="A74" s="18">
        <v>906</v>
      </c>
      <c r="B74" s="2" t="s">
        <v>99</v>
      </c>
    </row>
    <row r="75" spans="1:2" x14ac:dyDescent="0.25">
      <c r="A75" s="18">
        <v>907</v>
      </c>
      <c r="B75" s="2" t="s">
        <v>100</v>
      </c>
    </row>
    <row r="76" spans="1:2" x14ac:dyDescent="0.25">
      <c r="A76" s="18">
        <v>908</v>
      </c>
      <c r="B76" s="2" t="s">
        <v>101</v>
      </c>
    </row>
    <row r="78" spans="1:2" x14ac:dyDescent="0.25">
      <c r="A78" s="112" t="s">
        <v>102</v>
      </c>
      <c r="B78" s="113" t="s">
        <v>85</v>
      </c>
    </row>
    <row r="79" spans="1:2" x14ac:dyDescent="0.25">
      <c r="A79" s="18">
        <v>1</v>
      </c>
      <c r="B79" s="18" t="s">
        <v>103</v>
      </c>
    </row>
    <row r="80" spans="1:2" x14ac:dyDescent="0.25">
      <c r="A80" s="18">
        <v>2</v>
      </c>
      <c r="B80" s="18" t="s">
        <v>104</v>
      </c>
    </row>
    <row r="81" spans="1:2" x14ac:dyDescent="0.25">
      <c r="A81" s="18">
        <v>3</v>
      </c>
      <c r="B81" s="18" t="s">
        <v>105</v>
      </c>
    </row>
    <row r="83" spans="1:2" x14ac:dyDescent="0.25">
      <c r="A83" s="112" t="s">
        <v>106</v>
      </c>
      <c r="B83" s="113" t="s">
        <v>85</v>
      </c>
    </row>
    <row r="84" spans="1:2" x14ac:dyDescent="0.25">
      <c r="A84" s="18">
        <v>1</v>
      </c>
      <c r="B84" s="18" t="s">
        <v>107</v>
      </c>
    </row>
    <row r="85" spans="1:2" x14ac:dyDescent="0.25">
      <c r="A85" s="18">
        <v>2</v>
      </c>
      <c r="B85" s="18" t="s">
        <v>108</v>
      </c>
    </row>
    <row r="86" spans="1:2" x14ac:dyDescent="0.25">
      <c r="A86" s="18">
        <v>3</v>
      </c>
      <c r="B86" s="18" t="s">
        <v>109</v>
      </c>
    </row>
    <row r="87" spans="1:2" x14ac:dyDescent="0.25">
      <c r="A87" s="18">
        <v>4</v>
      </c>
      <c r="B87" s="18" t="s">
        <v>110</v>
      </c>
    </row>
    <row r="88" spans="1:2" x14ac:dyDescent="0.25">
      <c r="A88" s="18">
        <v>5</v>
      </c>
      <c r="B88" s="18" t="s">
        <v>111</v>
      </c>
    </row>
    <row r="89" spans="1:2" x14ac:dyDescent="0.25">
      <c r="A89" s="18">
        <v>6</v>
      </c>
      <c r="B89" s="18" t="s">
        <v>112</v>
      </c>
    </row>
    <row r="90" spans="1:2" x14ac:dyDescent="0.25">
      <c r="A90" s="18">
        <v>7</v>
      </c>
      <c r="B90" s="18" t="s">
        <v>113</v>
      </c>
    </row>
    <row r="91" spans="1:2" x14ac:dyDescent="0.25">
      <c r="A91" s="18">
        <v>8</v>
      </c>
      <c r="B91" s="18" t="s">
        <v>114</v>
      </c>
    </row>
    <row r="93" spans="1:2" x14ac:dyDescent="0.25">
      <c r="A93" s="115" t="s">
        <v>115</v>
      </c>
      <c r="B93" s="113" t="s">
        <v>85</v>
      </c>
    </row>
    <row r="94" spans="1:2" x14ac:dyDescent="0.25">
      <c r="A94" s="114">
        <v>1</v>
      </c>
      <c r="B94" s="114" t="s">
        <v>116</v>
      </c>
    </row>
    <row r="95" spans="1:2" x14ac:dyDescent="0.25">
      <c r="A95" s="114">
        <v>2</v>
      </c>
      <c r="B95" s="114" t="s">
        <v>117</v>
      </c>
    </row>
    <row r="97" spans="1:2" x14ac:dyDescent="0.25">
      <c r="A97" s="20" t="s">
        <v>118</v>
      </c>
      <c r="B97" s="20" t="s">
        <v>85</v>
      </c>
    </row>
    <row r="98" spans="1:2" x14ac:dyDescent="0.25">
      <c r="A98" s="19">
        <v>1</v>
      </c>
      <c r="B98" s="264" t="s">
        <v>119</v>
      </c>
    </row>
    <row r="99" spans="1:2" x14ac:dyDescent="0.25">
      <c r="A99" s="19">
        <v>2</v>
      </c>
      <c r="B99" s="264" t="s">
        <v>120</v>
      </c>
    </row>
    <row r="100" spans="1:2" x14ac:dyDescent="0.25">
      <c r="A100" s="19">
        <v>3</v>
      </c>
      <c r="B100" s="264" t="s">
        <v>121</v>
      </c>
    </row>
    <row r="101" spans="1:2" x14ac:dyDescent="0.25">
      <c r="A101" s="19">
        <v>4</v>
      </c>
      <c r="B101" s="264" t="s">
        <v>122</v>
      </c>
    </row>
    <row r="102" spans="1:2" x14ac:dyDescent="0.25">
      <c r="A102" s="19">
        <v>5</v>
      </c>
      <c r="B102" s="264" t="s">
        <v>123</v>
      </c>
    </row>
  </sheetData>
  <sheetProtection algorithmName="SHA-512" hashValue="rHQjzo8bkpcrkSRgBVq1gVPXDFM/dz04fdNBbA36Ma43wdXIrqaiZGwNnvxGIAErdc9owUrzgCBsbuhVlgQfZA==" saltValue="nR4gkuxp6a1tWC86jJeI2w==" spinCount="100000" sheet="1" objects="1" scenarios="1"/>
  <mergeCells count="1">
    <mergeCell ref="A1:B2"/>
  </mergeCells>
  <pageMargins left="0.7" right="0.7" top="0.75" bottom="0.75" header="0.3" footer="0.3"/>
  <pageSetup orientation="portrait" r:id="rId1"/>
  <tableParts count="9">
    <tablePart r:id="rId2"/>
    <tablePart r:id="rId3"/>
    <tablePart r:id="rId4"/>
    <tablePart r:id="rId5"/>
    <tablePart r:id="rId6"/>
    <tablePart r:id="rId7"/>
    <tablePart r:id="rId8"/>
    <tablePart r:id="rId9"/>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03D03-231A-4E1D-BD76-642205510FCE}">
  <sheetPr>
    <tabColor theme="0" tint="-0.249977111117893"/>
  </sheetPr>
  <dimension ref="A1:B56"/>
  <sheetViews>
    <sheetView zoomScale="115" zoomScaleNormal="115" workbookViewId="0"/>
  </sheetViews>
  <sheetFormatPr defaultRowHeight="15" x14ac:dyDescent="0.25"/>
  <cols>
    <col min="1" max="1" width="44.28515625" style="35" customWidth="1"/>
    <col min="2" max="2" width="101" style="34" customWidth="1"/>
  </cols>
  <sheetData>
    <row r="1" spans="1:2" x14ac:dyDescent="0.25">
      <c r="A1" s="32" t="s">
        <v>7</v>
      </c>
    </row>
    <row r="2" spans="1:2" x14ac:dyDescent="0.25">
      <c r="A2" s="176" t="s">
        <v>427</v>
      </c>
    </row>
    <row r="3" spans="1:2" x14ac:dyDescent="0.25">
      <c r="A3" s="36"/>
    </row>
    <row r="4" spans="1:2" x14ac:dyDescent="0.25">
      <c r="A4" s="32" t="s">
        <v>124</v>
      </c>
    </row>
    <row r="5" spans="1:2" x14ac:dyDescent="0.25">
      <c r="A5" s="99" t="s">
        <v>125</v>
      </c>
      <c r="B5" s="100" t="s">
        <v>85</v>
      </c>
    </row>
    <row r="6" spans="1:2" ht="60" x14ac:dyDescent="0.25">
      <c r="A6" s="97" t="s">
        <v>126</v>
      </c>
      <c r="B6" s="96" t="s">
        <v>127</v>
      </c>
    </row>
    <row r="7" spans="1:2" ht="45" x14ac:dyDescent="0.25">
      <c r="A7" s="97" t="s">
        <v>84</v>
      </c>
      <c r="B7" s="98" t="s">
        <v>128</v>
      </c>
    </row>
    <row r="8" spans="1:2" ht="60" x14ac:dyDescent="0.25">
      <c r="A8" s="97" t="s">
        <v>118</v>
      </c>
      <c r="B8" s="98" t="s">
        <v>129</v>
      </c>
    </row>
    <row r="9" spans="1:2" ht="60" x14ac:dyDescent="0.25">
      <c r="A9" s="97" t="s">
        <v>130</v>
      </c>
      <c r="B9" s="98" t="s">
        <v>131</v>
      </c>
    </row>
    <row r="10" spans="1:2" ht="105" x14ac:dyDescent="0.25">
      <c r="A10" s="97" t="s">
        <v>132</v>
      </c>
      <c r="B10" s="98" t="s">
        <v>133</v>
      </c>
    </row>
    <row r="11" spans="1:2" ht="75" x14ac:dyDescent="0.25">
      <c r="A11" s="97" t="s">
        <v>134</v>
      </c>
      <c r="B11" s="98" t="s">
        <v>135</v>
      </c>
    </row>
    <row r="12" spans="1:2" ht="240" customHeight="1" x14ac:dyDescent="0.25">
      <c r="A12" s="97" t="s">
        <v>136</v>
      </c>
      <c r="B12" s="98" t="s">
        <v>137</v>
      </c>
    </row>
    <row r="13" spans="1:2" ht="270" x14ac:dyDescent="0.25">
      <c r="A13" s="98" t="s">
        <v>138</v>
      </c>
      <c r="B13" s="98" t="s">
        <v>139</v>
      </c>
    </row>
    <row r="14" spans="1:2" ht="90" x14ac:dyDescent="0.25">
      <c r="A14" s="97" t="s">
        <v>140</v>
      </c>
      <c r="B14" s="98" t="s">
        <v>141</v>
      </c>
    </row>
    <row r="15" spans="1:2" ht="90" x14ac:dyDescent="0.25">
      <c r="A15" s="97" t="s">
        <v>142</v>
      </c>
      <c r="B15" s="98" t="s">
        <v>143</v>
      </c>
    </row>
    <row r="16" spans="1:2" ht="120" x14ac:dyDescent="0.25">
      <c r="A16" s="97" t="s">
        <v>144</v>
      </c>
      <c r="B16" s="98" t="s">
        <v>145</v>
      </c>
    </row>
    <row r="17" spans="1:2" ht="135" x14ac:dyDescent="0.25">
      <c r="A17" s="98" t="s">
        <v>146</v>
      </c>
      <c r="B17" s="98" t="s">
        <v>147</v>
      </c>
    </row>
    <row r="18" spans="1:2" ht="135" x14ac:dyDescent="0.25">
      <c r="A18" s="98" t="s">
        <v>148</v>
      </c>
      <c r="B18" s="98" t="s">
        <v>149</v>
      </c>
    </row>
    <row r="19" spans="1:2" ht="105" x14ac:dyDescent="0.25">
      <c r="A19" s="98" t="s">
        <v>150</v>
      </c>
      <c r="B19" s="98" t="s">
        <v>151</v>
      </c>
    </row>
    <row r="20" spans="1:2" ht="105" x14ac:dyDescent="0.25">
      <c r="A20" s="98" t="s">
        <v>152</v>
      </c>
      <c r="B20" s="98" t="s">
        <v>153</v>
      </c>
    </row>
    <row r="21" spans="1:2" ht="75" x14ac:dyDescent="0.25">
      <c r="A21" s="98" t="s">
        <v>154</v>
      </c>
      <c r="B21" s="98" t="s">
        <v>155</v>
      </c>
    </row>
    <row r="22" spans="1:2" ht="90" x14ac:dyDescent="0.25">
      <c r="A22" s="98" t="s">
        <v>156</v>
      </c>
      <c r="B22" s="98" t="s">
        <v>157</v>
      </c>
    </row>
    <row r="23" spans="1:2" ht="75" x14ac:dyDescent="0.25">
      <c r="A23" s="98" t="s">
        <v>158</v>
      </c>
      <c r="B23" s="98" t="s">
        <v>159</v>
      </c>
    </row>
    <row r="24" spans="1:2" ht="60" x14ac:dyDescent="0.25">
      <c r="A24" s="98" t="s">
        <v>160</v>
      </c>
      <c r="B24" s="98" t="s">
        <v>161</v>
      </c>
    </row>
    <row r="25" spans="1:2" ht="165" x14ac:dyDescent="0.25">
      <c r="A25" s="98" t="s">
        <v>162</v>
      </c>
      <c r="B25" s="98" t="s">
        <v>163</v>
      </c>
    </row>
    <row r="26" spans="1:2" ht="60" x14ac:dyDescent="0.25">
      <c r="A26" s="98" t="s">
        <v>164</v>
      </c>
      <c r="B26" s="98" t="s">
        <v>165</v>
      </c>
    </row>
    <row r="28" spans="1:2" x14ac:dyDescent="0.25">
      <c r="A28" s="32" t="s">
        <v>166</v>
      </c>
    </row>
    <row r="29" spans="1:2" x14ac:dyDescent="0.25">
      <c r="A29" s="99" t="s">
        <v>125</v>
      </c>
      <c r="B29" s="100" t="s">
        <v>85</v>
      </c>
    </row>
    <row r="30" spans="1:2" ht="60" x14ac:dyDescent="0.25">
      <c r="A30" s="97" t="s">
        <v>84</v>
      </c>
      <c r="B30" s="98" t="s">
        <v>167</v>
      </c>
    </row>
    <row r="31" spans="1:2" ht="100.9" customHeight="1" x14ac:dyDescent="0.25">
      <c r="A31" s="97" t="s">
        <v>168</v>
      </c>
      <c r="B31" s="98" t="s">
        <v>169</v>
      </c>
    </row>
    <row r="33" spans="1:2" x14ac:dyDescent="0.25">
      <c r="A33" s="32" t="s">
        <v>170</v>
      </c>
    </row>
    <row r="34" spans="1:2" x14ac:dyDescent="0.25">
      <c r="A34" s="99" t="s">
        <v>125</v>
      </c>
      <c r="B34" s="100" t="s">
        <v>85</v>
      </c>
    </row>
    <row r="35" spans="1:2" ht="45" x14ac:dyDescent="0.25">
      <c r="A35" s="97" t="s">
        <v>93</v>
      </c>
      <c r="B35" s="98" t="s">
        <v>171</v>
      </c>
    </row>
    <row r="36" spans="1:2" ht="60" x14ac:dyDescent="0.25">
      <c r="A36" s="97" t="s">
        <v>130</v>
      </c>
      <c r="B36" s="98" t="s">
        <v>131</v>
      </c>
    </row>
    <row r="38" spans="1:2" x14ac:dyDescent="0.25">
      <c r="A38" s="32" t="s">
        <v>172</v>
      </c>
    </row>
    <row r="39" spans="1:2" x14ac:dyDescent="0.25">
      <c r="A39" s="99" t="s">
        <v>125</v>
      </c>
      <c r="B39" s="100" t="s">
        <v>85</v>
      </c>
    </row>
    <row r="40" spans="1:2" ht="60" x14ac:dyDescent="0.25">
      <c r="A40" s="97" t="s">
        <v>126</v>
      </c>
      <c r="B40" s="96" t="s">
        <v>127</v>
      </c>
    </row>
    <row r="41" spans="1:2" ht="45" x14ac:dyDescent="0.25">
      <c r="A41" s="97" t="s">
        <v>102</v>
      </c>
      <c r="B41" s="98" t="s">
        <v>173</v>
      </c>
    </row>
    <row r="42" spans="1:2" ht="60" x14ac:dyDescent="0.25">
      <c r="A42" s="97" t="s">
        <v>130</v>
      </c>
      <c r="B42" s="98" t="s">
        <v>131</v>
      </c>
    </row>
    <row r="43" spans="1:2" ht="210" x14ac:dyDescent="0.25">
      <c r="A43" s="97" t="s">
        <v>174</v>
      </c>
      <c r="B43" s="98" t="s">
        <v>175</v>
      </c>
    </row>
    <row r="44" spans="1:2" ht="195" x14ac:dyDescent="0.25">
      <c r="A44" s="97" t="s">
        <v>176</v>
      </c>
      <c r="B44" s="98" t="s">
        <v>177</v>
      </c>
    </row>
    <row r="46" spans="1:2" x14ac:dyDescent="0.25">
      <c r="A46" s="32" t="s">
        <v>178</v>
      </c>
    </row>
    <row r="47" spans="1:2" x14ac:dyDescent="0.25">
      <c r="A47" s="99" t="s">
        <v>125</v>
      </c>
      <c r="B47" s="100" t="s">
        <v>85</v>
      </c>
    </row>
    <row r="48" spans="1:2" ht="60" x14ac:dyDescent="0.25">
      <c r="A48" s="98" t="s">
        <v>106</v>
      </c>
      <c r="B48" s="96" t="s">
        <v>179</v>
      </c>
    </row>
    <row r="49" spans="1:2" ht="30" x14ac:dyDescent="0.25">
      <c r="A49" s="98" t="s">
        <v>180</v>
      </c>
      <c r="B49" s="96" t="s">
        <v>181</v>
      </c>
    </row>
    <row r="50" spans="1:2" ht="75" x14ac:dyDescent="0.25">
      <c r="A50" s="98" t="s">
        <v>182</v>
      </c>
      <c r="B50" s="96" t="s">
        <v>183</v>
      </c>
    </row>
    <row r="51" spans="1:2" ht="75" x14ac:dyDescent="0.25">
      <c r="A51" s="98" t="s">
        <v>184</v>
      </c>
      <c r="B51" s="96" t="s">
        <v>185</v>
      </c>
    </row>
    <row r="52" spans="1:2" ht="60" x14ac:dyDescent="0.25">
      <c r="A52" s="98" t="s">
        <v>186</v>
      </c>
      <c r="B52" s="96" t="s">
        <v>187</v>
      </c>
    </row>
    <row r="53" spans="1:2" ht="210" x14ac:dyDescent="0.25">
      <c r="A53" s="98" t="s">
        <v>188</v>
      </c>
      <c r="B53" s="98" t="s">
        <v>175</v>
      </c>
    </row>
    <row r="54" spans="1:2" ht="30" x14ac:dyDescent="0.25">
      <c r="A54" s="98" t="s">
        <v>189</v>
      </c>
      <c r="B54" s="96" t="s">
        <v>190</v>
      </c>
    </row>
    <row r="55" spans="1:2" x14ac:dyDescent="0.25">
      <c r="A55" s="34"/>
    </row>
    <row r="56" spans="1:2" x14ac:dyDescent="0.25">
      <c r="A56" s="34"/>
    </row>
  </sheetData>
  <sheetProtection algorithmName="SHA-512" hashValue="DyQogKKLaAeO089qoIl4yaPPSWY4Un+EWcOSEm9M8wQOhb1bL8N7F3GpOGu7Otv5tapP5YkFEeiyaJhfId3IDQ==" saltValue="5W1N1ta/SuUX8e3Du6NbHA==" spinCount="100000" sheet="1" objects="1" scenarios="1"/>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4CB8C-60F4-466A-97E8-6CEE038FD6A3}">
  <sheetPr>
    <tabColor theme="4"/>
  </sheetPr>
  <dimension ref="A1:F20"/>
  <sheetViews>
    <sheetView zoomScaleNormal="100" workbookViewId="0">
      <selection activeCell="C35" sqref="C35"/>
    </sheetView>
  </sheetViews>
  <sheetFormatPr defaultColWidth="9.140625" defaultRowHeight="15" x14ac:dyDescent="0.25"/>
  <cols>
    <col min="1" max="1" width="20.7109375" customWidth="1"/>
    <col min="2" max="7" width="18.42578125" customWidth="1"/>
  </cols>
  <sheetData>
    <row r="1" spans="1:6" x14ac:dyDescent="0.25">
      <c r="A1" s="1" t="s">
        <v>191</v>
      </c>
    </row>
    <row r="2" spans="1:6" x14ac:dyDescent="0.25">
      <c r="A2" s="1" t="s">
        <v>192</v>
      </c>
    </row>
    <row r="4" spans="1:6" x14ac:dyDescent="0.25">
      <c r="A4" t="s">
        <v>193</v>
      </c>
      <c r="C4" s="321" t="s">
        <v>194</v>
      </c>
      <c r="D4" s="322"/>
      <c r="E4" s="322"/>
    </row>
    <row r="5" spans="1:6" x14ac:dyDescent="0.25">
      <c r="C5" s="322"/>
      <c r="D5" s="322"/>
      <c r="E5" s="322"/>
    </row>
    <row r="9" spans="1:6" x14ac:dyDescent="0.25">
      <c r="A9" s="4" t="s">
        <v>195</v>
      </c>
      <c r="B9" s="4" t="s">
        <v>196</v>
      </c>
      <c r="C9" s="4" t="s">
        <v>197</v>
      </c>
      <c r="D9" s="4" t="s">
        <v>198</v>
      </c>
      <c r="E9" s="4" t="s">
        <v>199</v>
      </c>
    </row>
    <row r="10" spans="1:6" s="88" customFormat="1" ht="30" x14ac:dyDescent="0.25">
      <c r="A10" s="86" t="s">
        <v>200</v>
      </c>
      <c r="B10" s="90" t="s">
        <v>201</v>
      </c>
      <c r="C10" s="90" t="s">
        <v>202</v>
      </c>
      <c r="D10" s="90" t="s">
        <v>203</v>
      </c>
      <c r="E10" s="85" t="s">
        <v>204</v>
      </c>
    </row>
    <row r="11" spans="1:6" x14ac:dyDescent="0.25">
      <c r="A11" s="101">
        <v>301</v>
      </c>
      <c r="B11" s="102"/>
      <c r="C11" s="102"/>
      <c r="D11" s="103"/>
      <c r="E11" s="124" t="s">
        <v>205</v>
      </c>
      <c r="F11" s="12"/>
    </row>
    <row r="12" spans="1:6" x14ac:dyDescent="0.25">
      <c r="A12" s="12"/>
      <c r="B12" s="12"/>
      <c r="C12" s="12"/>
      <c r="D12" s="12"/>
      <c r="E12" s="12"/>
    </row>
    <row r="13" spans="1:6" x14ac:dyDescent="0.25">
      <c r="A13" s="12"/>
      <c r="B13" s="12"/>
      <c r="C13" s="12"/>
      <c r="D13" s="12"/>
    </row>
    <row r="14" spans="1:6" x14ac:dyDescent="0.25">
      <c r="A14" s="12"/>
      <c r="B14" s="12"/>
      <c r="C14" s="12"/>
      <c r="D14" s="12"/>
    </row>
    <row r="15" spans="1:6" x14ac:dyDescent="0.25">
      <c r="A15" s="12"/>
      <c r="B15" s="12"/>
      <c r="C15" s="12"/>
      <c r="D15" s="12"/>
    </row>
    <row r="16" spans="1:6" x14ac:dyDescent="0.25">
      <c r="A16" s="12"/>
      <c r="B16" s="12"/>
      <c r="C16" s="12"/>
      <c r="D16" s="12"/>
    </row>
    <row r="17" spans="1:4" x14ac:dyDescent="0.25">
      <c r="A17" s="12"/>
      <c r="B17" s="12"/>
      <c r="C17" s="12"/>
      <c r="D17" s="12"/>
    </row>
    <row r="20" spans="1:4" x14ac:dyDescent="0.25">
      <c r="A20" s="2"/>
      <c r="B20" s="3"/>
      <c r="C20" s="91"/>
      <c r="D20" s="92"/>
    </row>
  </sheetData>
  <sheetProtection algorithmName="SHA-512" hashValue="kJDNYr2Uk8B4QyFzuXc1bd4vHCpKbiS+h2V6BMtkmjSaEEo5qVT2lXA6o0qp7X+hllVAYS0fZLHN+2AEuTPwzg==" saltValue="FcVKerySZwATzlP5BQLcyg==" spinCount="100000" sheet="1" formatRows="0"/>
  <protectedRanges>
    <protectedRange sqref="A11:E11" name="Range1"/>
  </protectedRanges>
  <mergeCells count="1">
    <mergeCell ref="C4:E5"/>
  </mergeCells>
  <phoneticPr fontId="19" type="noConversion"/>
  <dataValidations count="5">
    <dataValidation type="textLength" operator="lessThanOrEqual" allowBlank="1" showInputMessage="1" showErrorMessage="1" error="This is the end date period of the reported period in the submission file. MMDDYYYY Or MM/DD/YYYY" prompt="This is the end date period of the reported period in the submission file (based on date of service)." sqref="C11" xr:uid="{787E6BC4-2392-49CE-A5D3-5F2EA435679F}">
      <formula1>10</formula1>
    </dataValidation>
    <dataValidation type="textLength" operator="lessThanOrEqual" allowBlank="1" showInputMessage="1" showErrorMessage="1" error="This is the start date period of the reported period in the submission file (based on date of service). _x000a_MMDDYYYY Or MM/DD/YYYY" prompt="This is the start date period of the reported period in the submission file (based on date of service). _x000a_MMDDYYYY Or MM/DD/YYYY" sqref="B11" xr:uid="{939D1837-615E-4865-AF8D-AA663ECD7E37}">
      <formula1>10</formula1>
    </dataValidation>
    <dataValidation type="textLength" operator="equal" allowBlank="1" showInputMessage="1" showErrorMessage="1" sqref="A11" xr:uid="{422BE5CB-6844-45D4-92BD-1F2EF971FDAC}">
      <formula1>3</formula1>
    </dataValidation>
    <dataValidation operator="lessThanOrEqual" allowBlank="1" showInputMessage="1" showErrorMessage="1" error="Insurer’s comments on TME data. (255 characters or less)." prompt="Insurer’s comments on TME data. " sqref="D11" xr:uid="{51BAB0B2-4FBE-4603-ABE2-BD594906D60A}"/>
    <dataValidation allowBlank="1" showInputMessage="1" showErrorMessage="1" prompt="Any Medicare Managed Care Organization must submit all names for which it is “doing business as” in the state of Connecticut." sqref="E11" xr:uid="{86B53723-B123-4D48-9358-8267B1455653}"/>
  </dataValidations>
  <pageMargins left="0.7" right="0.7" top="0.75" bottom="0.75" header="0.3" footer="0.3"/>
  <pageSetup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84D3C-EAC9-4494-BA6A-109FA174FE66}">
  <sheetPr>
    <tabColor theme="3"/>
  </sheetPr>
  <dimension ref="A1:F20"/>
  <sheetViews>
    <sheetView zoomScale="80" zoomScaleNormal="80" workbookViewId="0">
      <selection activeCell="C4" sqref="C4:E5"/>
    </sheetView>
  </sheetViews>
  <sheetFormatPr defaultColWidth="9.140625" defaultRowHeight="15" x14ac:dyDescent="0.25"/>
  <cols>
    <col min="1" max="1" width="20.7109375" customWidth="1"/>
    <col min="2" max="7" width="21.85546875" customWidth="1"/>
  </cols>
  <sheetData>
    <row r="1" spans="1:6" x14ac:dyDescent="0.25">
      <c r="A1" s="1" t="s">
        <v>191</v>
      </c>
    </row>
    <row r="2" spans="1:6" x14ac:dyDescent="0.25">
      <c r="A2" s="1" t="s">
        <v>206</v>
      </c>
    </row>
    <row r="4" spans="1:6" x14ac:dyDescent="0.25">
      <c r="A4" t="s">
        <v>193</v>
      </c>
      <c r="C4" s="323" t="s">
        <v>207</v>
      </c>
      <c r="D4" s="324"/>
      <c r="E4" s="324"/>
    </row>
    <row r="5" spans="1:6" x14ac:dyDescent="0.25">
      <c r="C5" s="324"/>
      <c r="D5" s="324"/>
      <c r="E5" s="324"/>
    </row>
    <row r="9" spans="1:6" x14ac:dyDescent="0.25">
      <c r="A9" s="4" t="s">
        <v>195</v>
      </c>
      <c r="B9" s="4" t="s">
        <v>196</v>
      </c>
      <c r="C9" s="4" t="s">
        <v>197</v>
      </c>
      <c r="D9" s="4" t="s">
        <v>198</v>
      </c>
      <c r="E9" s="4" t="s">
        <v>199</v>
      </c>
    </row>
    <row r="10" spans="1:6" s="88" customFormat="1" x14ac:dyDescent="0.25">
      <c r="A10" s="86" t="s">
        <v>200</v>
      </c>
      <c r="B10" s="90" t="s">
        <v>201</v>
      </c>
      <c r="C10" s="90" t="s">
        <v>202</v>
      </c>
      <c r="D10" s="90" t="s">
        <v>203</v>
      </c>
      <c r="E10" s="85" t="s">
        <v>204</v>
      </c>
    </row>
    <row r="11" spans="1:6" x14ac:dyDescent="0.25">
      <c r="A11" s="101">
        <v>301</v>
      </c>
      <c r="B11" s="102"/>
      <c r="C11" s="102"/>
      <c r="D11" s="103"/>
      <c r="E11" s="124" t="s">
        <v>205</v>
      </c>
      <c r="F11" s="12"/>
    </row>
    <row r="12" spans="1:6" x14ac:dyDescent="0.25">
      <c r="A12" s="12"/>
      <c r="B12" s="12"/>
      <c r="C12" s="12"/>
      <c r="D12" s="12"/>
      <c r="E12" s="12"/>
    </row>
    <row r="13" spans="1:6" x14ac:dyDescent="0.25">
      <c r="A13" s="12"/>
      <c r="B13" s="12"/>
      <c r="C13" s="12"/>
      <c r="D13" s="12"/>
    </row>
    <row r="14" spans="1:6" x14ac:dyDescent="0.25">
      <c r="A14" s="12"/>
      <c r="B14" s="12"/>
      <c r="C14" s="12"/>
      <c r="D14" s="12"/>
    </row>
    <row r="15" spans="1:6" x14ac:dyDescent="0.25">
      <c r="A15" s="12"/>
      <c r="B15" s="12"/>
      <c r="C15" s="12"/>
      <c r="D15" s="12"/>
    </row>
    <row r="16" spans="1:6" x14ac:dyDescent="0.25">
      <c r="A16" s="12"/>
      <c r="B16" s="12"/>
      <c r="C16" s="12"/>
      <c r="D16" s="12"/>
    </row>
    <row r="17" spans="1:4" x14ac:dyDescent="0.25">
      <c r="A17" s="12"/>
      <c r="B17" s="12"/>
      <c r="C17" s="12"/>
      <c r="D17" s="12"/>
    </row>
    <row r="20" spans="1:4" x14ac:dyDescent="0.25">
      <c r="A20" s="2"/>
      <c r="B20" s="3"/>
      <c r="C20" s="91"/>
      <c r="D20" s="92"/>
    </row>
  </sheetData>
  <sheetProtection algorithmName="SHA-512" hashValue="eu/zIUplSbmSt1/uO/X1xHxu4NWqPkgHlTxVJySNSjDb6RY9LPso87D6pvtNJAhTJ8GSyX+VMS8zcE0dN7NKtw==" saltValue="oMLiv3J1V94Sz0Z5j5+HsA==" spinCount="100000" sheet="1" formatRows="0"/>
  <protectedRanges>
    <protectedRange sqref="B11:E11" name="Range1"/>
  </protectedRanges>
  <mergeCells count="1">
    <mergeCell ref="C4:E5"/>
  </mergeCells>
  <dataValidations count="5">
    <dataValidation type="textLength" operator="equal" allowBlank="1" showInputMessage="1" showErrorMessage="1" sqref="A11" xr:uid="{5524F09C-BC31-493E-AD12-4FDCE82EA73B}">
      <formula1>3</formula1>
    </dataValidation>
    <dataValidation type="textLength" operator="lessThanOrEqual" allowBlank="1" showInputMessage="1" showErrorMessage="1" error="This is the start date period of the reported period in the submission file (based on date of service). _x000a_MMDDYYYY Or MM/DD/YYYY" prompt="This is the start date period of the reported period in the submission file (based on date of service). _x000a_MMDDYYYY Or MM/DD/YYYY" sqref="B11" xr:uid="{96A3A0E6-AE41-4C53-869C-55AF2C0F19F8}">
      <formula1>10</formula1>
    </dataValidation>
    <dataValidation type="textLength" operator="lessThanOrEqual" allowBlank="1" showInputMessage="1" showErrorMessage="1" error="This is the end date period of the reported period in the submission file. MMDDYYYY Or MM/DD/YYYY" prompt="This is the end date period of the reported period in the submission file (based on date of service)." sqref="C11" xr:uid="{1DD19555-EF2A-46AF-ADF6-15AE4AC3F02E}">
      <formula1>10</formula1>
    </dataValidation>
    <dataValidation operator="lessThanOrEqual" allowBlank="1" showInputMessage="1" showErrorMessage="1" error="Insurer’s comments on TME data. (255 characters or less)." prompt="Insurer’s comments on TME data. " sqref="D11" xr:uid="{A4938A2B-05C6-4303-BAD6-A8A7EFC9B78F}"/>
    <dataValidation allowBlank="1" showInputMessage="1" showErrorMessage="1" prompt="Any Medicare Managed Care Organization must submit all names for which it is “doing business as” in the state of Connecticut." sqref="E11" xr:uid="{0F6CB156-B94A-4ECA-AB76-0D3288213D8F}"/>
  </dataValidations>
  <pageMargins left="0.7" right="0.7" top="0.75" bottom="0.75" header="0.3" footer="0.3"/>
  <pageSetup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D77FA-B62F-461D-8603-48944A4B847C}">
  <sheetPr>
    <tabColor theme="4"/>
  </sheetPr>
  <dimension ref="A1:AD200"/>
  <sheetViews>
    <sheetView zoomScaleNormal="100" workbookViewId="0"/>
  </sheetViews>
  <sheetFormatPr defaultColWidth="9.140625" defaultRowHeight="15" x14ac:dyDescent="0.25"/>
  <cols>
    <col min="1" max="13" width="19.7109375" customWidth="1"/>
    <col min="14" max="14" width="24.42578125" customWidth="1"/>
    <col min="15" max="30" width="19.7109375" customWidth="1"/>
  </cols>
  <sheetData>
    <row r="1" spans="1:30" x14ac:dyDescent="0.25">
      <c r="A1" s="1" t="s">
        <v>191</v>
      </c>
    </row>
    <row r="2" spans="1:30" ht="15.75" customHeight="1" thickBot="1" x14ac:dyDescent="0.3">
      <c r="A2" s="1" t="s">
        <v>208</v>
      </c>
    </row>
    <row r="3" spans="1:30" ht="30" customHeight="1" thickBot="1" x14ac:dyDescent="0.3">
      <c r="G3" s="316" t="s">
        <v>84</v>
      </c>
      <c r="H3" s="317" t="s">
        <v>209</v>
      </c>
      <c r="J3" s="328" t="s">
        <v>210</v>
      </c>
      <c r="K3" s="328"/>
      <c r="M3" s="326" t="s">
        <v>211</v>
      </c>
      <c r="N3" s="326"/>
      <c r="P3" s="326" t="s">
        <v>212</v>
      </c>
      <c r="Q3" s="326"/>
    </row>
    <row r="4" spans="1:30" ht="15.75" thickBot="1" x14ac:dyDescent="0.3">
      <c r="A4" t="s">
        <v>193</v>
      </c>
      <c r="C4" s="321" t="s">
        <v>194</v>
      </c>
      <c r="D4" s="322"/>
      <c r="E4" s="322"/>
      <c r="G4" s="318">
        <v>2</v>
      </c>
      <c r="H4" s="319">
        <f>'Data Validation'!C9</f>
        <v>32</v>
      </c>
      <c r="J4" s="327" t="str">
        <f>IF(AND(A11&lt;&gt;"", 'Data Validation'!C5&gt;0),"STOP - MISALIGNMENT IN MEMBER MONTHS WITH OTHER TABS FOR 2022 - CHECK DATA VALIDATION TAB.", "Good")</f>
        <v>Good</v>
      </c>
      <c r="K4" s="327"/>
      <c r="M4" s="325" t="str">
        <f>IF(AND(A11&lt;&gt;"", OR('Data Validation'!C8&gt;0, 'Data Validation'!D8&gt;0)),"STOP - MISALIGNMENT IN MEMBER MONTHS WITH OTHER TABS FOR 2022 - CHECK DATA VALIDATION TAB.", "Good")</f>
        <v>Good</v>
      </c>
      <c r="N4" s="325"/>
      <c r="P4" s="325" t="str">
        <f>IF(COUNTIF(AN_TME_BY[[#All],[Average Claims Truncated Per Member]], "&gt;250000")+COUNTIF(AN_TME_BY[[#All],[Total Claims Excluded (A19)/Total Non-Truncated Claims Expenses (A21)]], "&gt;10%")&gt;0, "STOP - see highlighted cells in A28 or A29", "Good")</f>
        <v>Good</v>
      </c>
      <c r="Q4" s="325"/>
    </row>
    <row r="5" spans="1:30" x14ac:dyDescent="0.25">
      <c r="A5" s="82" t="s">
        <v>213</v>
      </c>
      <c r="C5" s="322"/>
      <c r="D5" s="322"/>
      <c r="E5" s="322"/>
      <c r="J5" s="327"/>
      <c r="K5" s="327"/>
      <c r="M5" s="325"/>
      <c r="N5" s="325"/>
      <c r="P5" s="325"/>
      <c r="Q5" s="325"/>
    </row>
    <row r="6" spans="1:30" x14ac:dyDescent="0.25">
      <c r="J6" s="327"/>
      <c r="K6" s="327"/>
      <c r="M6" s="325"/>
      <c r="N6" s="325"/>
      <c r="P6" s="325"/>
      <c r="Q6" s="325"/>
    </row>
    <row r="9" spans="1:30" x14ac:dyDescent="0.25">
      <c r="D9" s="4" t="s">
        <v>214</v>
      </c>
      <c r="E9" s="4" t="s">
        <v>215</v>
      </c>
      <c r="F9" s="4" t="s">
        <v>216</v>
      </c>
      <c r="G9" s="4" t="s">
        <v>217</v>
      </c>
      <c r="H9" s="4" t="s">
        <v>218</v>
      </c>
      <c r="I9" s="4" t="s">
        <v>219</v>
      </c>
      <c r="J9" s="4" t="s">
        <v>220</v>
      </c>
      <c r="K9" s="4" t="s">
        <v>221</v>
      </c>
      <c r="L9" s="4" t="s">
        <v>222</v>
      </c>
      <c r="M9" s="4" t="s">
        <v>223</v>
      </c>
      <c r="N9" s="4" t="s">
        <v>224</v>
      </c>
      <c r="O9" s="4" t="s">
        <v>225</v>
      </c>
      <c r="P9" s="4" t="s">
        <v>226</v>
      </c>
      <c r="Q9" s="4" t="s">
        <v>227</v>
      </c>
      <c r="R9" s="4" t="s">
        <v>228</v>
      </c>
      <c r="S9" s="4" t="s">
        <v>229</v>
      </c>
      <c r="T9" s="4" t="s">
        <v>230</v>
      </c>
      <c r="U9" s="4" t="s">
        <v>231</v>
      </c>
      <c r="V9" s="4" t="s">
        <v>232</v>
      </c>
      <c r="W9" s="4" t="s">
        <v>233</v>
      </c>
      <c r="X9" s="4" t="s">
        <v>234</v>
      </c>
      <c r="Y9" s="4" t="s">
        <v>235</v>
      </c>
      <c r="Z9" s="83" t="s">
        <v>236</v>
      </c>
      <c r="AA9" s="83" t="s">
        <v>237</v>
      </c>
      <c r="AB9" s="4" t="s">
        <v>238</v>
      </c>
      <c r="AC9" s="4" t="s">
        <v>239</v>
      </c>
      <c r="AD9" s="4" t="s">
        <v>240</v>
      </c>
    </row>
    <row r="10" spans="1:30" ht="75" x14ac:dyDescent="0.25">
      <c r="A10" s="84" t="s">
        <v>241</v>
      </c>
      <c r="B10" s="85" t="s">
        <v>84</v>
      </c>
      <c r="C10" s="85" t="s">
        <v>118</v>
      </c>
      <c r="D10" s="85" t="s">
        <v>242</v>
      </c>
      <c r="E10" s="85" t="s">
        <v>132</v>
      </c>
      <c r="F10" s="85" t="s">
        <v>134</v>
      </c>
      <c r="G10" s="85" t="s">
        <v>136</v>
      </c>
      <c r="H10" s="85" t="s">
        <v>138</v>
      </c>
      <c r="I10" s="85" t="s">
        <v>140</v>
      </c>
      <c r="J10" s="85" t="s">
        <v>142</v>
      </c>
      <c r="K10" s="85" t="s">
        <v>144</v>
      </c>
      <c r="L10" s="85" t="s">
        <v>146</v>
      </c>
      <c r="M10" s="85" t="s">
        <v>148</v>
      </c>
      <c r="N10" s="85" t="s">
        <v>150</v>
      </c>
      <c r="O10" s="85" t="s">
        <v>152</v>
      </c>
      <c r="P10" s="85" t="s">
        <v>154</v>
      </c>
      <c r="Q10" s="85" t="s">
        <v>156</v>
      </c>
      <c r="R10" s="85" t="s">
        <v>158</v>
      </c>
      <c r="S10" s="85" t="s">
        <v>160</v>
      </c>
      <c r="T10" s="85" t="s">
        <v>162</v>
      </c>
      <c r="U10" s="85" t="s">
        <v>164</v>
      </c>
      <c r="V10" s="229" t="s">
        <v>243</v>
      </c>
      <c r="W10" s="229" t="s">
        <v>244</v>
      </c>
      <c r="X10" s="229" t="s">
        <v>245</v>
      </c>
      <c r="Y10" s="229" t="s">
        <v>246</v>
      </c>
      <c r="Z10" s="229" t="s">
        <v>247</v>
      </c>
      <c r="AA10" s="229" t="s">
        <v>248</v>
      </c>
      <c r="AB10" s="234" t="s">
        <v>249</v>
      </c>
      <c r="AC10" s="229" t="s">
        <v>250</v>
      </c>
      <c r="AD10" s="229" t="s">
        <v>251</v>
      </c>
    </row>
    <row r="11" spans="1:30" x14ac:dyDescent="0.25">
      <c r="A11" s="122"/>
      <c r="B11" s="104"/>
      <c r="C11" s="270"/>
      <c r="D11" s="293"/>
      <c r="E11" s="107"/>
      <c r="F11" s="107"/>
      <c r="G11" s="107"/>
      <c r="H11" s="107"/>
      <c r="I11" s="107"/>
      <c r="J11" s="107"/>
      <c r="K11" s="107"/>
      <c r="L11" s="107"/>
      <c r="M11" s="107"/>
      <c r="N11" s="107"/>
      <c r="O11" s="107"/>
      <c r="P11" s="107"/>
      <c r="Q11" s="107"/>
      <c r="R11" s="107"/>
      <c r="S11" s="107"/>
      <c r="T11" s="107"/>
      <c r="U11" s="262"/>
      <c r="V11" s="233">
        <f t="shared" ref="V11:V42" si="0">SUM(E11:G11)+SUM(I11:M11)</f>
        <v>0</v>
      </c>
      <c r="W11" s="233">
        <f>AN_TME_BY[[#This Row],[TOTAL Non-Truncated Unadjusted Claims Expenses]]-AN_TME_BY[[#This Row],[Total Claims Excluded because of Truncation]]</f>
        <v>0</v>
      </c>
      <c r="X11" s="233">
        <f t="shared" ref="X11:X42" si="1">SUM(N11:R11)</f>
        <v>0</v>
      </c>
      <c r="Y11" s="233">
        <f>AN_TME_BY[[#This Row],[TOTAL Non-Truncated Unadjusted Claims Expenses]]+AN_TME_BY[[#This Row],[TOTAL Non-Claims Expenses]]</f>
        <v>0</v>
      </c>
      <c r="Z11" s="233">
        <f>AN_TME_BY[[#This Row],[TOTAL Truncated Unadjusted Claims Expenses (A21 -A19)]]+AN_TME_BY[[#This Row],[TOTAL Non-Claims Expenses]]</f>
        <v>0</v>
      </c>
      <c r="AA11" s="261">
        <f>IFERROR(AN_TME_BY[[#This Row],[TOTAL Non-Truncated Unadjusted Expenses (A21 + A23)]]/AN_TME_BY[[#This Row],[Member Months]],0)</f>
        <v>0</v>
      </c>
      <c r="AB11" s="236">
        <f>IFERROR(AN_TME_BY[[#This Row],[TOTAL Truncated Unadjusted Expenses (A22 + A23)]]/AN_TME_BY[[#This Row],[Member Months]],0)</f>
        <v>0</v>
      </c>
      <c r="AC11" s="237">
        <f>IFERROR(AN_TME_BY[[#This Row],[Total Claims Excluded because of Truncation]]/AN_TME_BY[[#This Row],[Count of Members with Claims Truncated]], 0)</f>
        <v>0</v>
      </c>
      <c r="AD11" s="238">
        <f>IFERROR(AN_TME_BY[[#This Row],[Total Claims Excluded because of Truncation]]/AN_TME_BY[[#This Row],[TOTAL Non-Truncated Unadjusted Claims Expenses]], 0)</f>
        <v>0</v>
      </c>
    </row>
    <row r="12" spans="1:30" x14ac:dyDescent="0.25">
      <c r="A12" s="122"/>
      <c r="B12" s="104"/>
      <c r="C12" s="267"/>
      <c r="D12" s="293"/>
      <c r="E12" s="107"/>
      <c r="F12" s="107"/>
      <c r="G12" s="107"/>
      <c r="H12" s="107"/>
      <c r="I12" s="107"/>
      <c r="J12" s="107"/>
      <c r="K12" s="107"/>
      <c r="L12" s="107"/>
      <c r="M12" s="107"/>
      <c r="N12" s="107"/>
      <c r="O12" s="107"/>
      <c r="P12" s="107"/>
      <c r="Q12" s="107"/>
      <c r="R12" s="107"/>
      <c r="S12" s="110"/>
      <c r="T12" s="107"/>
      <c r="U12" s="262"/>
      <c r="V12" s="108">
        <f t="shared" si="0"/>
        <v>0</v>
      </c>
      <c r="W12" s="108">
        <f>AN_TME_BY[[#This Row],[TOTAL Non-Truncated Unadjusted Claims Expenses]]-AN_TME_BY[[#This Row],[Total Claims Excluded because of Truncation]]</f>
        <v>0</v>
      </c>
      <c r="X12" s="108">
        <f>SUM(N12:R12)</f>
        <v>0</v>
      </c>
      <c r="Y12" s="108">
        <f>AN_TME_BY[[#This Row],[TOTAL Non-Truncated Unadjusted Claims Expenses]]+AN_TME_BY[[#This Row],[TOTAL Non-Claims Expenses]]</f>
        <v>0</v>
      </c>
      <c r="Z12" s="108">
        <f>AN_TME_BY[[#This Row],[TOTAL Truncated Unadjusted Claims Expenses (A21 -A19)]]+AN_TME_BY[[#This Row],[TOTAL Non-Claims Expenses]]</f>
        <v>0</v>
      </c>
      <c r="AA12" s="235">
        <f>IFERROR(AN_TME_BY[[#This Row],[TOTAL Non-Truncated Unadjusted Expenses (A21 + A23)]]/AN_TME_BY[[#This Row],[Member Months]],0)</f>
        <v>0</v>
      </c>
      <c r="AB12" s="109">
        <f>IFERROR(AN_TME_BY[[#This Row],[TOTAL Truncated Unadjusted Expenses (A22 + A23)]]/AN_TME_BY[[#This Row],[Member Months]],0)</f>
        <v>0</v>
      </c>
      <c r="AC12" s="237">
        <f>IFERROR(AN_TME_BY[[#This Row],[Total Claims Excluded because of Truncation]]/AN_TME_BY[[#This Row],[Count of Members with Claims Truncated]], 0)</f>
        <v>0</v>
      </c>
      <c r="AD12" s="238">
        <f>IFERROR(AN_TME_BY[[#This Row],[Total Claims Excluded because of Truncation]]/AN_TME_BY[[#This Row],[TOTAL Non-Truncated Unadjusted Claims Expenses]], 0)</f>
        <v>0</v>
      </c>
    </row>
    <row r="13" spans="1:30" x14ac:dyDescent="0.25">
      <c r="A13" s="122"/>
      <c r="B13" s="104"/>
      <c r="C13" s="270"/>
      <c r="D13" s="294"/>
      <c r="E13" s="110"/>
      <c r="F13" s="110"/>
      <c r="G13" s="110"/>
      <c r="H13" s="110"/>
      <c r="I13" s="110"/>
      <c r="J13" s="110"/>
      <c r="K13" s="110"/>
      <c r="L13" s="110"/>
      <c r="M13" s="110"/>
      <c r="N13" s="110"/>
      <c r="O13" s="110"/>
      <c r="P13" s="110"/>
      <c r="Q13" s="110"/>
      <c r="R13" s="110"/>
      <c r="S13" s="110"/>
      <c r="T13" s="110"/>
      <c r="U13" s="263"/>
      <c r="V13" s="108">
        <f t="shared" si="0"/>
        <v>0</v>
      </c>
      <c r="W13" s="108">
        <f>AN_TME_BY[[#This Row],[TOTAL Non-Truncated Unadjusted Claims Expenses]]-AN_TME_BY[[#This Row],[Total Claims Excluded because of Truncation]]</f>
        <v>0</v>
      </c>
      <c r="X13" s="108">
        <f t="shared" si="1"/>
        <v>0</v>
      </c>
      <c r="Y13" s="108">
        <f>AN_TME_BY[[#This Row],[TOTAL Non-Truncated Unadjusted Claims Expenses]]+AN_TME_BY[[#This Row],[TOTAL Non-Claims Expenses]]</f>
        <v>0</v>
      </c>
      <c r="Z13" s="108">
        <f>AN_TME_BY[[#This Row],[TOTAL Truncated Unadjusted Claims Expenses (A21 -A19)]]+AN_TME_BY[[#This Row],[TOTAL Non-Claims Expenses]]</f>
        <v>0</v>
      </c>
      <c r="AA13" s="235">
        <f>IFERROR(AN_TME_BY[[#This Row],[TOTAL Non-Truncated Unadjusted Expenses (A21 + A23)]]/AN_TME_BY[[#This Row],[Member Months]],0)</f>
        <v>0</v>
      </c>
      <c r="AB13" s="109">
        <f>IFERROR(AN_TME_BY[[#This Row],[TOTAL Truncated Unadjusted Expenses (A22 + A23)]]/AN_TME_BY[[#This Row],[Member Months]],0)</f>
        <v>0</v>
      </c>
      <c r="AC13" s="237">
        <f>IFERROR(AN_TME_BY[[#This Row],[Total Claims Excluded because of Truncation]]/AN_TME_BY[[#This Row],[Count of Members with Claims Truncated]], 0)</f>
        <v>0</v>
      </c>
      <c r="AD13" s="238">
        <f>IFERROR(AN_TME_BY[[#This Row],[Total Claims Excluded because of Truncation]]/AN_TME_BY[[#This Row],[TOTAL Non-Truncated Unadjusted Claims Expenses]], 0)</f>
        <v>0</v>
      </c>
    </row>
    <row r="14" spans="1:30" x14ac:dyDescent="0.25">
      <c r="A14" s="122"/>
      <c r="B14" s="104"/>
      <c r="C14" s="267"/>
      <c r="D14" s="294"/>
      <c r="E14" s="110"/>
      <c r="F14" s="110"/>
      <c r="G14" s="110"/>
      <c r="H14" s="110"/>
      <c r="I14" s="110"/>
      <c r="J14" s="110"/>
      <c r="K14" s="110"/>
      <c r="L14" s="110"/>
      <c r="M14" s="110"/>
      <c r="N14" s="110"/>
      <c r="O14" s="110"/>
      <c r="P14" s="110"/>
      <c r="Q14" s="110"/>
      <c r="R14" s="110"/>
      <c r="S14" s="110"/>
      <c r="T14" s="110"/>
      <c r="U14" s="263"/>
      <c r="V14" s="108">
        <f t="shared" si="0"/>
        <v>0</v>
      </c>
      <c r="W14" s="108">
        <f>AN_TME_BY[[#This Row],[TOTAL Non-Truncated Unadjusted Claims Expenses]]-AN_TME_BY[[#This Row],[Total Claims Excluded because of Truncation]]</f>
        <v>0</v>
      </c>
      <c r="X14" s="108">
        <f t="shared" si="1"/>
        <v>0</v>
      </c>
      <c r="Y14" s="108">
        <f>AN_TME_BY[[#This Row],[TOTAL Non-Truncated Unadjusted Claims Expenses]]+AN_TME_BY[[#This Row],[TOTAL Non-Claims Expenses]]</f>
        <v>0</v>
      </c>
      <c r="Z14" s="108">
        <f>AN_TME_BY[[#This Row],[TOTAL Truncated Unadjusted Claims Expenses (A21 -A19)]]+AN_TME_BY[[#This Row],[TOTAL Non-Claims Expenses]]</f>
        <v>0</v>
      </c>
      <c r="AA14" s="235">
        <f>IFERROR(AN_TME_BY[[#This Row],[TOTAL Non-Truncated Unadjusted Expenses (A21 + A23)]]/AN_TME_BY[[#This Row],[Member Months]],0)</f>
        <v>0</v>
      </c>
      <c r="AB14" s="109">
        <f>IFERROR(AN_TME_BY[[#This Row],[TOTAL Truncated Unadjusted Expenses (A22 + A23)]]/AN_TME_BY[[#This Row],[Member Months]],0)</f>
        <v>0</v>
      </c>
      <c r="AC14" s="237">
        <f>IFERROR(AN_TME_BY[[#This Row],[Total Claims Excluded because of Truncation]]/AN_TME_BY[[#This Row],[Count of Members with Claims Truncated]], 0)</f>
        <v>0</v>
      </c>
      <c r="AD14" s="238">
        <f>IFERROR(AN_TME_BY[[#This Row],[Total Claims Excluded because of Truncation]]/AN_TME_BY[[#This Row],[TOTAL Non-Truncated Unadjusted Claims Expenses]], 0)</f>
        <v>0</v>
      </c>
    </row>
    <row r="15" spans="1:30" x14ac:dyDescent="0.25">
      <c r="A15" s="122"/>
      <c r="B15" s="104"/>
      <c r="C15" s="270"/>
      <c r="D15" s="294"/>
      <c r="E15" s="110"/>
      <c r="F15" s="110"/>
      <c r="G15" s="110"/>
      <c r="H15" s="110"/>
      <c r="I15" s="110"/>
      <c r="J15" s="110"/>
      <c r="K15" s="110"/>
      <c r="L15" s="110"/>
      <c r="M15" s="110"/>
      <c r="N15" s="110"/>
      <c r="O15" s="110"/>
      <c r="P15" s="110"/>
      <c r="Q15" s="110"/>
      <c r="R15" s="110"/>
      <c r="S15" s="110"/>
      <c r="T15" s="110"/>
      <c r="U15" s="263"/>
      <c r="V15" s="108">
        <f t="shared" si="0"/>
        <v>0</v>
      </c>
      <c r="W15" s="108">
        <f>AN_TME_BY[[#This Row],[TOTAL Non-Truncated Unadjusted Claims Expenses]]-AN_TME_BY[[#This Row],[Total Claims Excluded because of Truncation]]</f>
        <v>0</v>
      </c>
      <c r="X15" s="108">
        <f t="shared" si="1"/>
        <v>0</v>
      </c>
      <c r="Y15" s="108">
        <f>AN_TME_BY[[#This Row],[TOTAL Non-Truncated Unadjusted Claims Expenses]]+AN_TME_BY[[#This Row],[TOTAL Non-Claims Expenses]]</f>
        <v>0</v>
      </c>
      <c r="Z15" s="108">
        <f>AN_TME_BY[[#This Row],[TOTAL Truncated Unadjusted Claims Expenses (A21 -A19)]]+AN_TME_BY[[#This Row],[TOTAL Non-Claims Expenses]]</f>
        <v>0</v>
      </c>
      <c r="AA15" s="235">
        <f>IFERROR(AN_TME_BY[[#This Row],[TOTAL Non-Truncated Unadjusted Expenses (A21 + A23)]]/AN_TME_BY[[#This Row],[Member Months]],0)</f>
        <v>0</v>
      </c>
      <c r="AB15" s="109">
        <f>IFERROR(AN_TME_BY[[#This Row],[TOTAL Truncated Unadjusted Expenses (A22 + A23)]]/AN_TME_BY[[#This Row],[Member Months]],0)</f>
        <v>0</v>
      </c>
      <c r="AC15" s="237">
        <f>IFERROR(AN_TME_BY[[#This Row],[Total Claims Excluded because of Truncation]]/AN_TME_BY[[#This Row],[Count of Members with Claims Truncated]], 0)</f>
        <v>0</v>
      </c>
      <c r="AD15" s="238">
        <f>IFERROR(AN_TME_BY[[#This Row],[Total Claims Excluded because of Truncation]]/AN_TME_BY[[#This Row],[TOTAL Non-Truncated Unadjusted Claims Expenses]], 0)</f>
        <v>0</v>
      </c>
    </row>
    <row r="16" spans="1:30" x14ac:dyDescent="0.25">
      <c r="A16" s="122"/>
      <c r="B16" s="104"/>
      <c r="C16" s="267"/>
      <c r="D16" s="294"/>
      <c r="E16" s="110"/>
      <c r="F16" s="110"/>
      <c r="G16" s="110"/>
      <c r="H16" s="110"/>
      <c r="I16" s="110"/>
      <c r="J16" s="110"/>
      <c r="K16" s="110"/>
      <c r="L16" s="110"/>
      <c r="M16" s="110"/>
      <c r="N16" s="110"/>
      <c r="O16" s="110"/>
      <c r="P16" s="110"/>
      <c r="Q16" s="110"/>
      <c r="R16" s="110"/>
      <c r="S16" s="110"/>
      <c r="T16" s="110"/>
      <c r="U16" s="263"/>
      <c r="V16" s="108">
        <f t="shared" si="0"/>
        <v>0</v>
      </c>
      <c r="W16" s="108">
        <f>AN_TME_BY[[#This Row],[TOTAL Non-Truncated Unadjusted Claims Expenses]]-AN_TME_BY[[#This Row],[Total Claims Excluded because of Truncation]]</f>
        <v>0</v>
      </c>
      <c r="X16" s="108">
        <f t="shared" si="1"/>
        <v>0</v>
      </c>
      <c r="Y16" s="108">
        <f>AN_TME_BY[[#This Row],[TOTAL Non-Truncated Unadjusted Claims Expenses]]+AN_TME_BY[[#This Row],[TOTAL Non-Claims Expenses]]</f>
        <v>0</v>
      </c>
      <c r="Z16" s="108">
        <f>AN_TME_BY[[#This Row],[TOTAL Truncated Unadjusted Claims Expenses (A21 -A19)]]+AN_TME_BY[[#This Row],[TOTAL Non-Claims Expenses]]</f>
        <v>0</v>
      </c>
      <c r="AA16" s="235">
        <f>IFERROR(AN_TME_BY[[#This Row],[TOTAL Non-Truncated Unadjusted Expenses (A21 + A23)]]/AN_TME_BY[[#This Row],[Member Months]],0)</f>
        <v>0</v>
      </c>
      <c r="AB16" s="109">
        <f>IFERROR(AN_TME_BY[[#This Row],[TOTAL Truncated Unadjusted Expenses (A22 + A23)]]/AN_TME_BY[[#This Row],[Member Months]],0)</f>
        <v>0</v>
      </c>
      <c r="AC16" s="237">
        <f>IFERROR(AN_TME_BY[[#This Row],[Total Claims Excluded because of Truncation]]/AN_TME_BY[[#This Row],[Count of Members with Claims Truncated]], 0)</f>
        <v>0</v>
      </c>
      <c r="AD16" s="238">
        <f>IFERROR(AN_TME_BY[[#This Row],[Total Claims Excluded because of Truncation]]/AN_TME_BY[[#This Row],[TOTAL Non-Truncated Unadjusted Claims Expenses]], 0)</f>
        <v>0</v>
      </c>
    </row>
    <row r="17" spans="1:30" x14ac:dyDescent="0.25">
      <c r="A17" s="122"/>
      <c r="B17" s="104"/>
      <c r="C17" s="270"/>
      <c r="D17" s="294"/>
      <c r="E17" s="110"/>
      <c r="F17" s="110"/>
      <c r="G17" s="110"/>
      <c r="H17" s="110"/>
      <c r="I17" s="110"/>
      <c r="J17" s="110"/>
      <c r="K17" s="110"/>
      <c r="L17" s="110"/>
      <c r="M17" s="110"/>
      <c r="N17" s="110"/>
      <c r="O17" s="110"/>
      <c r="P17" s="110"/>
      <c r="Q17" s="110"/>
      <c r="R17" s="110"/>
      <c r="S17" s="110"/>
      <c r="T17" s="110"/>
      <c r="U17" s="263"/>
      <c r="V17" s="108">
        <f t="shared" si="0"/>
        <v>0</v>
      </c>
      <c r="W17" s="108">
        <f>AN_TME_BY[[#This Row],[TOTAL Non-Truncated Unadjusted Claims Expenses]]-AN_TME_BY[[#This Row],[Total Claims Excluded because of Truncation]]</f>
        <v>0</v>
      </c>
      <c r="X17" s="108">
        <f t="shared" si="1"/>
        <v>0</v>
      </c>
      <c r="Y17" s="108">
        <f>AN_TME_BY[[#This Row],[TOTAL Non-Truncated Unadjusted Claims Expenses]]+AN_TME_BY[[#This Row],[TOTAL Non-Claims Expenses]]</f>
        <v>0</v>
      </c>
      <c r="Z17" s="108">
        <f>AN_TME_BY[[#This Row],[TOTAL Truncated Unadjusted Claims Expenses (A21 -A19)]]+AN_TME_BY[[#This Row],[TOTAL Non-Claims Expenses]]</f>
        <v>0</v>
      </c>
      <c r="AA17" s="235">
        <f>IFERROR(AN_TME_BY[[#This Row],[TOTAL Non-Truncated Unadjusted Expenses (A21 + A23)]]/AN_TME_BY[[#This Row],[Member Months]],0)</f>
        <v>0</v>
      </c>
      <c r="AB17" s="109">
        <f>IFERROR(AN_TME_BY[[#This Row],[TOTAL Truncated Unadjusted Expenses (A22 + A23)]]/AN_TME_BY[[#This Row],[Member Months]],0)</f>
        <v>0</v>
      </c>
      <c r="AC17" s="237">
        <f>IFERROR(AN_TME_BY[[#This Row],[Total Claims Excluded because of Truncation]]/AN_TME_BY[[#This Row],[Count of Members with Claims Truncated]], 0)</f>
        <v>0</v>
      </c>
      <c r="AD17" s="238">
        <f>IFERROR(AN_TME_BY[[#This Row],[Total Claims Excluded because of Truncation]]/AN_TME_BY[[#This Row],[TOTAL Non-Truncated Unadjusted Claims Expenses]], 0)</f>
        <v>0</v>
      </c>
    </row>
    <row r="18" spans="1:30" x14ac:dyDescent="0.25">
      <c r="A18" s="122"/>
      <c r="B18" s="104"/>
      <c r="C18" s="267"/>
      <c r="D18" s="294"/>
      <c r="E18" s="110"/>
      <c r="F18" s="110"/>
      <c r="G18" s="110"/>
      <c r="H18" s="110"/>
      <c r="I18" s="110"/>
      <c r="J18" s="110"/>
      <c r="K18" s="110"/>
      <c r="L18" s="110"/>
      <c r="M18" s="110"/>
      <c r="N18" s="110"/>
      <c r="O18" s="110"/>
      <c r="P18" s="110"/>
      <c r="Q18" s="110"/>
      <c r="R18" s="110"/>
      <c r="S18" s="110"/>
      <c r="T18" s="110"/>
      <c r="U18" s="263"/>
      <c r="V18" s="108">
        <f t="shared" si="0"/>
        <v>0</v>
      </c>
      <c r="W18" s="108">
        <f>AN_TME_BY[[#This Row],[TOTAL Non-Truncated Unadjusted Claims Expenses]]-AN_TME_BY[[#This Row],[Total Claims Excluded because of Truncation]]</f>
        <v>0</v>
      </c>
      <c r="X18" s="108">
        <f t="shared" si="1"/>
        <v>0</v>
      </c>
      <c r="Y18" s="108">
        <f>AN_TME_BY[[#This Row],[TOTAL Non-Truncated Unadjusted Claims Expenses]]+AN_TME_BY[[#This Row],[TOTAL Non-Claims Expenses]]</f>
        <v>0</v>
      </c>
      <c r="Z18" s="108">
        <f>AN_TME_BY[[#This Row],[TOTAL Truncated Unadjusted Claims Expenses (A21 -A19)]]+AN_TME_BY[[#This Row],[TOTAL Non-Claims Expenses]]</f>
        <v>0</v>
      </c>
      <c r="AA18" s="235">
        <f>IFERROR(AN_TME_BY[[#This Row],[TOTAL Non-Truncated Unadjusted Expenses (A21 + A23)]]/AN_TME_BY[[#This Row],[Member Months]],0)</f>
        <v>0</v>
      </c>
      <c r="AB18" s="109">
        <f>IFERROR(AN_TME_BY[[#This Row],[TOTAL Truncated Unadjusted Expenses (A22 + A23)]]/AN_TME_BY[[#This Row],[Member Months]],0)</f>
        <v>0</v>
      </c>
      <c r="AC18" s="237">
        <f>IFERROR(AN_TME_BY[[#This Row],[Total Claims Excluded because of Truncation]]/AN_TME_BY[[#This Row],[Count of Members with Claims Truncated]], 0)</f>
        <v>0</v>
      </c>
      <c r="AD18" s="238">
        <f>IFERROR(AN_TME_BY[[#This Row],[Total Claims Excluded because of Truncation]]/AN_TME_BY[[#This Row],[TOTAL Non-Truncated Unadjusted Claims Expenses]], 0)</f>
        <v>0</v>
      </c>
    </row>
    <row r="19" spans="1:30" x14ac:dyDescent="0.25">
      <c r="A19" s="122"/>
      <c r="B19" s="104"/>
      <c r="C19" s="270"/>
      <c r="D19" s="294"/>
      <c r="E19" s="110"/>
      <c r="F19" s="110"/>
      <c r="G19" s="110"/>
      <c r="H19" s="110"/>
      <c r="I19" s="110"/>
      <c r="J19" s="110"/>
      <c r="K19" s="110"/>
      <c r="L19" s="110"/>
      <c r="M19" s="110"/>
      <c r="N19" s="110"/>
      <c r="O19" s="110"/>
      <c r="P19" s="110"/>
      <c r="Q19" s="110"/>
      <c r="R19" s="110"/>
      <c r="S19" s="110"/>
      <c r="T19" s="110"/>
      <c r="U19" s="263"/>
      <c r="V19" s="108">
        <f t="shared" si="0"/>
        <v>0</v>
      </c>
      <c r="W19" s="108">
        <f>AN_TME_BY[[#This Row],[TOTAL Non-Truncated Unadjusted Claims Expenses]]-AN_TME_BY[[#This Row],[Total Claims Excluded because of Truncation]]</f>
        <v>0</v>
      </c>
      <c r="X19" s="108">
        <f t="shared" si="1"/>
        <v>0</v>
      </c>
      <c r="Y19" s="108">
        <f>AN_TME_BY[[#This Row],[TOTAL Non-Truncated Unadjusted Claims Expenses]]+AN_TME_BY[[#This Row],[TOTAL Non-Claims Expenses]]</f>
        <v>0</v>
      </c>
      <c r="Z19" s="108">
        <f>AN_TME_BY[[#This Row],[TOTAL Truncated Unadjusted Claims Expenses (A21 -A19)]]+AN_TME_BY[[#This Row],[TOTAL Non-Claims Expenses]]</f>
        <v>0</v>
      </c>
      <c r="AA19" s="235">
        <f>IFERROR(AN_TME_BY[[#This Row],[TOTAL Non-Truncated Unadjusted Expenses (A21 + A23)]]/AN_TME_BY[[#This Row],[Member Months]],0)</f>
        <v>0</v>
      </c>
      <c r="AB19" s="109">
        <f>IFERROR(AN_TME_BY[[#This Row],[TOTAL Truncated Unadjusted Expenses (A22 + A23)]]/AN_TME_BY[[#This Row],[Member Months]],0)</f>
        <v>0</v>
      </c>
      <c r="AC19" s="237">
        <f>IFERROR(AN_TME_BY[[#This Row],[Total Claims Excluded because of Truncation]]/AN_TME_BY[[#This Row],[Count of Members with Claims Truncated]], 0)</f>
        <v>0</v>
      </c>
      <c r="AD19" s="238">
        <f>IFERROR(AN_TME_BY[[#This Row],[Total Claims Excluded because of Truncation]]/AN_TME_BY[[#This Row],[TOTAL Non-Truncated Unadjusted Claims Expenses]], 0)</f>
        <v>0</v>
      </c>
    </row>
    <row r="20" spans="1:30" x14ac:dyDescent="0.25">
      <c r="A20" s="122"/>
      <c r="B20" s="104"/>
      <c r="C20" s="267"/>
      <c r="D20" s="294"/>
      <c r="E20" s="110"/>
      <c r="F20" s="110"/>
      <c r="G20" s="110"/>
      <c r="H20" s="110"/>
      <c r="I20" s="110"/>
      <c r="J20" s="110"/>
      <c r="K20" s="110"/>
      <c r="L20" s="110"/>
      <c r="M20" s="110"/>
      <c r="N20" s="110"/>
      <c r="O20" s="110"/>
      <c r="P20" s="110"/>
      <c r="Q20" s="110"/>
      <c r="R20" s="110"/>
      <c r="S20" s="110"/>
      <c r="T20" s="110"/>
      <c r="U20" s="263"/>
      <c r="V20" s="108">
        <f t="shared" si="0"/>
        <v>0</v>
      </c>
      <c r="W20" s="108">
        <f>AN_TME_BY[[#This Row],[TOTAL Non-Truncated Unadjusted Claims Expenses]]-AN_TME_BY[[#This Row],[Total Claims Excluded because of Truncation]]</f>
        <v>0</v>
      </c>
      <c r="X20" s="108">
        <f t="shared" si="1"/>
        <v>0</v>
      </c>
      <c r="Y20" s="108">
        <f>AN_TME_BY[[#This Row],[TOTAL Non-Truncated Unadjusted Claims Expenses]]+AN_TME_BY[[#This Row],[TOTAL Non-Claims Expenses]]</f>
        <v>0</v>
      </c>
      <c r="Z20" s="108">
        <f>AN_TME_BY[[#This Row],[TOTAL Truncated Unadjusted Claims Expenses (A21 -A19)]]+AN_TME_BY[[#This Row],[TOTAL Non-Claims Expenses]]</f>
        <v>0</v>
      </c>
      <c r="AA20" s="235">
        <f>IFERROR(AN_TME_BY[[#This Row],[TOTAL Non-Truncated Unadjusted Expenses (A21 + A23)]]/AN_TME_BY[[#This Row],[Member Months]],0)</f>
        <v>0</v>
      </c>
      <c r="AB20" s="109">
        <f>IFERROR(AN_TME_BY[[#This Row],[TOTAL Truncated Unadjusted Expenses (A22 + A23)]]/AN_TME_BY[[#This Row],[Member Months]],0)</f>
        <v>0</v>
      </c>
      <c r="AC20" s="237">
        <f>IFERROR(AN_TME_BY[[#This Row],[Total Claims Excluded because of Truncation]]/AN_TME_BY[[#This Row],[Count of Members with Claims Truncated]], 0)</f>
        <v>0</v>
      </c>
      <c r="AD20" s="238">
        <f>IFERROR(AN_TME_BY[[#This Row],[Total Claims Excluded because of Truncation]]/AN_TME_BY[[#This Row],[TOTAL Non-Truncated Unadjusted Claims Expenses]], 0)</f>
        <v>0</v>
      </c>
    </row>
    <row r="21" spans="1:30" x14ac:dyDescent="0.25">
      <c r="A21" s="122"/>
      <c r="B21" s="104"/>
      <c r="C21" s="270"/>
      <c r="D21" s="294"/>
      <c r="E21" s="110"/>
      <c r="F21" s="110"/>
      <c r="G21" s="110"/>
      <c r="H21" s="110"/>
      <c r="I21" s="110"/>
      <c r="J21" s="110"/>
      <c r="K21" s="110"/>
      <c r="L21" s="110"/>
      <c r="M21" s="110"/>
      <c r="N21" s="110"/>
      <c r="O21" s="110"/>
      <c r="P21" s="110"/>
      <c r="Q21" s="110"/>
      <c r="R21" s="110"/>
      <c r="S21" s="110"/>
      <c r="T21" s="110"/>
      <c r="U21" s="263"/>
      <c r="V21" s="108">
        <f t="shared" si="0"/>
        <v>0</v>
      </c>
      <c r="W21" s="108">
        <f>AN_TME_BY[[#This Row],[TOTAL Non-Truncated Unadjusted Claims Expenses]]-AN_TME_BY[[#This Row],[Total Claims Excluded because of Truncation]]</f>
        <v>0</v>
      </c>
      <c r="X21" s="108">
        <f t="shared" si="1"/>
        <v>0</v>
      </c>
      <c r="Y21" s="108">
        <f>AN_TME_BY[[#This Row],[TOTAL Non-Truncated Unadjusted Claims Expenses]]+AN_TME_BY[[#This Row],[TOTAL Non-Claims Expenses]]</f>
        <v>0</v>
      </c>
      <c r="Z21" s="108">
        <f>AN_TME_BY[[#This Row],[TOTAL Truncated Unadjusted Claims Expenses (A21 -A19)]]+AN_TME_BY[[#This Row],[TOTAL Non-Claims Expenses]]</f>
        <v>0</v>
      </c>
      <c r="AA21" s="235">
        <f>IFERROR(AN_TME_BY[[#This Row],[TOTAL Non-Truncated Unadjusted Expenses (A21 + A23)]]/AN_TME_BY[[#This Row],[Member Months]],0)</f>
        <v>0</v>
      </c>
      <c r="AB21" s="109">
        <f>IFERROR(AN_TME_BY[[#This Row],[TOTAL Truncated Unadjusted Expenses (A22 + A23)]]/AN_TME_BY[[#This Row],[Member Months]],0)</f>
        <v>0</v>
      </c>
      <c r="AC21" s="237">
        <f>IFERROR(AN_TME_BY[[#This Row],[Total Claims Excluded because of Truncation]]/AN_TME_BY[[#This Row],[Count of Members with Claims Truncated]], 0)</f>
        <v>0</v>
      </c>
      <c r="AD21" s="238">
        <f>IFERROR(AN_TME_BY[[#This Row],[Total Claims Excluded because of Truncation]]/AN_TME_BY[[#This Row],[TOTAL Non-Truncated Unadjusted Claims Expenses]], 0)</f>
        <v>0</v>
      </c>
    </row>
    <row r="22" spans="1:30" x14ac:dyDescent="0.25">
      <c r="A22" s="122"/>
      <c r="B22" s="104"/>
      <c r="C22" s="267"/>
      <c r="D22" s="294"/>
      <c r="E22" s="110"/>
      <c r="F22" s="110"/>
      <c r="G22" s="110"/>
      <c r="H22" s="110"/>
      <c r="I22" s="110"/>
      <c r="J22" s="110"/>
      <c r="K22" s="110"/>
      <c r="L22" s="110"/>
      <c r="M22" s="110"/>
      <c r="N22" s="110"/>
      <c r="O22" s="110"/>
      <c r="P22" s="110"/>
      <c r="Q22" s="110"/>
      <c r="R22" s="110"/>
      <c r="S22" s="110"/>
      <c r="T22" s="110"/>
      <c r="U22" s="263"/>
      <c r="V22" s="108">
        <f t="shared" si="0"/>
        <v>0</v>
      </c>
      <c r="W22" s="108">
        <f>AN_TME_BY[[#This Row],[TOTAL Non-Truncated Unadjusted Claims Expenses]]-AN_TME_BY[[#This Row],[Total Claims Excluded because of Truncation]]</f>
        <v>0</v>
      </c>
      <c r="X22" s="108">
        <f t="shared" si="1"/>
        <v>0</v>
      </c>
      <c r="Y22" s="108">
        <f>AN_TME_BY[[#This Row],[TOTAL Non-Truncated Unadjusted Claims Expenses]]+AN_TME_BY[[#This Row],[TOTAL Non-Claims Expenses]]</f>
        <v>0</v>
      </c>
      <c r="Z22" s="108">
        <f>AN_TME_BY[[#This Row],[TOTAL Truncated Unadjusted Claims Expenses (A21 -A19)]]+AN_TME_BY[[#This Row],[TOTAL Non-Claims Expenses]]</f>
        <v>0</v>
      </c>
      <c r="AA22" s="235">
        <f>IFERROR(AN_TME_BY[[#This Row],[TOTAL Non-Truncated Unadjusted Expenses (A21 + A23)]]/AN_TME_BY[[#This Row],[Member Months]],0)</f>
        <v>0</v>
      </c>
      <c r="AB22" s="109">
        <f>IFERROR(AN_TME_BY[[#This Row],[TOTAL Truncated Unadjusted Expenses (A22 + A23)]]/AN_TME_BY[[#This Row],[Member Months]],0)</f>
        <v>0</v>
      </c>
      <c r="AC22" s="237">
        <f>IFERROR(AN_TME_BY[[#This Row],[Total Claims Excluded because of Truncation]]/AN_TME_BY[[#This Row],[Count of Members with Claims Truncated]], 0)</f>
        <v>0</v>
      </c>
      <c r="AD22" s="238">
        <f>IFERROR(AN_TME_BY[[#This Row],[Total Claims Excluded because of Truncation]]/AN_TME_BY[[#This Row],[TOTAL Non-Truncated Unadjusted Claims Expenses]], 0)</f>
        <v>0</v>
      </c>
    </row>
    <row r="23" spans="1:30" x14ac:dyDescent="0.25">
      <c r="A23" s="122"/>
      <c r="B23" s="104"/>
      <c r="C23" s="270"/>
      <c r="D23" s="294"/>
      <c r="E23" s="110"/>
      <c r="F23" s="110"/>
      <c r="G23" s="110"/>
      <c r="H23" s="110"/>
      <c r="I23" s="110"/>
      <c r="J23" s="110"/>
      <c r="K23" s="110"/>
      <c r="L23" s="110"/>
      <c r="M23" s="110"/>
      <c r="N23" s="110"/>
      <c r="O23" s="110"/>
      <c r="P23" s="110"/>
      <c r="Q23" s="110"/>
      <c r="R23" s="110"/>
      <c r="S23" s="110"/>
      <c r="T23" s="110"/>
      <c r="U23" s="263"/>
      <c r="V23" s="108">
        <f t="shared" si="0"/>
        <v>0</v>
      </c>
      <c r="W23" s="108">
        <f>AN_TME_BY[[#This Row],[TOTAL Non-Truncated Unadjusted Claims Expenses]]-AN_TME_BY[[#This Row],[Total Claims Excluded because of Truncation]]</f>
        <v>0</v>
      </c>
      <c r="X23" s="108">
        <f t="shared" si="1"/>
        <v>0</v>
      </c>
      <c r="Y23" s="108">
        <f>AN_TME_BY[[#This Row],[TOTAL Non-Truncated Unadjusted Claims Expenses]]+AN_TME_BY[[#This Row],[TOTAL Non-Claims Expenses]]</f>
        <v>0</v>
      </c>
      <c r="Z23" s="108">
        <f>AN_TME_BY[[#This Row],[TOTAL Truncated Unadjusted Claims Expenses (A21 -A19)]]+AN_TME_BY[[#This Row],[TOTAL Non-Claims Expenses]]</f>
        <v>0</v>
      </c>
      <c r="AA23" s="235">
        <f>IFERROR(AN_TME_BY[[#This Row],[TOTAL Non-Truncated Unadjusted Expenses (A21 + A23)]]/AN_TME_BY[[#This Row],[Member Months]],0)</f>
        <v>0</v>
      </c>
      <c r="AB23" s="109">
        <f>IFERROR(AN_TME_BY[[#This Row],[TOTAL Truncated Unadjusted Expenses (A22 + A23)]]/AN_TME_BY[[#This Row],[Member Months]],0)</f>
        <v>0</v>
      </c>
      <c r="AC23" s="237">
        <f>IFERROR(AN_TME_BY[[#This Row],[Total Claims Excluded because of Truncation]]/AN_TME_BY[[#This Row],[Count of Members with Claims Truncated]], 0)</f>
        <v>0</v>
      </c>
      <c r="AD23" s="238">
        <f>IFERROR(AN_TME_BY[[#This Row],[Total Claims Excluded because of Truncation]]/AN_TME_BY[[#This Row],[TOTAL Non-Truncated Unadjusted Claims Expenses]], 0)</f>
        <v>0</v>
      </c>
    </row>
    <row r="24" spans="1:30" x14ac:dyDescent="0.25">
      <c r="A24" s="122"/>
      <c r="B24" s="104"/>
      <c r="C24" s="267"/>
      <c r="D24" s="294"/>
      <c r="E24" s="110"/>
      <c r="F24" s="110"/>
      <c r="G24" s="110"/>
      <c r="H24" s="110"/>
      <c r="I24" s="110"/>
      <c r="J24" s="110"/>
      <c r="K24" s="110"/>
      <c r="L24" s="110"/>
      <c r="M24" s="110"/>
      <c r="N24" s="110"/>
      <c r="O24" s="110"/>
      <c r="P24" s="110"/>
      <c r="Q24" s="110"/>
      <c r="R24" s="110"/>
      <c r="S24" s="110"/>
      <c r="T24" s="110"/>
      <c r="U24" s="263"/>
      <c r="V24" s="108">
        <f t="shared" si="0"/>
        <v>0</v>
      </c>
      <c r="W24" s="108">
        <f>AN_TME_BY[[#This Row],[TOTAL Non-Truncated Unadjusted Claims Expenses]]-AN_TME_BY[[#This Row],[Total Claims Excluded because of Truncation]]</f>
        <v>0</v>
      </c>
      <c r="X24" s="108">
        <f t="shared" si="1"/>
        <v>0</v>
      </c>
      <c r="Y24" s="108">
        <f>AN_TME_BY[[#This Row],[TOTAL Non-Truncated Unadjusted Claims Expenses]]+AN_TME_BY[[#This Row],[TOTAL Non-Claims Expenses]]</f>
        <v>0</v>
      </c>
      <c r="Z24" s="108">
        <f>AN_TME_BY[[#This Row],[TOTAL Truncated Unadjusted Claims Expenses (A21 -A19)]]+AN_TME_BY[[#This Row],[TOTAL Non-Claims Expenses]]</f>
        <v>0</v>
      </c>
      <c r="AA24" s="235">
        <f>IFERROR(AN_TME_BY[[#This Row],[TOTAL Non-Truncated Unadjusted Expenses (A21 + A23)]]/AN_TME_BY[[#This Row],[Member Months]],0)</f>
        <v>0</v>
      </c>
      <c r="AB24" s="109">
        <f>IFERROR(AN_TME_BY[[#This Row],[TOTAL Truncated Unadjusted Expenses (A22 + A23)]]/AN_TME_BY[[#This Row],[Member Months]],0)</f>
        <v>0</v>
      </c>
      <c r="AC24" s="237">
        <f>IFERROR(AN_TME_BY[[#This Row],[Total Claims Excluded because of Truncation]]/AN_TME_BY[[#This Row],[Count of Members with Claims Truncated]], 0)</f>
        <v>0</v>
      </c>
      <c r="AD24" s="238">
        <f>IFERROR(AN_TME_BY[[#This Row],[Total Claims Excluded because of Truncation]]/AN_TME_BY[[#This Row],[TOTAL Non-Truncated Unadjusted Claims Expenses]], 0)</f>
        <v>0</v>
      </c>
    </row>
    <row r="25" spans="1:30" x14ac:dyDescent="0.25">
      <c r="A25" s="122"/>
      <c r="B25" s="104"/>
      <c r="C25" s="270"/>
      <c r="D25" s="294"/>
      <c r="E25" s="110"/>
      <c r="F25" s="110"/>
      <c r="G25" s="110"/>
      <c r="H25" s="110"/>
      <c r="I25" s="110"/>
      <c r="J25" s="110"/>
      <c r="K25" s="110"/>
      <c r="L25" s="110"/>
      <c r="M25" s="110"/>
      <c r="N25" s="110"/>
      <c r="O25" s="110"/>
      <c r="P25" s="110"/>
      <c r="Q25" s="110"/>
      <c r="R25" s="110"/>
      <c r="S25" s="110"/>
      <c r="T25" s="110"/>
      <c r="U25" s="263"/>
      <c r="V25" s="108">
        <f t="shared" si="0"/>
        <v>0</v>
      </c>
      <c r="W25" s="108">
        <f>AN_TME_BY[[#This Row],[TOTAL Non-Truncated Unadjusted Claims Expenses]]-AN_TME_BY[[#This Row],[Total Claims Excluded because of Truncation]]</f>
        <v>0</v>
      </c>
      <c r="X25" s="108">
        <f t="shared" si="1"/>
        <v>0</v>
      </c>
      <c r="Y25" s="108">
        <f>AN_TME_BY[[#This Row],[TOTAL Non-Truncated Unadjusted Claims Expenses]]+AN_TME_BY[[#This Row],[TOTAL Non-Claims Expenses]]</f>
        <v>0</v>
      </c>
      <c r="Z25" s="108">
        <f>AN_TME_BY[[#This Row],[TOTAL Truncated Unadjusted Claims Expenses (A21 -A19)]]+AN_TME_BY[[#This Row],[TOTAL Non-Claims Expenses]]</f>
        <v>0</v>
      </c>
      <c r="AA25" s="235">
        <f>IFERROR(AN_TME_BY[[#This Row],[TOTAL Non-Truncated Unadjusted Expenses (A21 + A23)]]/AN_TME_BY[[#This Row],[Member Months]],0)</f>
        <v>0</v>
      </c>
      <c r="AB25" s="109">
        <f>IFERROR(AN_TME_BY[[#This Row],[TOTAL Truncated Unadjusted Expenses (A22 + A23)]]/AN_TME_BY[[#This Row],[Member Months]],0)</f>
        <v>0</v>
      </c>
      <c r="AC25" s="237">
        <f>IFERROR(AN_TME_BY[[#This Row],[Total Claims Excluded because of Truncation]]/AN_TME_BY[[#This Row],[Count of Members with Claims Truncated]], 0)</f>
        <v>0</v>
      </c>
      <c r="AD25" s="238">
        <f>IFERROR(AN_TME_BY[[#This Row],[Total Claims Excluded because of Truncation]]/AN_TME_BY[[#This Row],[TOTAL Non-Truncated Unadjusted Claims Expenses]], 0)</f>
        <v>0</v>
      </c>
    </row>
    <row r="26" spans="1:30" x14ac:dyDescent="0.25">
      <c r="A26" s="122"/>
      <c r="B26" s="104"/>
      <c r="C26" s="267"/>
      <c r="D26" s="294"/>
      <c r="E26" s="110"/>
      <c r="F26" s="110"/>
      <c r="G26" s="110"/>
      <c r="H26" s="110"/>
      <c r="I26" s="110"/>
      <c r="J26" s="110"/>
      <c r="K26" s="110"/>
      <c r="L26" s="110"/>
      <c r="M26" s="110"/>
      <c r="N26" s="110"/>
      <c r="O26" s="110"/>
      <c r="P26" s="110"/>
      <c r="Q26" s="110"/>
      <c r="R26" s="110"/>
      <c r="S26" s="110"/>
      <c r="T26" s="110"/>
      <c r="U26" s="263"/>
      <c r="V26" s="108">
        <f t="shared" si="0"/>
        <v>0</v>
      </c>
      <c r="W26" s="108">
        <f>AN_TME_BY[[#This Row],[TOTAL Non-Truncated Unadjusted Claims Expenses]]-AN_TME_BY[[#This Row],[Total Claims Excluded because of Truncation]]</f>
        <v>0</v>
      </c>
      <c r="X26" s="108">
        <f t="shared" si="1"/>
        <v>0</v>
      </c>
      <c r="Y26" s="108">
        <f>AN_TME_BY[[#This Row],[TOTAL Non-Truncated Unadjusted Claims Expenses]]+AN_TME_BY[[#This Row],[TOTAL Non-Claims Expenses]]</f>
        <v>0</v>
      </c>
      <c r="Z26" s="108">
        <f>AN_TME_BY[[#This Row],[TOTAL Truncated Unadjusted Claims Expenses (A21 -A19)]]+AN_TME_BY[[#This Row],[TOTAL Non-Claims Expenses]]</f>
        <v>0</v>
      </c>
      <c r="AA26" s="235">
        <f>IFERROR(AN_TME_BY[[#This Row],[TOTAL Non-Truncated Unadjusted Expenses (A21 + A23)]]/AN_TME_BY[[#This Row],[Member Months]],0)</f>
        <v>0</v>
      </c>
      <c r="AB26" s="109">
        <f>IFERROR(AN_TME_BY[[#This Row],[TOTAL Truncated Unadjusted Expenses (A22 + A23)]]/AN_TME_BY[[#This Row],[Member Months]],0)</f>
        <v>0</v>
      </c>
      <c r="AC26" s="237">
        <f>IFERROR(AN_TME_BY[[#This Row],[Total Claims Excluded because of Truncation]]/AN_TME_BY[[#This Row],[Count of Members with Claims Truncated]], 0)</f>
        <v>0</v>
      </c>
      <c r="AD26" s="238">
        <f>IFERROR(AN_TME_BY[[#This Row],[Total Claims Excluded because of Truncation]]/AN_TME_BY[[#This Row],[TOTAL Non-Truncated Unadjusted Claims Expenses]], 0)</f>
        <v>0</v>
      </c>
    </row>
    <row r="27" spans="1:30" x14ac:dyDescent="0.25">
      <c r="A27" s="122"/>
      <c r="B27" s="104"/>
      <c r="C27" s="270"/>
      <c r="D27" s="294"/>
      <c r="E27" s="110"/>
      <c r="F27" s="110"/>
      <c r="G27" s="110"/>
      <c r="H27" s="110"/>
      <c r="I27" s="110"/>
      <c r="J27" s="110"/>
      <c r="K27" s="110"/>
      <c r="L27" s="110"/>
      <c r="M27" s="110"/>
      <c r="N27" s="110"/>
      <c r="O27" s="110"/>
      <c r="P27" s="110"/>
      <c r="Q27" s="110"/>
      <c r="R27" s="110"/>
      <c r="S27" s="110"/>
      <c r="T27" s="110"/>
      <c r="U27" s="263"/>
      <c r="V27" s="108">
        <f t="shared" si="0"/>
        <v>0</v>
      </c>
      <c r="W27" s="108">
        <f>AN_TME_BY[[#This Row],[TOTAL Non-Truncated Unadjusted Claims Expenses]]-AN_TME_BY[[#This Row],[Total Claims Excluded because of Truncation]]</f>
        <v>0</v>
      </c>
      <c r="X27" s="108">
        <f t="shared" si="1"/>
        <v>0</v>
      </c>
      <c r="Y27" s="108">
        <f>AN_TME_BY[[#This Row],[TOTAL Non-Truncated Unadjusted Claims Expenses]]+AN_TME_BY[[#This Row],[TOTAL Non-Claims Expenses]]</f>
        <v>0</v>
      </c>
      <c r="Z27" s="108">
        <f>AN_TME_BY[[#This Row],[TOTAL Truncated Unadjusted Claims Expenses (A21 -A19)]]+AN_TME_BY[[#This Row],[TOTAL Non-Claims Expenses]]</f>
        <v>0</v>
      </c>
      <c r="AA27" s="235">
        <f>IFERROR(AN_TME_BY[[#This Row],[TOTAL Non-Truncated Unadjusted Expenses (A21 + A23)]]/AN_TME_BY[[#This Row],[Member Months]],0)</f>
        <v>0</v>
      </c>
      <c r="AB27" s="109">
        <f>IFERROR(AN_TME_BY[[#This Row],[TOTAL Truncated Unadjusted Expenses (A22 + A23)]]/AN_TME_BY[[#This Row],[Member Months]],0)</f>
        <v>0</v>
      </c>
      <c r="AC27" s="237">
        <f>IFERROR(AN_TME_BY[[#This Row],[Total Claims Excluded because of Truncation]]/AN_TME_BY[[#This Row],[Count of Members with Claims Truncated]], 0)</f>
        <v>0</v>
      </c>
      <c r="AD27" s="238">
        <f>IFERROR(AN_TME_BY[[#This Row],[Total Claims Excluded because of Truncation]]/AN_TME_BY[[#This Row],[TOTAL Non-Truncated Unadjusted Claims Expenses]], 0)</f>
        <v>0</v>
      </c>
    </row>
    <row r="28" spans="1:30" x14ac:dyDescent="0.25">
      <c r="A28" s="122"/>
      <c r="B28" s="104"/>
      <c r="C28" s="267"/>
      <c r="D28" s="294"/>
      <c r="E28" s="110"/>
      <c r="F28" s="110"/>
      <c r="G28" s="110"/>
      <c r="H28" s="110"/>
      <c r="I28" s="110"/>
      <c r="J28" s="110"/>
      <c r="K28" s="110"/>
      <c r="L28" s="110"/>
      <c r="M28" s="110"/>
      <c r="N28" s="110"/>
      <c r="O28" s="110"/>
      <c r="P28" s="110"/>
      <c r="Q28" s="110"/>
      <c r="R28" s="110"/>
      <c r="S28" s="110"/>
      <c r="T28" s="110"/>
      <c r="U28" s="263"/>
      <c r="V28" s="108">
        <f t="shared" si="0"/>
        <v>0</v>
      </c>
      <c r="W28" s="108">
        <f>AN_TME_BY[[#This Row],[TOTAL Non-Truncated Unadjusted Claims Expenses]]-AN_TME_BY[[#This Row],[Total Claims Excluded because of Truncation]]</f>
        <v>0</v>
      </c>
      <c r="X28" s="108">
        <f t="shared" si="1"/>
        <v>0</v>
      </c>
      <c r="Y28" s="108">
        <f>AN_TME_BY[[#This Row],[TOTAL Non-Truncated Unadjusted Claims Expenses]]+AN_TME_BY[[#This Row],[TOTAL Non-Claims Expenses]]</f>
        <v>0</v>
      </c>
      <c r="Z28" s="108">
        <f>AN_TME_BY[[#This Row],[TOTAL Truncated Unadjusted Claims Expenses (A21 -A19)]]+AN_TME_BY[[#This Row],[TOTAL Non-Claims Expenses]]</f>
        <v>0</v>
      </c>
      <c r="AA28" s="235">
        <f>IFERROR(AN_TME_BY[[#This Row],[TOTAL Non-Truncated Unadjusted Expenses (A21 + A23)]]/AN_TME_BY[[#This Row],[Member Months]],0)</f>
        <v>0</v>
      </c>
      <c r="AB28" s="109">
        <f>IFERROR(AN_TME_BY[[#This Row],[TOTAL Truncated Unadjusted Expenses (A22 + A23)]]/AN_TME_BY[[#This Row],[Member Months]],0)</f>
        <v>0</v>
      </c>
      <c r="AC28" s="237">
        <f>IFERROR(AN_TME_BY[[#This Row],[Total Claims Excluded because of Truncation]]/AN_TME_BY[[#This Row],[Count of Members with Claims Truncated]], 0)</f>
        <v>0</v>
      </c>
      <c r="AD28" s="238">
        <f>IFERROR(AN_TME_BY[[#This Row],[Total Claims Excluded because of Truncation]]/AN_TME_BY[[#This Row],[TOTAL Non-Truncated Unadjusted Claims Expenses]], 0)</f>
        <v>0</v>
      </c>
    </row>
    <row r="29" spans="1:30" x14ac:dyDescent="0.25">
      <c r="A29" s="122"/>
      <c r="B29" s="104"/>
      <c r="C29" s="270"/>
      <c r="D29" s="294"/>
      <c r="E29" s="110"/>
      <c r="F29" s="110"/>
      <c r="G29" s="110"/>
      <c r="H29" s="110"/>
      <c r="I29" s="110"/>
      <c r="J29" s="110"/>
      <c r="K29" s="110"/>
      <c r="L29" s="110"/>
      <c r="M29" s="110"/>
      <c r="N29" s="110"/>
      <c r="O29" s="110"/>
      <c r="P29" s="110"/>
      <c r="Q29" s="110"/>
      <c r="R29" s="110"/>
      <c r="S29" s="110"/>
      <c r="T29" s="110"/>
      <c r="U29" s="263"/>
      <c r="V29" s="108">
        <f t="shared" si="0"/>
        <v>0</v>
      </c>
      <c r="W29" s="108">
        <f>AN_TME_BY[[#This Row],[TOTAL Non-Truncated Unadjusted Claims Expenses]]-AN_TME_BY[[#This Row],[Total Claims Excluded because of Truncation]]</f>
        <v>0</v>
      </c>
      <c r="X29" s="108">
        <f t="shared" si="1"/>
        <v>0</v>
      </c>
      <c r="Y29" s="108">
        <f>AN_TME_BY[[#This Row],[TOTAL Non-Truncated Unadjusted Claims Expenses]]+AN_TME_BY[[#This Row],[TOTAL Non-Claims Expenses]]</f>
        <v>0</v>
      </c>
      <c r="Z29" s="108">
        <f>AN_TME_BY[[#This Row],[TOTAL Truncated Unadjusted Claims Expenses (A21 -A19)]]+AN_TME_BY[[#This Row],[TOTAL Non-Claims Expenses]]</f>
        <v>0</v>
      </c>
      <c r="AA29" s="235">
        <f>IFERROR(AN_TME_BY[[#This Row],[TOTAL Non-Truncated Unadjusted Expenses (A21 + A23)]]/AN_TME_BY[[#This Row],[Member Months]],0)</f>
        <v>0</v>
      </c>
      <c r="AB29" s="109">
        <f>IFERROR(AN_TME_BY[[#This Row],[TOTAL Truncated Unadjusted Expenses (A22 + A23)]]/AN_TME_BY[[#This Row],[Member Months]],0)</f>
        <v>0</v>
      </c>
      <c r="AC29" s="237">
        <f>IFERROR(AN_TME_BY[[#This Row],[Total Claims Excluded because of Truncation]]/AN_TME_BY[[#This Row],[Count of Members with Claims Truncated]], 0)</f>
        <v>0</v>
      </c>
      <c r="AD29" s="238">
        <f>IFERROR(AN_TME_BY[[#This Row],[Total Claims Excluded because of Truncation]]/AN_TME_BY[[#This Row],[TOTAL Non-Truncated Unadjusted Claims Expenses]], 0)</f>
        <v>0</v>
      </c>
    </row>
    <row r="30" spans="1:30" x14ac:dyDescent="0.25">
      <c r="A30" s="122"/>
      <c r="B30" s="104"/>
      <c r="C30" s="267"/>
      <c r="D30" s="294"/>
      <c r="E30" s="110"/>
      <c r="F30" s="110"/>
      <c r="G30" s="110"/>
      <c r="H30" s="110"/>
      <c r="I30" s="110"/>
      <c r="J30" s="110"/>
      <c r="K30" s="110"/>
      <c r="L30" s="110"/>
      <c r="M30" s="110"/>
      <c r="N30" s="110"/>
      <c r="O30" s="110"/>
      <c r="P30" s="110"/>
      <c r="Q30" s="110"/>
      <c r="R30" s="110"/>
      <c r="S30" s="110"/>
      <c r="T30" s="110"/>
      <c r="U30" s="263"/>
      <c r="V30" s="108">
        <f t="shared" si="0"/>
        <v>0</v>
      </c>
      <c r="W30" s="108">
        <f>AN_TME_BY[[#This Row],[TOTAL Non-Truncated Unadjusted Claims Expenses]]-AN_TME_BY[[#This Row],[Total Claims Excluded because of Truncation]]</f>
        <v>0</v>
      </c>
      <c r="X30" s="108">
        <f t="shared" si="1"/>
        <v>0</v>
      </c>
      <c r="Y30" s="108">
        <f>AN_TME_BY[[#This Row],[TOTAL Non-Truncated Unadjusted Claims Expenses]]+AN_TME_BY[[#This Row],[TOTAL Non-Claims Expenses]]</f>
        <v>0</v>
      </c>
      <c r="Z30" s="108">
        <f>AN_TME_BY[[#This Row],[TOTAL Truncated Unadjusted Claims Expenses (A21 -A19)]]+AN_TME_BY[[#This Row],[TOTAL Non-Claims Expenses]]</f>
        <v>0</v>
      </c>
      <c r="AA30" s="235">
        <f>IFERROR(AN_TME_BY[[#This Row],[TOTAL Non-Truncated Unadjusted Expenses (A21 + A23)]]/AN_TME_BY[[#This Row],[Member Months]],0)</f>
        <v>0</v>
      </c>
      <c r="AB30" s="109">
        <f>IFERROR(AN_TME_BY[[#This Row],[TOTAL Truncated Unadjusted Expenses (A22 + A23)]]/AN_TME_BY[[#This Row],[Member Months]],0)</f>
        <v>0</v>
      </c>
      <c r="AC30" s="237">
        <f>IFERROR(AN_TME_BY[[#This Row],[Total Claims Excluded because of Truncation]]/AN_TME_BY[[#This Row],[Count of Members with Claims Truncated]], 0)</f>
        <v>0</v>
      </c>
      <c r="AD30" s="238">
        <f>IFERROR(AN_TME_BY[[#This Row],[Total Claims Excluded because of Truncation]]/AN_TME_BY[[#This Row],[TOTAL Non-Truncated Unadjusted Claims Expenses]], 0)</f>
        <v>0</v>
      </c>
    </row>
    <row r="31" spans="1:30" x14ac:dyDescent="0.25">
      <c r="A31" s="122"/>
      <c r="B31" s="104"/>
      <c r="C31" s="270"/>
      <c r="D31" s="294"/>
      <c r="E31" s="110"/>
      <c r="F31" s="110"/>
      <c r="G31" s="110"/>
      <c r="H31" s="110"/>
      <c r="I31" s="110"/>
      <c r="J31" s="110"/>
      <c r="K31" s="110"/>
      <c r="L31" s="110"/>
      <c r="M31" s="110"/>
      <c r="N31" s="110"/>
      <c r="O31" s="110"/>
      <c r="P31" s="110"/>
      <c r="Q31" s="110"/>
      <c r="R31" s="110"/>
      <c r="S31" s="110"/>
      <c r="T31" s="110"/>
      <c r="U31" s="263"/>
      <c r="V31" s="108">
        <f t="shared" si="0"/>
        <v>0</v>
      </c>
      <c r="W31" s="108">
        <f>AN_TME_BY[[#This Row],[TOTAL Non-Truncated Unadjusted Claims Expenses]]-AN_TME_BY[[#This Row],[Total Claims Excluded because of Truncation]]</f>
        <v>0</v>
      </c>
      <c r="X31" s="108">
        <f t="shared" si="1"/>
        <v>0</v>
      </c>
      <c r="Y31" s="108">
        <f>AN_TME_BY[[#This Row],[TOTAL Non-Truncated Unadjusted Claims Expenses]]+AN_TME_BY[[#This Row],[TOTAL Non-Claims Expenses]]</f>
        <v>0</v>
      </c>
      <c r="Z31" s="108">
        <f>AN_TME_BY[[#This Row],[TOTAL Truncated Unadjusted Claims Expenses (A21 -A19)]]+AN_TME_BY[[#This Row],[TOTAL Non-Claims Expenses]]</f>
        <v>0</v>
      </c>
      <c r="AA31" s="235">
        <f>IFERROR(AN_TME_BY[[#This Row],[TOTAL Non-Truncated Unadjusted Expenses (A21 + A23)]]/AN_TME_BY[[#This Row],[Member Months]],0)</f>
        <v>0</v>
      </c>
      <c r="AB31" s="109">
        <f>IFERROR(AN_TME_BY[[#This Row],[TOTAL Truncated Unadjusted Expenses (A22 + A23)]]/AN_TME_BY[[#This Row],[Member Months]],0)</f>
        <v>0</v>
      </c>
      <c r="AC31" s="237">
        <f>IFERROR(AN_TME_BY[[#This Row],[Total Claims Excluded because of Truncation]]/AN_TME_BY[[#This Row],[Count of Members with Claims Truncated]], 0)</f>
        <v>0</v>
      </c>
      <c r="AD31" s="238">
        <f>IFERROR(AN_TME_BY[[#This Row],[Total Claims Excluded because of Truncation]]/AN_TME_BY[[#This Row],[TOTAL Non-Truncated Unadjusted Claims Expenses]], 0)</f>
        <v>0</v>
      </c>
    </row>
    <row r="32" spans="1:30" x14ac:dyDescent="0.25">
      <c r="A32" s="122"/>
      <c r="B32" s="104"/>
      <c r="C32" s="267"/>
      <c r="D32" s="294"/>
      <c r="E32" s="110"/>
      <c r="F32" s="110"/>
      <c r="G32" s="110"/>
      <c r="H32" s="110"/>
      <c r="I32" s="110"/>
      <c r="J32" s="110"/>
      <c r="K32" s="110"/>
      <c r="L32" s="110"/>
      <c r="M32" s="110"/>
      <c r="N32" s="110"/>
      <c r="O32" s="110"/>
      <c r="P32" s="110"/>
      <c r="Q32" s="110"/>
      <c r="R32" s="110"/>
      <c r="S32" s="110"/>
      <c r="T32" s="110"/>
      <c r="U32" s="263"/>
      <c r="V32" s="108">
        <f t="shared" si="0"/>
        <v>0</v>
      </c>
      <c r="W32" s="108">
        <f>AN_TME_BY[[#This Row],[TOTAL Non-Truncated Unadjusted Claims Expenses]]-AN_TME_BY[[#This Row],[Total Claims Excluded because of Truncation]]</f>
        <v>0</v>
      </c>
      <c r="X32" s="108">
        <f t="shared" si="1"/>
        <v>0</v>
      </c>
      <c r="Y32" s="108">
        <f>AN_TME_BY[[#This Row],[TOTAL Non-Truncated Unadjusted Claims Expenses]]+AN_TME_BY[[#This Row],[TOTAL Non-Claims Expenses]]</f>
        <v>0</v>
      </c>
      <c r="Z32" s="108">
        <f>AN_TME_BY[[#This Row],[TOTAL Truncated Unadjusted Claims Expenses (A21 -A19)]]+AN_TME_BY[[#This Row],[TOTAL Non-Claims Expenses]]</f>
        <v>0</v>
      </c>
      <c r="AA32" s="235">
        <f>IFERROR(AN_TME_BY[[#This Row],[TOTAL Non-Truncated Unadjusted Expenses (A21 + A23)]]/AN_TME_BY[[#This Row],[Member Months]],0)</f>
        <v>0</v>
      </c>
      <c r="AB32" s="109">
        <f>IFERROR(AN_TME_BY[[#This Row],[TOTAL Truncated Unadjusted Expenses (A22 + A23)]]/AN_TME_BY[[#This Row],[Member Months]],0)</f>
        <v>0</v>
      </c>
      <c r="AC32" s="237">
        <f>IFERROR(AN_TME_BY[[#This Row],[Total Claims Excluded because of Truncation]]/AN_TME_BY[[#This Row],[Count of Members with Claims Truncated]], 0)</f>
        <v>0</v>
      </c>
      <c r="AD32" s="238">
        <f>IFERROR(AN_TME_BY[[#This Row],[Total Claims Excluded because of Truncation]]/AN_TME_BY[[#This Row],[TOTAL Non-Truncated Unadjusted Claims Expenses]], 0)</f>
        <v>0</v>
      </c>
    </row>
    <row r="33" spans="1:30" x14ac:dyDescent="0.25">
      <c r="A33" s="122"/>
      <c r="B33" s="104"/>
      <c r="C33" s="270"/>
      <c r="D33" s="294"/>
      <c r="E33" s="110"/>
      <c r="F33" s="110"/>
      <c r="G33" s="110"/>
      <c r="H33" s="110"/>
      <c r="I33" s="110"/>
      <c r="J33" s="110"/>
      <c r="K33" s="110"/>
      <c r="L33" s="110"/>
      <c r="M33" s="110"/>
      <c r="N33" s="110"/>
      <c r="O33" s="110"/>
      <c r="P33" s="110"/>
      <c r="Q33" s="110"/>
      <c r="R33" s="110"/>
      <c r="S33" s="110"/>
      <c r="T33" s="110"/>
      <c r="U33" s="263"/>
      <c r="V33" s="108">
        <f t="shared" si="0"/>
        <v>0</v>
      </c>
      <c r="W33" s="108">
        <f>AN_TME_BY[[#This Row],[TOTAL Non-Truncated Unadjusted Claims Expenses]]-AN_TME_BY[[#This Row],[Total Claims Excluded because of Truncation]]</f>
        <v>0</v>
      </c>
      <c r="X33" s="108">
        <f t="shared" si="1"/>
        <v>0</v>
      </c>
      <c r="Y33" s="108">
        <f>AN_TME_BY[[#This Row],[TOTAL Non-Truncated Unadjusted Claims Expenses]]+AN_TME_BY[[#This Row],[TOTAL Non-Claims Expenses]]</f>
        <v>0</v>
      </c>
      <c r="Z33" s="108">
        <f>AN_TME_BY[[#This Row],[TOTAL Truncated Unadjusted Claims Expenses (A21 -A19)]]+AN_TME_BY[[#This Row],[TOTAL Non-Claims Expenses]]</f>
        <v>0</v>
      </c>
      <c r="AA33" s="235">
        <f>IFERROR(AN_TME_BY[[#This Row],[TOTAL Non-Truncated Unadjusted Expenses (A21 + A23)]]/AN_TME_BY[[#This Row],[Member Months]],0)</f>
        <v>0</v>
      </c>
      <c r="AB33" s="109">
        <f>IFERROR(AN_TME_BY[[#This Row],[TOTAL Truncated Unadjusted Expenses (A22 + A23)]]/AN_TME_BY[[#This Row],[Member Months]],0)</f>
        <v>0</v>
      </c>
      <c r="AC33" s="237">
        <f>IFERROR(AN_TME_BY[[#This Row],[Total Claims Excluded because of Truncation]]/AN_TME_BY[[#This Row],[Count of Members with Claims Truncated]], 0)</f>
        <v>0</v>
      </c>
      <c r="AD33" s="238">
        <f>IFERROR(AN_TME_BY[[#This Row],[Total Claims Excluded because of Truncation]]/AN_TME_BY[[#This Row],[TOTAL Non-Truncated Unadjusted Claims Expenses]], 0)</f>
        <v>0</v>
      </c>
    </row>
    <row r="34" spans="1:30" x14ac:dyDescent="0.25">
      <c r="A34" s="122"/>
      <c r="B34" s="104"/>
      <c r="C34" s="267"/>
      <c r="D34" s="294"/>
      <c r="E34" s="110"/>
      <c r="F34" s="110"/>
      <c r="G34" s="110"/>
      <c r="H34" s="110"/>
      <c r="I34" s="110"/>
      <c r="J34" s="110"/>
      <c r="K34" s="110"/>
      <c r="L34" s="110"/>
      <c r="M34" s="110"/>
      <c r="N34" s="110"/>
      <c r="O34" s="110"/>
      <c r="P34" s="110"/>
      <c r="Q34" s="110"/>
      <c r="R34" s="110"/>
      <c r="S34" s="110"/>
      <c r="T34" s="110"/>
      <c r="U34" s="263"/>
      <c r="V34" s="108">
        <f t="shared" si="0"/>
        <v>0</v>
      </c>
      <c r="W34" s="108">
        <f>AN_TME_BY[[#This Row],[TOTAL Non-Truncated Unadjusted Claims Expenses]]-AN_TME_BY[[#This Row],[Total Claims Excluded because of Truncation]]</f>
        <v>0</v>
      </c>
      <c r="X34" s="108">
        <f t="shared" si="1"/>
        <v>0</v>
      </c>
      <c r="Y34" s="108">
        <f>AN_TME_BY[[#This Row],[TOTAL Non-Truncated Unadjusted Claims Expenses]]+AN_TME_BY[[#This Row],[TOTAL Non-Claims Expenses]]</f>
        <v>0</v>
      </c>
      <c r="Z34" s="108">
        <f>AN_TME_BY[[#This Row],[TOTAL Truncated Unadjusted Claims Expenses (A21 -A19)]]+AN_TME_BY[[#This Row],[TOTAL Non-Claims Expenses]]</f>
        <v>0</v>
      </c>
      <c r="AA34" s="235">
        <f>IFERROR(AN_TME_BY[[#This Row],[TOTAL Non-Truncated Unadjusted Expenses (A21 + A23)]]/AN_TME_BY[[#This Row],[Member Months]],0)</f>
        <v>0</v>
      </c>
      <c r="AB34" s="109">
        <f>IFERROR(AN_TME_BY[[#This Row],[TOTAL Truncated Unadjusted Expenses (A22 + A23)]]/AN_TME_BY[[#This Row],[Member Months]],0)</f>
        <v>0</v>
      </c>
      <c r="AC34" s="237">
        <f>IFERROR(AN_TME_BY[[#This Row],[Total Claims Excluded because of Truncation]]/AN_TME_BY[[#This Row],[Count of Members with Claims Truncated]], 0)</f>
        <v>0</v>
      </c>
      <c r="AD34" s="238">
        <f>IFERROR(AN_TME_BY[[#This Row],[Total Claims Excluded because of Truncation]]/AN_TME_BY[[#This Row],[TOTAL Non-Truncated Unadjusted Claims Expenses]], 0)</f>
        <v>0</v>
      </c>
    </row>
    <row r="35" spans="1:30" x14ac:dyDescent="0.25">
      <c r="A35" s="122"/>
      <c r="B35" s="104"/>
      <c r="C35" s="270"/>
      <c r="D35" s="294"/>
      <c r="E35" s="110"/>
      <c r="F35" s="110"/>
      <c r="G35" s="110"/>
      <c r="H35" s="110"/>
      <c r="I35" s="110"/>
      <c r="J35" s="110"/>
      <c r="K35" s="110"/>
      <c r="L35" s="110"/>
      <c r="M35" s="110"/>
      <c r="N35" s="110"/>
      <c r="O35" s="110"/>
      <c r="P35" s="110"/>
      <c r="Q35" s="110"/>
      <c r="R35" s="110"/>
      <c r="S35" s="110"/>
      <c r="T35" s="110"/>
      <c r="U35" s="263"/>
      <c r="V35" s="108">
        <f t="shared" si="0"/>
        <v>0</v>
      </c>
      <c r="W35" s="108">
        <f>AN_TME_BY[[#This Row],[TOTAL Non-Truncated Unadjusted Claims Expenses]]-AN_TME_BY[[#This Row],[Total Claims Excluded because of Truncation]]</f>
        <v>0</v>
      </c>
      <c r="X35" s="108">
        <f t="shared" si="1"/>
        <v>0</v>
      </c>
      <c r="Y35" s="108">
        <f>AN_TME_BY[[#This Row],[TOTAL Non-Truncated Unadjusted Claims Expenses]]+AN_TME_BY[[#This Row],[TOTAL Non-Claims Expenses]]</f>
        <v>0</v>
      </c>
      <c r="Z35" s="108">
        <f>AN_TME_BY[[#This Row],[TOTAL Truncated Unadjusted Claims Expenses (A21 -A19)]]+AN_TME_BY[[#This Row],[TOTAL Non-Claims Expenses]]</f>
        <v>0</v>
      </c>
      <c r="AA35" s="235">
        <f>IFERROR(AN_TME_BY[[#This Row],[TOTAL Non-Truncated Unadjusted Expenses (A21 + A23)]]/AN_TME_BY[[#This Row],[Member Months]],0)</f>
        <v>0</v>
      </c>
      <c r="AB35" s="109">
        <f>IFERROR(AN_TME_BY[[#This Row],[TOTAL Truncated Unadjusted Expenses (A22 + A23)]]/AN_TME_BY[[#This Row],[Member Months]],0)</f>
        <v>0</v>
      </c>
      <c r="AC35" s="237">
        <f>IFERROR(AN_TME_BY[[#This Row],[Total Claims Excluded because of Truncation]]/AN_TME_BY[[#This Row],[Count of Members with Claims Truncated]], 0)</f>
        <v>0</v>
      </c>
      <c r="AD35" s="238">
        <f>IFERROR(AN_TME_BY[[#This Row],[Total Claims Excluded because of Truncation]]/AN_TME_BY[[#This Row],[TOTAL Non-Truncated Unadjusted Claims Expenses]], 0)</f>
        <v>0</v>
      </c>
    </row>
    <row r="36" spans="1:30" x14ac:dyDescent="0.25">
      <c r="A36" s="122"/>
      <c r="B36" s="104"/>
      <c r="C36" s="267"/>
      <c r="D36" s="294"/>
      <c r="E36" s="110"/>
      <c r="F36" s="110"/>
      <c r="G36" s="110"/>
      <c r="H36" s="110"/>
      <c r="I36" s="110"/>
      <c r="J36" s="110"/>
      <c r="K36" s="110"/>
      <c r="L36" s="110"/>
      <c r="M36" s="110"/>
      <c r="N36" s="110"/>
      <c r="O36" s="110"/>
      <c r="P36" s="110"/>
      <c r="Q36" s="110"/>
      <c r="R36" s="110"/>
      <c r="S36" s="110"/>
      <c r="T36" s="110"/>
      <c r="U36" s="263"/>
      <c r="V36" s="108">
        <f t="shared" si="0"/>
        <v>0</v>
      </c>
      <c r="W36" s="108">
        <f>AN_TME_BY[[#This Row],[TOTAL Non-Truncated Unadjusted Claims Expenses]]-AN_TME_BY[[#This Row],[Total Claims Excluded because of Truncation]]</f>
        <v>0</v>
      </c>
      <c r="X36" s="108">
        <f t="shared" si="1"/>
        <v>0</v>
      </c>
      <c r="Y36" s="108">
        <f>AN_TME_BY[[#This Row],[TOTAL Non-Truncated Unadjusted Claims Expenses]]+AN_TME_BY[[#This Row],[TOTAL Non-Claims Expenses]]</f>
        <v>0</v>
      </c>
      <c r="Z36" s="108">
        <f>AN_TME_BY[[#This Row],[TOTAL Truncated Unadjusted Claims Expenses (A21 -A19)]]+AN_TME_BY[[#This Row],[TOTAL Non-Claims Expenses]]</f>
        <v>0</v>
      </c>
      <c r="AA36" s="235">
        <f>IFERROR(AN_TME_BY[[#This Row],[TOTAL Non-Truncated Unadjusted Expenses (A21 + A23)]]/AN_TME_BY[[#This Row],[Member Months]],0)</f>
        <v>0</v>
      </c>
      <c r="AB36" s="109">
        <f>IFERROR(AN_TME_BY[[#This Row],[TOTAL Truncated Unadjusted Expenses (A22 + A23)]]/AN_TME_BY[[#This Row],[Member Months]],0)</f>
        <v>0</v>
      </c>
      <c r="AC36" s="237">
        <f>IFERROR(AN_TME_BY[[#This Row],[Total Claims Excluded because of Truncation]]/AN_TME_BY[[#This Row],[Count of Members with Claims Truncated]], 0)</f>
        <v>0</v>
      </c>
      <c r="AD36" s="238">
        <f>IFERROR(AN_TME_BY[[#This Row],[Total Claims Excluded because of Truncation]]/AN_TME_BY[[#This Row],[TOTAL Non-Truncated Unadjusted Claims Expenses]], 0)</f>
        <v>0</v>
      </c>
    </row>
    <row r="37" spans="1:30" x14ac:dyDescent="0.25">
      <c r="A37" s="122"/>
      <c r="B37" s="104"/>
      <c r="C37" s="270"/>
      <c r="D37" s="294"/>
      <c r="E37" s="110"/>
      <c r="F37" s="110"/>
      <c r="G37" s="110"/>
      <c r="H37" s="110"/>
      <c r="I37" s="110"/>
      <c r="J37" s="110"/>
      <c r="K37" s="110"/>
      <c r="L37" s="110"/>
      <c r="M37" s="110"/>
      <c r="N37" s="110"/>
      <c r="O37" s="110"/>
      <c r="P37" s="110"/>
      <c r="Q37" s="110"/>
      <c r="R37" s="110"/>
      <c r="S37" s="110"/>
      <c r="T37" s="110"/>
      <c r="U37" s="263"/>
      <c r="V37" s="108">
        <f t="shared" si="0"/>
        <v>0</v>
      </c>
      <c r="W37" s="108">
        <f>AN_TME_BY[[#This Row],[TOTAL Non-Truncated Unadjusted Claims Expenses]]-AN_TME_BY[[#This Row],[Total Claims Excluded because of Truncation]]</f>
        <v>0</v>
      </c>
      <c r="X37" s="108">
        <f t="shared" si="1"/>
        <v>0</v>
      </c>
      <c r="Y37" s="108">
        <f>AN_TME_BY[[#This Row],[TOTAL Non-Truncated Unadjusted Claims Expenses]]+AN_TME_BY[[#This Row],[TOTAL Non-Claims Expenses]]</f>
        <v>0</v>
      </c>
      <c r="Z37" s="108">
        <f>AN_TME_BY[[#This Row],[TOTAL Truncated Unadjusted Claims Expenses (A21 -A19)]]+AN_TME_BY[[#This Row],[TOTAL Non-Claims Expenses]]</f>
        <v>0</v>
      </c>
      <c r="AA37" s="235">
        <f>IFERROR(AN_TME_BY[[#This Row],[TOTAL Non-Truncated Unadjusted Expenses (A21 + A23)]]/AN_TME_BY[[#This Row],[Member Months]],0)</f>
        <v>0</v>
      </c>
      <c r="AB37" s="109">
        <f>IFERROR(AN_TME_BY[[#This Row],[TOTAL Truncated Unadjusted Expenses (A22 + A23)]]/AN_TME_BY[[#This Row],[Member Months]],0)</f>
        <v>0</v>
      </c>
      <c r="AC37" s="237">
        <f>IFERROR(AN_TME_BY[[#This Row],[Total Claims Excluded because of Truncation]]/AN_TME_BY[[#This Row],[Count of Members with Claims Truncated]], 0)</f>
        <v>0</v>
      </c>
      <c r="AD37" s="238">
        <f>IFERROR(AN_TME_BY[[#This Row],[Total Claims Excluded because of Truncation]]/AN_TME_BY[[#This Row],[TOTAL Non-Truncated Unadjusted Claims Expenses]], 0)</f>
        <v>0</v>
      </c>
    </row>
    <row r="38" spans="1:30" x14ac:dyDescent="0.25">
      <c r="A38" s="122"/>
      <c r="B38" s="104"/>
      <c r="C38" s="267"/>
      <c r="D38" s="294"/>
      <c r="E38" s="110"/>
      <c r="F38" s="110"/>
      <c r="G38" s="110"/>
      <c r="H38" s="110"/>
      <c r="I38" s="110"/>
      <c r="J38" s="110"/>
      <c r="K38" s="110"/>
      <c r="L38" s="110"/>
      <c r="M38" s="110"/>
      <c r="N38" s="110"/>
      <c r="O38" s="110"/>
      <c r="P38" s="110"/>
      <c r="Q38" s="110"/>
      <c r="R38" s="110"/>
      <c r="S38" s="110"/>
      <c r="T38" s="110"/>
      <c r="U38" s="263"/>
      <c r="V38" s="108">
        <f t="shared" si="0"/>
        <v>0</v>
      </c>
      <c r="W38" s="108">
        <f>AN_TME_BY[[#This Row],[TOTAL Non-Truncated Unadjusted Claims Expenses]]-AN_TME_BY[[#This Row],[Total Claims Excluded because of Truncation]]</f>
        <v>0</v>
      </c>
      <c r="X38" s="108">
        <f t="shared" si="1"/>
        <v>0</v>
      </c>
      <c r="Y38" s="108">
        <f>AN_TME_BY[[#This Row],[TOTAL Non-Truncated Unadjusted Claims Expenses]]+AN_TME_BY[[#This Row],[TOTAL Non-Claims Expenses]]</f>
        <v>0</v>
      </c>
      <c r="Z38" s="108">
        <f>AN_TME_BY[[#This Row],[TOTAL Truncated Unadjusted Claims Expenses (A21 -A19)]]+AN_TME_BY[[#This Row],[TOTAL Non-Claims Expenses]]</f>
        <v>0</v>
      </c>
      <c r="AA38" s="235">
        <f>IFERROR(AN_TME_BY[[#This Row],[TOTAL Non-Truncated Unadjusted Expenses (A21 + A23)]]/AN_TME_BY[[#This Row],[Member Months]],0)</f>
        <v>0</v>
      </c>
      <c r="AB38" s="109">
        <f>IFERROR(AN_TME_BY[[#This Row],[TOTAL Truncated Unadjusted Expenses (A22 + A23)]]/AN_TME_BY[[#This Row],[Member Months]],0)</f>
        <v>0</v>
      </c>
      <c r="AC38" s="237">
        <f>IFERROR(AN_TME_BY[[#This Row],[Total Claims Excluded because of Truncation]]/AN_TME_BY[[#This Row],[Count of Members with Claims Truncated]], 0)</f>
        <v>0</v>
      </c>
      <c r="AD38" s="238">
        <f>IFERROR(AN_TME_BY[[#This Row],[Total Claims Excluded because of Truncation]]/AN_TME_BY[[#This Row],[TOTAL Non-Truncated Unadjusted Claims Expenses]], 0)</f>
        <v>0</v>
      </c>
    </row>
    <row r="39" spans="1:30" x14ac:dyDescent="0.25">
      <c r="A39" s="122"/>
      <c r="B39" s="104"/>
      <c r="C39" s="270"/>
      <c r="D39" s="294"/>
      <c r="E39" s="110"/>
      <c r="F39" s="110"/>
      <c r="G39" s="110"/>
      <c r="H39" s="110"/>
      <c r="I39" s="110"/>
      <c r="J39" s="110"/>
      <c r="K39" s="110"/>
      <c r="L39" s="110"/>
      <c r="M39" s="110"/>
      <c r="N39" s="110"/>
      <c r="O39" s="110"/>
      <c r="P39" s="110"/>
      <c r="Q39" s="110"/>
      <c r="R39" s="110"/>
      <c r="S39" s="110"/>
      <c r="T39" s="110"/>
      <c r="U39" s="263"/>
      <c r="V39" s="108">
        <f t="shared" si="0"/>
        <v>0</v>
      </c>
      <c r="W39" s="108">
        <f>AN_TME_BY[[#This Row],[TOTAL Non-Truncated Unadjusted Claims Expenses]]-AN_TME_BY[[#This Row],[Total Claims Excluded because of Truncation]]</f>
        <v>0</v>
      </c>
      <c r="X39" s="108">
        <f t="shared" si="1"/>
        <v>0</v>
      </c>
      <c r="Y39" s="108">
        <f>AN_TME_BY[[#This Row],[TOTAL Non-Truncated Unadjusted Claims Expenses]]+AN_TME_BY[[#This Row],[TOTAL Non-Claims Expenses]]</f>
        <v>0</v>
      </c>
      <c r="Z39" s="108">
        <f>AN_TME_BY[[#This Row],[TOTAL Truncated Unadjusted Claims Expenses (A21 -A19)]]+AN_TME_BY[[#This Row],[TOTAL Non-Claims Expenses]]</f>
        <v>0</v>
      </c>
      <c r="AA39" s="235">
        <f>IFERROR(AN_TME_BY[[#This Row],[TOTAL Non-Truncated Unadjusted Expenses (A21 + A23)]]/AN_TME_BY[[#This Row],[Member Months]],0)</f>
        <v>0</v>
      </c>
      <c r="AB39" s="109">
        <f>IFERROR(AN_TME_BY[[#This Row],[TOTAL Truncated Unadjusted Expenses (A22 + A23)]]/AN_TME_BY[[#This Row],[Member Months]],0)</f>
        <v>0</v>
      </c>
      <c r="AC39" s="237">
        <f>IFERROR(AN_TME_BY[[#This Row],[Total Claims Excluded because of Truncation]]/AN_TME_BY[[#This Row],[Count of Members with Claims Truncated]], 0)</f>
        <v>0</v>
      </c>
      <c r="AD39" s="238">
        <f>IFERROR(AN_TME_BY[[#This Row],[Total Claims Excluded because of Truncation]]/AN_TME_BY[[#This Row],[TOTAL Non-Truncated Unadjusted Claims Expenses]], 0)</f>
        <v>0</v>
      </c>
    </row>
    <row r="40" spans="1:30" x14ac:dyDescent="0.25">
      <c r="A40" s="122"/>
      <c r="B40" s="104"/>
      <c r="C40" s="267"/>
      <c r="D40" s="294"/>
      <c r="E40" s="110"/>
      <c r="F40" s="110"/>
      <c r="G40" s="110"/>
      <c r="H40" s="110"/>
      <c r="I40" s="110"/>
      <c r="J40" s="110"/>
      <c r="K40" s="110"/>
      <c r="L40" s="110"/>
      <c r="M40" s="110"/>
      <c r="N40" s="110"/>
      <c r="O40" s="110"/>
      <c r="P40" s="110"/>
      <c r="Q40" s="110"/>
      <c r="R40" s="110"/>
      <c r="S40" s="110"/>
      <c r="T40" s="110"/>
      <c r="U40" s="263"/>
      <c r="V40" s="108">
        <f t="shared" si="0"/>
        <v>0</v>
      </c>
      <c r="W40" s="108">
        <f>AN_TME_BY[[#This Row],[TOTAL Non-Truncated Unadjusted Claims Expenses]]-AN_TME_BY[[#This Row],[Total Claims Excluded because of Truncation]]</f>
        <v>0</v>
      </c>
      <c r="X40" s="108">
        <f t="shared" si="1"/>
        <v>0</v>
      </c>
      <c r="Y40" s="108">
        <f>AN_TME_BY[[#This Row],[TOTAL Non-Truncated Unadjusted Claims Expenses]]+AN_TME_BY[[#This Row],[TOTAL Non-Claims Expenses]]</f>
        <v>0</v>
      </c>
      <c r="Z40" s="108">
        <f>AN_TME_BY[[#This Row],[TOTAL Truncated Unadjusted Claims Expenses (A21 -A19)]]+AN_TME_BY[[#This Row],[TOTAL Non-Claims Expenses]]</f>
        <v>0</v>
      </c>
      <c r="AA40" s="235">
        <f>IFERROR(AN_TME_BY[[#This Row],[TOTAL Non-Truncated Unadjusted Expenses (A21 + A23)]]/AN_TME_BY[[#This Row],[Member Months]],0)</f>
        <v>0</v>
      </c>
      <c r="AB40" s="109">
        <f>IFERROR(AN_TME_BY[[#This Row],[TOTAL Truncated Unadjusted Expenses (A22 + A23)]]/AN_TME_BY[[#This Row],[Member Months]],0)</f>
        <v>0</v>
      </c>
      <c r="AC40" s="237">
        <f>IFERROR(AN_TME_BY[[#This Row],[Total Claims Excluded because of Truncation]]/AN_TME_BY[[#This Row],[Count of Members with Claims Truncated]], 0)</f>
        <v>0</v>
      </c>
      <c r="AD40" s="238">
        <f>IFERROR(AN_TME_BY[[#This Row],[Total Claims Excluded because of Truncation]]/AN_TME_BY[[#This Row],[TOTAL Non-Truncated Unadjusted Claims Expenses]], 0)</f>
        <v>0</v>
      </c>
    </row>
    <row r="41" spans="1:30" x14ac:dyDescent="0.25">
      <c r="A41" s="101"/>
      <c r="B41" s="104"/>
      <c r="C41" s="270"/>
      <c r="D41" s="293"/>
      <c r="E41" s="110"/>
      <c r="F41" s="110"/>
      <c r="G41" s="110"/>
      <c r="H41" s="110"/>
      <c r="I41" s="110"/>
      <c r="J41" s="110"/>
      <c r="K41" s="110"/>
      <c r="L41" s="110"/>
      <c r="M41" s="110"/>
      <c r="N41" s="110"/>
      <c r="O41" s="110"/>
      <c r="P41" s="110"/>
      <c r="Q41" s="110"/>
      <c r="R41" s="110"/>
      <c r="S41" s="110"/>
      <c r="T41" s="107"/>
      <c r="U41" s="262"/>
      <c r="V41" s="108">
        <f t="shared" si="0"/>
        <v>0</v>
      </c>
      <c r="W41" s="108">
        <f>AN_TME_BY[[#This Row],[TOTAL Non-Truncated Unadjusted Claims Expenses]]-AN_TME_BY[[#This Row],[Total Claims Excluded because of Truncation]]</f>
        <v>0</v>
      </c>
      <c r="X41" s="108">
        <f t="shared" si="1"/>
        <v>0</v>
      </c>
      <c r="Y41" s="108">
        <f>AN_TME_BY[[#This Row],[TOTAL Non-Truncated Unadjusted Claims Expenses]]+AN_TME_BY[[#This Row],[TOTAL Non-Claims Expenses]]</f>
        <v>0</v>
      </c>
      <c r="Z41" s="108">
        <f>AN_TME_BY[[#This Row],[TOTAL Truncated Unadjusted Claims Expenses (A21 -A19)]]+AN_TME_BY[[#This Row],[TOTAL Non-Claims Expenses]]</f>
        <v>0</v>
      </c>
      <c r="AA41" s="235">
        <f>IFERROR(AN_TME_BY[[#This Row],[TOTAL Non-Truncated Unadjusted Expenses (A21 + A23)]]/AN_TME_BY[[#This Row],[Member Months]],0)</f>
        <v>0</v>
      </c>
      <c r="AB41" s="109">
        <f>IFERROR(AN_TME_BY[[#This Row],[TOTAL Truncated Unadjusted Expenses (A22 + A23)]]/AN_TME_BY[[#This Row],[Member Months]],0)</f>
        <v>0</v>
      </c>
      <c r="AC41" s="237">
        <f>IFERROR(AN_TME_BY[[#This Row],[Total Claims Excluded because of Truncation]]/AN_TME_BY[[#This Row],[Count of Members with Claims Truncated]], 0)</f>
        <v>0</v>
      </c>
      <c r="AD41" s="238">
        <f>IFERROR(AN_TME_BY[[#This Row],[Total Claims Excluded because of Truncation]]/AN_TME_BY[[#This Row],[TOTAL Non-Truncated Unadjusted Claims Expenses]], 0)</f>
        <v>0</v>
      </c>
    </row>
    <row r="42" spans="1:30" x14ac:dyDescent="0.25">
      <c r="A42" s="101"/>
      <c r="B42" s="104"/>
      <c r="C42" s="267"/>
      <c r="D42" s="294"/>
      <c r="E42" s="110"/>
      <c r="F42" s="110"/>
      <c r="G42" s="110"/>
      <c r="H42" s="110"/>
      <c r="I42" s="110"/>
      <c r="J42" s="110"/>
      <c r="K42" s="110"/>
      <c r="L42" s="110"/>
      <c r="M42" s="110"/>
      <c r="N42" s="110"/>
      <c r="O42" s="110"/>
      <c r="P42" s="110"/>
      <c r="Q42" s="110"/>
      <c r="R42" s="110"/>
      <c r="S42" s="110"/>
      <c r="T42" s="110"/>
      <c r="U42" s="263"/>
      <c r="V42" s="108">
        <f t="shared" si="0"/>
        <v>0</v>
      </c>
      <c r="W42" s="108">
        <f>AN_TME_BY[[#This Row],[TOTAL Non-Truncated Unadjusted Claims Expenses]]-AN_TME_BY[[#This Row],[Total Claims Excluded because of Truncation]]</f>
        <v>0</v>
      </c>
      <c r="X42" s="108">
        <f t="shared" si="1"/>
        <v>0</v>
      </c>
      <c r="Y42" s="108">
        <f>AN_TME_BY[[#This Row],[TOTAL Non-Truncated Unadjusted Claims Expenses]]+AN_TME_BY[[#This Row],[TOTAL Non-Claims Expenses]]</f>
        <v>0</v>
      </c>
      <c r="Z42" s="108">
        <f>AN_TME_BY[[#This Row],[TOTAL Truncated Unadjusted Claims Expenses (A21 -A19)]]+AN_TME_BY[[#This Row],[TOTAL Non-Claims Expenses]]</f>
        <v>0</v>
      </c>
      <c r="AA42" s="235">
        <f>IFERROR(AN_TME_BY[[#This Row],[TOTAL Non-Truncated Unadjusted Expenses (A21 + A23)]]/AN_TME_BY[[#This Row],[Member Months]],0)</f>
        <v>0</v>
      </c>
      <c r="AB42" s="109">
        <f>IFERROR(AN_TME_BY[[#This Row],[TOTAL Truncated Unadjusted Expenses (A22 + A23)]]/AN_TME_BY[[#This Row],[Member Months]],0)</f>
        <v>0</v>
      </c>
      <c r="AC42" s="237">
        <f>IFERROR(AN_TME_BY[[#This Row],[Total Claims Excluded because of Truncation]]/AN_TME_BY[[#This Row],[Count of Members with Claims Truncated]], 0)</f>
        <v>0</v>
      </c>
      <c r="AD42" s="238">
        <f>IFERROR(AN_TME_BY[[#This Row],[Total Claims Excluded because of Truncation]]/AN_TME_BY[[#This Row],[TOTAL Non-Truncated Unadjusted Claims Expenses]], 0)</f>
        <v>0</v>
      </c>
    </row>
    <row r="43" spans="1:30" x14ac:dyDescent="0.25">
      <c r="A43" s="101"/>
      <c r="B43" s="104"/>
      <c r="C43" s="270"/>
      <c r="D43" s="294"/>
      <c r="E43" s="110"/>
      <c r="F43" s="110"/>
      <c r="G43" s="110"/>
      <c r="H43" s="110"/>
      <c r="I43" s="110"/>
      <c r="J43" s="110"/>
      <c r="K43" s="110"/>
      <c r="L43" s="110"/>
      <c r="M43" s="110"/>
      <c r="N43" s="110"/>
      <c r="O43" s="110"/>
      <c r="P43" s="110"/>
      <c r="Q43" s="110"/>
      <c r="R43" s="110"/>
      <c r="S43" s="110"/>
      <c r="T43" s="110"/>
      <c r="U43" s="263"/>
      <c r="V43" s="108">
        <f t="shared" ref="V43:V74" si="2">SUM(E43:G43)+SUM(I43:M43)</f>
        <v>0</v>
      </c>
      <c r="W43" s="108">
        <f>AN_TME_BY[[#This Row],[TOTAL Non-Truncated Unadjusted Claims Expenses]]-AN_TME_BY[[#This Row],[Total Claims Excluded because of Truncation]]</f>
        <v>0</v>
      </c>
      <c r="X43" s="108">
        <f t="shared" ref="X43:X74" si="3">SUM(N43:R43)</f>
        <v>0</v>
      </c>
      <c r="Y43" s="108">
        <f>AN_TME_BY[[#This Row],[TOTAL Non-Truncated Unadjusted Claims Expenses]]+AN_TME_BY[[#This Row],[TOTAL Non-Claims Expenses]]</f>
        <v>0</v>
      </c>
      <c r="Z43" s="108">
        <f>AN_TME_BY[[#This Row],[TOTAL Truncated Unadjusted Claims Expenses (A21 -A19)]]+AN_TME_BY[[#This Row],[TOTAL Non-Claims Expenses]]</f>
        <v>0</v>
      </c>
      <c r="AA43" s="235">
        <f>IFERROR(AN_TME_BY[[#This Row],[TOTAL Non-Truncated Unadjusted Expenses (A21 + A23)]]/AN_TME_BY[[#This Row],[Member Months]],0)</f>
        <v>0</v>
      </c>
      <c r="AB43" s="109">
        <f>IFERROR(AN_TME_BY[[#This Row],[TOTAL Truncated Unadjusted Expenses (A22 + A23)]]/AN_TME_BY[[#This Row],[Member Months]],0)</f>
        <v>0</v>
      </c>
      <c r="AC43" s="237">
        <f>IFERROR(AN_TME_BY[[#This Row],[Total Claims Excluded because of Truncation]]/AN_TME_BY[[#This Row],[Count of Members with Claims Truncated]], 0)</f>
        <v>0</v>
      </c>
      <c r="AD43" s="238">
        <f>IFERROR(AN_TME_BY[[#This Row],[Total Claims Excluded because of Truncation]]/AN_TME_BY[[#This Row],[TOTAL Non-Truncated Unadjusted Claims Expenses]], 0)</f>
        <v>0</v>
      </c>
    </row>
    <row r="44" spans="1:30" x14ac:dyDescent="0.25">
      <c r="A44" s="101"/>
      <c r="B44" s="104"/>
      <c r="C44" s="267"/>
      <c r="D44" s="294"/>
      <c r="E44" s="110"/>
      <c r="F44" s="110"/>
      <c r="G44" s="110"/>
      <c r="H44" s="110"/>
      <c r="I44" s="110"/>
      <c r="J44" s="110"/>
      <c r="K44" s="110"/>
      <c r="L44" s="110"/>
      <c r="M44" s="110"/>
      <c r="N44" s="110"/>
      <c r="O44" s="110"/>
      <c r="P44" s="110"/>
      <c r="Q44" s="110"/>
      <c r="R44" s="110"/>
      <c r="S44" s="110"/>
      <c r="T44" s="110"/>
      <c r="U44" s="263"/>
      <c r="V44" s="108">
        <f t="shared" si="2"/>
        <v>0</v>
      </c>
      <c r="W44" s="108">
        <f>AN_TME_BY[[#This Row],[TOTAL Non-Truncated Unadjusted Claims Expenses]]-AN_TME_BY[[#This Row],[Total Claims Excluded because of Truncation]]</f>
        <v>0</v>
      </c>
      <c r="X44" s="108">
        <f t="shared" si="3"/>
        <v>0</v>
      </c>
      <c r="Y44" s="108">
        <f>AN_TME_BY[[#This Row],[TOTAL Non-Truncated Unadjusted Claims Expenses]]+AN_TME_BY[[#This Row],[TOTAL Non-Claims Expenses]]</f>
        <v>0</v>
      </c>
      <c r="Z44" s="108">
        <f>AN_TME_BY[[#This Row],[TOTAL Truncated Unadjusted Claims Expenses (A21 -A19)]]+AN_TME_BY[[#This Row],[TOTAL Non-Claims Expenses]]</f>
        <v>0</v>
      </c>
      <c r="AA44" s="235">
        <f>IFERROR(AN_TME_BY[[#This Row],[TOTAL Non-Truncated Unadjusted Expenses (A21 + A23)]]/AN_TME_BY[[#This Row],[Member Months]],0)</f>
        <v>0</v>
      </c>
      <c r="AB44" s="109">
        <f>IFERROR(AN_TME_BY[[#This Row],[TOTAL Truncated Unadjusted Expenses (A22 + A23)]]/AN_TME_BY[[#This Row],[Member Months]],0)</f>
        <v>0</v>
      </c>
      <c r="AC44" s="237">
        <f>IFERROR(AN_TME_BY[[#This Row],[Total Claims Excluded because of Truncation]]/AN_TME_BY[[#This Row],[Count of Members with Claims Truncated]], 0)</f>
        <v>0</v>
      </c>
      <c r="AD44" s="238">
        <f>IFERROR(AN_TME_BY[[#This Row],[Total Claims Excluded because of Truncation]]/AN_TME_BY[[#This Row],[TOTAL Non-Truncated Unadjusted Claims Expenses]], 0)</f>
        <v>0</v>
      </c>
    </row>
    <row r="45" spans="1:30" x14ac:dyDescent="0.25">
      <c r="A45" s="101"/>
      <c r="B45" s="104"/>
      <c r="C45" s="270"/>
      <c r="D45" s="294"/>
      <c r="E45" s="110"/>
      <c r="F45" s="110"/>
      <c r="G45" s="110"/>
      <c r="H45" s="110"/>
      <c r="I45" s="110"/>
      <c r="J45" s="110"/>
      <c r="K45" s="110"/>
      <c r="L45" s="110"/>
      <c r="M45" s="110"/>
      <c r="N45" s="110"/>
      <c r="O45" s="110"/>
      <c r="P45" s="110"/>
      <c r="Q45" s="110"/>
      <c r="R45" s="110"/>
      <c r="S45" s="110"/>
      <c r="T45" s="110"/>
      <c r="U45" s="263"/>
      <c r="V45" s="108">
        <f t="shared" si="2"/>
        <v>0</v>
      </c>
      <c r="W45" s="108">
        <f>AN_TME_BY[[#This Row],[TOTAL Non-Truncated Unadjusted Claims Expenses]]-AN_TME_BY[[#This Row],[Total Claims Excluded because of Truncation]]</f>
        <v>0</v>
      </c>
      <c r="X45" s="108">
        <f t="shared" si="3"/>
        <v>0</v>
      </c>
      <c r="Y45" s="108">
        <f>AN_TME_BY[[#This Row],[TOTAL Non-Truncated Unadjusted Claims Expenses]]+AN_TME_BY[[#This Row],[TOTAL Non-Claims Expenses]]</f>
        <v>0</v>
      </c>
      <c r="Z45" s="108">
        <f>AN_TME_BY[[#This Row],[TOTAL Truncated Unadjusted Claims Expenses (A21 -A19)]]+AN_TME_BY[[#This Row],[TOTAL Non-Claims Expenses]]</f>
        <v>0</v>
      </c>
      <c r="AA45" s="235">
        <f>IFERROR(AN_TME_BY[[#This Row],[TOTAL Non-Truncated Unadjusted Expenses (A21 + A23)]]/AN_TME_BY[[#This Row],[Member Months]],0)</f>
        <v>0</v>
      </c>
      <c r="AB45" s="109">
        <f>IFERROR(AN_TME_BY[[#This Row],[TOTAL Truncated Unadjusted Expenses (A22 + A23)]]/AN_TME_BY[[#This Row],[Member Months]],0)</f>
        <v>0</v>
      </c>
      <c r="AC45" s="237">
        <f>IFERROR(AN_TME_BY[[#This Row],[Total Claims Excluded because of Truncation]]/AN_TME_BY[[#This Row],[Count of Members with Claims Truncated]], 0)</f>
        <v>0</v>
      </c>
      <c r="AD45" s="238">
        <f>IFERROR(AN_TME_BY[[#This Row],[Total Claims Excluded because of Truncation]]/AN_TME_BY[[#This Row],[TOTAL Non-Truncated Unadjusted Claims Expenses]], 0)</f>
        <v>0</v>
      </c>
    </row>
    <row r="46" spans="1:30" x14ac:dyDescent="0.25">
      <c r="A46" s="101"/>
      <c r="B46" s="104"/>
      <c r="C46" s="267"/>
      <c r="D46" s="294"/>
      <c r="E46" s="110"/>
      <c r="F46" s="110"/>
      <c r="G46" s="110"/>
      <c r="H46" s="110"/>
      <c r="I46" s="110"/>
      <c r="J46" s="110"/>
      <c r="K46" s="110"/>
      <c r="L46" s="110"/>
      <c r="M46" s="110"/>
      <c r="N46" s="110"/>
      <c r="O46" s="110"/>
      <c r="P46" s="110"/>
      <c r="Q46" s="110"/>
      <c r="R46" s="110"/>
      <c r="S46" s="110"/>
      <c r="T46" s="110"/>
      <c r="U46" s="263"/>
      <c r="V46" s="108">
        <f t="shared" si="2"/>
        <v>0</v>
      </c>
      <c r="W46" s="108">
        <f>AN_TME_BY[[#This Row],[TOTAL Non-Truncated Unadjusted Claims Expenses]]-AN_TME_BY[[#This Row],[Total Claims Excluded because of Truncation]]</f>
        <v>0</v>
      </c>
      <c r="X46" s="108">
        <f t="shared" si="3"/>
        <v>0</v>
      </c>
      <c r="Y46" s="108">
        <f>AN_TME_BY[[#This Row],[TOTAL Non-Truncated Unadjusted Claims Expenses]]+AN_TME_BY[[#This Row],[TOTAL Non-Claims Expenses]]</f>
        <v>0</v>
      </c>
      <c r="Z46" s="108">
        <f>AN_TME_BY[[#This Row],[TOTAL Truncated Unadjusted Claims Expenses (A21 -A19)]]+AN_TME_BY[[#This Row],[TOTAL Non-Claims Expenses]]</f>
        <v>0</v>
      </c>
      <c r="AA46" s="235">
        <f>IFERROR(AN_TME_BY[[#This Row],[TOTAL Non-Truncated Unadjusted Expenses (A21 + A23)]]/AN_TME_BY[[#This Row],[Member Months]],0)</f>
        <v>0</v>
      </c>
      <c r="AB46" s="109">
        <f>IFERROR(AN_TME_BY[[#This Row],[TOTAL Truncated Unadjusted Expenses (A22 + A23)]]/AN_TME_BY[[#This Row],[Member Months]],0)</f>
        <v>0</v>
      </c>
      <c r="AC46" s="237">
        <f>IFERROR(AN_TME_BY[[#This Row],[Total Claims Excluded because of Truncation]]/AN_TME_BY[[#This Row],[Count of Members with Claims Truncated]], 0)</f>
        <v>0</v>
      </c>
      <c r="AD46" s="238">
        <f>IFERROR(AN_TME_BY[[#This Row],[Total Claims Excluded because of Truncation]]/AN_TME_BY[[#This Row],[TOTAL Non-Truncated Unadjusted Claims Expenses]], 0)</f>
        <v>0</v>
      </c>
    </row>
    <row r="47" spans="1:30" x14ac:dyDescent="0.25">
      <c r="A47" s="101"/>
      <c r="B47" s="104"/>
      <c r="C47" s="270"/>
      <c r="D47" s="294"/>
      <c r="E47" s="110"/>
      <c r="F47" s="110"/>
      <c r="G47" s="110"/>
      <c r="H47" s="110"/>
      <c r="I47" s="110"/>
      <c r="J47" s="110"/>
      <c r="K47" s="110"/>
      <c r="L47" s="110"/>
      <c r="M47" s="110"/>
      <c r="N47" s="110"/>
      <c r="O47" s="110"/>
      <c r="P47" s="110"/>
      <c r="Q47" s="110"/>
      <c r="R47" s="110"/>
      <c r="S47" s="110"/>
      <c r="T47" s="110"/>
      <c r="U47" s="263"/>
      <c r="V47" s="108">
        <f t="shared" si="2"/>
        <v>0</v>
      </c>
      <c r="W47" s="108">
        <f>AN_TME_BY[[#This Row],[TOTAL Non-Truncated Unadjusted Claims Expenses]]-AN_TME_BY[[#This Row],[Total Claims Excluded because of Truncation]]</f>
        <v>0</v>
      </c>
      <c r="X47" s="108">
        <f t="shared" si="3"/>
        <v>0</v>
      </c>
      <c r="Y47" s="108">
        <f>AN_TME_BY[[#This Row],[TOTAL Non-Truncated Unadjusted Claims Expenses]]+AN_TME_BY[[#This Row],[TOTAL Non-Claims Expenses]]</f>
        <v>0</v>
      </c>
      <c r="Z47" s="108">
        <f>AN_TME_BY[[#This Row],[TOTAL Truncated Unadjusted Claims Expenses (A21 -A19)]]+AN_TME_BY[[#This Row],[TOTAL Non-Claims Expenses]]</f>
        <v>0</v>
      </c>
      <c r="AA47" s="235">
        <f>IFERROR(AN_TME_BY[[#This Row],[TOTAL Non-Truncated Unadjusted Expenses (A21 + A23)]]/AN_TME_BY[[#This Row],[Member Months]],0)</f>
        <v>0</v>
      </c>
      <c r="AB47" s="109">
        <f>IFERROR(AN_TME_BY[[#This Row],[TOTAL Truncated Unadjusted Expenses (A22 + A23)]]/AN_TME_BY[[#This Row],[Member Months]],0)</f>
        <v>0</v>
      </c>
      <c r="AC47" s="237">
        <f>IFERROR(AN_TME_BY[[#This Row],[Total Claims Excluded because of Truncation]]/AN_TME_BY[[#This Row],[Count of Members with Claims Truncated]], 0)</f>
        <v>0</v>
      </c>
      <c r="AD47" s="238">
        <f>IFERROR(AN_TME_BY[[#This Row],[Total Claims Excluded because of Truncation]]/AN_TME_BY[[#This Row],[TOTAL Non-Truncated Unadjusted Claims Expenses]], 0)</f>
        <v>0</v>
      </c>
    </row>
    <row r="48" spans="1:30" x14ac:dyDescent="0.25">
      <c r="A48" s="101"/>
      <c r="B48" s="104"/>
      <c r="C48" s="267"/>
      <c r="D48" s="294"/>
      <c r="E48" s="110"/>
      <c r="F48" s="110"/>
      <c r="G48" s="110"/>
      <c r="H48" s="110"/>
      <c r="I48" s="110"/>
      <c r="J48" s="110"/>
      <c r="K48" s="110"/>
      <c r="L48" s="110"/>
      <c r="M48" s="110"/>
      <c r="N48" s="110"/>
      <c r="O48" s="110"/>
      <c r="P48" s="110"/>
      <c r="Q48" s="110"/>
      <c r="R48" s="110"/>
      <c r="S48" s="110"/>
      <c r="T48" s="110"/>
      <c r="U48" s="263"/>
      <c r="V48" s="108">
        <f t="shared" si="2"/>
        <v>0</v>
      </c>
      <c r="W48" s="108">
        <f>AN_TME_BY[[#This Row],[TOTAL Non-Truncated Unadjusted Claims Expenses]]-AN_TME_BY[[#This Row],[Total Claims Excluded because of Truncation]]</f>
        <v>0</v>
      </c>
      <c r="X48" s="108">
        <f t="shared" si="3"/>
        <v>0</v>
      </c>
      <c r="Y48" s="108">
        <f>AN_TME_BY[[#This Row],[TOTAL Non-Truncated Unadjusted Claims Expenses]]+AN_TME_BY[[#This Row],[TOTAL Non-Claims Expenses]]</f>
        <v>0</v>
      </c>
      <c r="Z48" s="108">
        <f>AN_TME_BY[[#This Row],[TOTAL Truncated Unadjusted Claims Expenses (A21 -A19)]]+AN_TME_BY[[#This Row],[TOTAL Non-Claims Expenses]]</f>
        <v>0</v>
      </c>
      <c r="AA48" s="235">
        <f>IFERROR(AN_TME_BY[[#This Row],[TOTAL Non-Truncated Unadjusted Expenses (A21 + A23)]]/AN_TME_BY[[#This Row],[Member Months]],0)</f>
        <v>0</v>
      </c>
      <c r="AB48" s="271">
        <f>IFERROR(AN_TME_BY[[#This Row],[TOTAL Truncated Unadjusted Expenses (A22 + A23)]]/AN_TME_BY[[#This Row],[Member Months]],0)</f>
        <v>0</v>
      </c>
      <c r="AC48" s="237">
        <f>IFERROR(AN_TME_BY[[#This Row],[Total Claims Excluded because of Truncation]]/AN_TME_BY[[#This Row],[Count of Members with Claims Truncated]], 0)</f>
        <v>0</v>
      </c>
      <c r="AD48" s="238">
        <f>IFERROR(AN_TME_BY[[#This Row],[Total Claims Excluded because of Truncation]]/AN_TME_BY[[#This Row],[TOTAL Non-Truncated Unadjusted Claims Expenses]], 0)</f>
        <v>0</v>
      </c>
    </row>
    <row r="49" spans="1:30" x14ac:dyDescent="0.25">
      <c r="A49" s="101"/>
      <c r="B49" s="104"/>
      <c r="C49" s="270"/>
      <c r="D49" s="294"/>
      <c r="E49" s="110"/>
      <c r="F49" s="110"/>
      <c r="G49" s="110"/>
      <c r="H49" s="110"/>
      <c r="I49" s="110"/>
      <c r="J49" s="110"/>
      <c r="K49" s="110"/>
      <c r="L49" s="110"/>
      <c r="M49" s="110"/>
      <c r="N49" s="110"/>
      <c r="O49" s="110"/>
      <c r="P49" s="110"/>
      <c r="Q49" s="110"/>
      <c r="R49" s="110"/>
      <c r="S49" s="110"/>
      <c r="T49" s="110"/>
      <c r="U49" s="263"/>
      <c r="V49" s="108">
        <f t="shared" si="2"/>
        <v>0</v>
      </c>
      <c r="W49" s="108">
        <f>AN_TME_BY[[#This Row],[TOTAL Non-Truncated Unadjusted Claims Expenses]]-AN_TME_BY[[#This Row],[Total Claims Excluded because of Truncation]]</f>
        <v>0</v>
      </c>
      <c r="X49" s="108">
        <f t="shared" si="3"/>
        <v>0</v>
      </c>
      <c r="Y49" s="108">
        <f>AN_TME_BY[[#This Row],[TOTAL Non-Truncated Unadjusted Claims Expenses]]+AN_TME_BY[[#This Row],[TOTAL Non-Claims Expenses]]</f>
        <v>0</v>
      </c>
      <c r="Z49" s="108">
        <f>AN_TME_BY[[#This Row],[TOTAL Truncated Unadjusted Claims Expenses (A21 -A19)]]+AN_TME_BY[[#This Row],[TOTAL Non-Claims Expenses]]</f>
        <v>0</v>
      </c>
      <c r="AA49" s="235">
        <f>IFERROR(AN_TME_BY[[#This Row],[TOTAL Non-Truncated Unadjusted Expenses (A21 + A23)]]/AN_TME_BY[[#This Row],[Member Months]],0)</f>
        <v>0</v>
      </c>
      <c r="AB49" s="271">
        <f>IFERROR(AN_TME_BY[[#This Row],[TOTAL Truncated Unadjusted Expenses (A22 + A23)]]/AN_TME_BY[[#This Row],[Member Months]],0)</f>
        <v>0</v>
      </c>
      <c r="AC49" s="237">
        <f>IFERROR(AN_TME_BY[[#This Row],[Total Claims Excluded because of Truncation]]/AN_TME_BY[[#This Row],[Count of Members with Claims Truncated]], 0)</f>
        <v>0</v>
      </c>
      <c r="AD49" s="238">
        <f>IFERROR(AN_TME_BY[[#This Row],[Total Claims Excluded because of Truncation]]/AN_TME_BY[[#This Row],[TOTAL Non-Truncated Unadjusted Claims Expenses]], 0)</f>
        <v>0</v>
      </c>
    </row>
    <row r="50" spans="1:30" x14ac:dyDescent="0.25">
      <c r="A50" s="101"/>
      <c r="B50" s="104"/>
      <c r="C50" s="267"/>
      <c r="D50" s="294"/>
      <c r="E50" s="110"/>
      <c r="F50" s="110"/>
      <c r="G50" s="110"/>
      <c r="H50" s="110"/>
      <c r="I50" s="110"/>
      <c r="J50" s="110"/>
      <c r="K50" s="110"/>
      <c r="L50" s="110"/>
      <c r="M50" s="110"/>
      <c r="N50" s="110"/>
      <c r="O50" s="110"/>
      <c r="P50" s="110"/>
      <c r="Q50" s="110"/>
      <c r="R50" s="110"/>
      <c r="S50" s="110"/>
      <c r="T50" s="110"/>
      <c r="U50" s="263"/>
      <c r="V50" s="108">
        <f t="shared" si="2"/>
        <v>0</v>
      </c>
      <c r="W50" s="108">
        <f>AN_TME_BY[[#This Row],[TOTAL Non-Truncated Unadjusted Claims Expenses]]-AN_TME_BY[[#This Row],[Total Claims Excluded because of Truncation]]</f>
        <v>0</v>
      </c>
      <c r="X50" s="108">
        <f t="shared" si="3"/>
        <v>0</v>
      </c>
      <c r="Y50" s="108">
        <f>AN_TME_BY[[#This Row],[TOTAL Non-Truncated Unadjusted Claims Expenses]]+AN_TME_BY[[#This Row],[TOTAL Non-Claims Expenses]]</f>
        <v>0</v>
      </c>
      <c r="Z50" s="108">
        <f>AN_TME_BY[[#This Row],[TOTAL Truncated Unadjusted Claims Expenses (A21 -A19)]]+AN_TME_BY[[#This Row],[TOTAL Non-Claims Expenses]]</f>
        <v>0</v>
      </c>
      <c r="AA50" s="235">
        <f>IFERROR(AN_TME_BY[[#This Row],[TOTAL Non-Truncated Unadjusted Expenses (A21 + A23)]]/AN_TME_BY[[#This Row],[Member Months]],0)</f>
        <v>0</v>
      </c>
      <c r="AB50" s="271">
        <f>IFERROR(AN_TME_BY[[#This Row],[TOTAL Truncated Unadjusted Expenses (A22 + A23)]]/AN_TME_BY[[#This Row],[Member Months]],0)</f>
        <v>0</v>
      </c>
      <c r="AC50" s="237">
        <f>IFERROR(AN_TME_BY[[#This Row],[Total Claims Excluded because of Truncation]]/AN_TME_BY[[#This Row],[Count of Members with Claims Truncated]], 0)</f>
        <v>0</v>
      </c>
      <c r="AD50" s="238">
        <f>IFERROR(AN_TME_BY[[#This Row],[Total Claims Excluded because of Truncation]]/AN_TME_BY[[#This Row],[TOTAL Non-Truncated Unadjusted Claims Expenses]], 0)</f>
        <v>0</v>
      </c>
    </row>
    <row r="51" spans="1:30" x14ac:dyDescent="0.25">
      <c r="A51" s="101"/>
      <c r="B51" s="104"/>
      <c r="C51" s="270"/>
      <c r="D51" s="294"/>
      <c r="E51" s="110"/>
      <c r="F51" s="110"/>
      <c r="G51" s="110"/>
      <c r="H51" s="110"/>
      <c r="I51" s="110"/>
      <c r="J51" s="110"/>
      <c r="K51" s="110"/>
      <c r="L51" s="110"/>
      <c r="M51" s="110"/>
      <c r="N51" s="110"/>
      <c r="O51" s="110"/>
      <c r="P51" s="110"/>
      <c r="Q51" s="110"/>
      <c r="R51" s="110"/>
      <c r="S51" s="110"/>
      <c r="T51" s="110"/>
      <c r="U51" s="263"/>
      <c r="V51" s="108">
        <f t="shared" si="2"/>
        <v>0</v>
      </c>
      <c r="W51" s="108">
        <f>AN_TME_BY[[#This Row],[TOTAL Non-Truncated Unadjusted Claims Expenses]]-AN_TME_BY[[#This Row],[Total Claims Excluded because of Truncation]]</f>
        <v>0</v>
      </c>
      <c r="X51" s="108">
        <f t="shared" si="3"/>
        <v>0</v>
      </c>
      <c r="Y51" s="108">
        <f>AN_TME_BY[[#This Row],[TOTAL Non-Truncated Unadjusted Claims Expenses]]+AN_TME_BY[[#This Row],[TOTAL Non-Claims Expenses]]</f>
        <v>0</v>
      </c>
      <c r="Z51" s="108">
        <f>AN_TME_BY[[#This Row],[TOTAL Truncated Unadjusted Claims Expenses (A21 -A19)]]+AN_TME_BY[[#This Row],[TOTAL Non-Claims Expenses]]</f>
        <v>0</v>
      </c>
      <c r="AA51" s="235">
        <f>IFERROR(AN_TME_BY[[#This Row],[TOTAL Non-Truncated Unadjusted Expenses (A21 + A23)]]/AN_TME_BY[[#This Row],[Member Months]],0)</f>
        <v>0</v>
      </c>
      <c r="AB51" s="271">
        <f>IFERROR(AN_TME_BY[[#This Row],[TOTAL Truncated Unadjusted Expenses (A22 + A23)]]/AN_TME_BY[[#This Row],[Member Months]],0)</f>
        <v>0</v>
      </c>
      <c r="AC51" s="237">
        <f>IFERROR(AN_TME_BY[[#This Row],[Total Claims Excluded because of Truncation]]/AN_TME_BY[[#This Row],[Count of Members with Claims Truncated]], 0)</f>
        <v>0</v>
      </c>
      <c r="AD51" s="238">
        <f>IFERROR(AN_TME_BY[[#This Row],[Total Claims Excluded because of Truncation]]/AN_TME_BY[[#This Row],[TOTAL Non-Truncated Unadjusted Claims Expenses]], 0)</f>
        <v>0</v>
      </c>
    </row>
    <row r="52" spans="1:30" x14ac:dyDescent="0.25">
      <c r="A52" s="101"/>
      <c r="B52" s="104"/>
      <c r="C52" s="267"/>
      <c r="D52" s="294"/>
      <c r="E52" s="110"/>
      <c r="F52" s="110"/>
      <c r="G52" s="110"/>
      <c r="H52" s="110"/>
      <c r="I52" s="110"/>
      <c r="J52" s="110"/>
      <c r="K52" s="110"/>
      <c r="L52" s="110"/>
      <c r="M52" s="110"/>
      <c r="N52" s="110"/>
      <c r="O52" s="110"/>
      <c r="P52" s="110"/>
      <c r="Q52" s="110"/>
      <c r="R52" s="110"/>
      <c r="S52" s="110"/>
      <c r="T52" s="110"/>
      <c r="U52" s="263"/>
      <c r="V52" s="108">
        <f t="shared" si="2"/>
        <v>0</v>
      </c>
      <c r="W52" s="108">
        <f>AN_TME_BY[[#This Row],[TOTAL Non-Truncated Unadjusted Claims Expenses]]-AN_TME_BY[[#This Row],[Total Claims Excluded because of Truncation]]</f>
        <v>0</v>
      </c>
      <c r="X52" s="108">
        <f t="shared" si="3"/>
        <v>0</v>
      </c>
      <c r="Y52" s="108">
        <f>AN_TME_BY[[#This Row],[TOTAL Non-Truncated Unadjusted Claims Expenses]]+AN_TME_BY[[#This Row],[TOTAL Non-Claims Expenses]]</f>
        <v>0</v>
      </c>
      <c r="Z52" s="108">
        <f>AN_TME_BY[[#This Row],[TOTAL Truncated Unadjusted Claims Expenses (A21 -A19)]]+AN_TME_BY[[#This Row],[TOTAL Non-Claims Expenses]]</f>
        <v>0</v>
      </c>
      <c r="AA52" s="235">
        <f>IFERROR(AN_TME_BY[[#This Row],[TOTAL Non-Truncated Unadjusted Expenses (A21 + A23)]]/AN_TME_BY[[#This Row],[Member Months]],0)</f>
        <v>0</v>
      </c>
      <c r="AB52" s="271">
        <f>IFERROR(AN_TME_BY[[#This Row],[TOTAL Truncated Unadjusted Expenses (A22 + A23)]]/AN_TME_BY[[#This Row],[Member Months]],0)</f>
        <v>0</v>
      </c>
      <c r="AC52" s="237">
        <f>IFERROR(AN_TME_BY[[#This Row],[Total Claims Excluded because of Truncation]]/AN_TME_BY[[#This Row],[Count of Members with Claims Truncated]], 0)</f>
        <v>0</v>
      </c>
      <c r="AD52" s="238">
        <f>IFERROR(AN_TME_BY[[#This Row],[Total Claims Excluded because of Truncation]]/AN_TME_BY[[#This Row],[TOTAL Non-Truncated Unadjusted Claims Expenses]], 0)</f>
        <v>0</v>
      </c>
    </row>
    <row r="53" spans="1:30" x14ac:dyDescent="0.25">
      <c r="A53" s="101"/>
      <c r="B53" s="104"/>
      <c r="C53" s="270"/>
      <c r="D53" s="294"/>
      <c r="E53" s="110"/>
      <c r="F53" s="110"/>
      <c r="G53" s="110"/>
      <c r="H53" s="110"/>
      <c r="I53" s="110"/>
      <c r="J53" s="110"/>
      <c r="K53" s="110"/>
      <c r="L53" s="110"/>
      <c r="M53" s="110"/>
      <c r="N53" s="110"/>
      <c r="O53" s="110"/>
      <c r="P53" s="110"/>
      <c r="Q53" s="110"/>
      <c r="R53" s="110"/>
      <c r="S53" s="110"/>
      <c r="T53" s="110"/>
      <c r="U53" s="263"/>
      <c r="V53" s="108">
        <f t="shared" si="2"/>
        <v>0</v>
      </c>
      <c r="W53" s="108">
        <f>AN_TME_BY[[#This Row],[TOTAL Non-Truncated Unadjusted Claims Expenses]]-AN_TME_BY[[#This Row],[Total Claims Excluded because of Truncation]]</f>
        <v>0</v>
      </c>
      <c r="X53" s="108">
        <f t="shared" si="3"/>
        <v>0</v>
      </c>
      <c r="Y53" s="108">
        <f>AN_TME_BY[[#This Row],[TOTAL Non-Truncated Unadjusted Claims Expenses]]+AN_TME_BY[[#This Row],[TOTAL Non-Claims Expenses]]</f>
        <v>0</v>
      </c>
      <c r="Z53" s="108">
        <f>AN_TME_BY[[#This Row],[TOTAL Truncated Unadjusted Claims Expenses (A21 -A19)]]+AN_TME_BY[[#This Row],[TOTAL Non-Claims Expenses]]</f>
        <v>0</v>
      </c>
      <c r="AA53" s="235">
        <f>IFERROR(AN_TME_BY[[#This Row],[TOTAL Non-Truncated Unadjusted Expenses (A21 + A23)]]/AN_TME_BY[[#This Row],[Member Months]],0)</f>
        <v>0</v>
      </c>
      <c r="AB53" s="271">
        <f>IFERROR(AN_TME_BY[[#This Row],[TOTAL Truncated Unadjusted Expenses (A22 + A23)]]/AN_TME_BY[[#This Row],[Member Months]],0)</f>
        <v>0</v>
      </c>
      <c r="AC53" s="237">
        <f>IFERROR(AN_TME_BY[[#This Row],[Total Claims Excluded because of Truncation]]/AN_TME_BY[[#This Row],[Count of Members with Claims Truncated]], 0)</f>
        <v>0</v>
      </c>
      <c r="AD53" s="238">
        <f>IFERROR(AN_TME_BY[[#This Row],[Total Claims Excluded because of Truncation]]/AN_TME_BY[[#This Row],[TOTAL Non-Truncated Unadjusted Claims Expenses]], 0)</f>
        <v>0</v>
      </c>
    </row>
    <row r="54" spans="1:30" x14ac:dyDescent="0.25">
      <c r="A54" s="101"/>
      <c r="B54" s="104"/>
      <c r="C54" s="267"/>
      <c r="D54" s="294"/>
      <c r="E54" s="110"/>
      <c r="F54" s="110"/>
      <c r="G54" s="110"/>
      <c r="H54" s="110"/>
      <c r="I54" s="110"/>
      <c r="J54" s="110"/>
      <c r="K54" s="110"/>
      <c r="L54" s="110"/>
      <c r="M54" s="110"/>
      <c r="N54" s="110"/>
      <c r="O54" s="110"/>
      <c r="P54" s="110"/>
      <c r="Q54" s="110"/>
      <c r="R54" s="110"/>
      <c r="S54" s="110"/>
      <c r="T54" s="110"/>
      <c r="U54" s="263"/>
      <c r="V54" s="108">
        <f t="shared" si="2"/>
        <v>0</v>
      </c>
      <c r="W54" s="108">
        <f>AN_TME_BY[[#This Row],[TOTAL Non-Truncated Unadjusted Claims Expenses]]-AN_TME_BY[[#This Row],[Total Claims Excluded because of Truncation]]</f>
        <v>0</v>
      </c>
      <c r="X54" s="108">
        <f t="shared" si="3"/>
        <v>0</v>
      </c>
      <c r="Y54" s="108">
        <f>AN_TME_BY[[#This Row],[TOTAL Non-Truncated Unadjusted Claims Expenses]]+AN_TME_BY[[#This Row],[TOTAL Non-Claims Expenses]]</f>
        <v>0</v>
      </c>
      <c r="Z54" s="108">
        <f>AN_TME_BY[[#This Row],[TOTAL Truncated Unadjusted Claims Expenses (A21 -A19)]]+AN_TME_BY[[#This Row],[TOTAL Non-Claims Expenses]]</f>
        <v>0</v>
      </c>
      <c r="AA54" s="235">
        <f>IFERROR(AN_TME_BY[[#This Row],[TOTAL Non-Truncated Unadjusted Expenses (A21 + A23)]]/AN_TME_BY[[#This Row],[Member Months]],0)</f>
        <v>0</v>
      </c>
      <c r="AB54" s="271">
        <f>IFERROR(AN_TME_BY[[#This Row],[TOTAL Truncated Unadjusted Expenses (A22 + A23)]]/AN_TME_BY[[#This Row],[Member Months]],0)</f>
        <v>0</v>
      </c>
      <c r="AC54" s="237">
        <f>IFERROR(AN_TME_BY[[#This Row],[Total Claims Excluded because of Truncation]]/AN_TME_BY[[#This Row],[Count of Members with Claims Truncated]], 0)</f>
        <v>0</v>
      </c>
      <c r="AD54" s="238">
        <f>IFERROR(AN_TME_BY[[#This Row],[Total Claims Excluded because of Truncation]]/AN_TME_BY[[#This Row],[TOTAL Non-Truncated Unadjusted Claims Expenses]], 0)</f>
        <v>0</v>
      </c>
    </row>
    <row r="55" spans="1:30" x14ac:dyDescent="0.25">
      <c r="A55" s="101"/>
      <c r="B55" s="104"/>
      <c r="C55" s="270"/>
      <c r="D55" s="294"/>
      <c r="E55" s="110"/>
      <c r="F55" s="110"/>
      <c r="G55" s="110"/>
      <c r="H55" s="110"/>
      <c r="I55" s="110"/>
      <c r="J55" s="110"/>
      <c r="K55" s="110"/>
      <c r="L55" s="110"/>
      <c r="M55" s="110"/>
      <c r="N55" s="110"/>
      <c r="O55" s="110"/>
      <c r="P55" s="110"/>
      <c r="Q55" s="110"/>
      <c r="R55" s="110"/>
      <c r="S55" s="110"/>
      <c r="T55" s="110"/>
      <c r="U55" s="263"/>
      <c r="V55" s="108">
        <f t="shared" si="2"/>
        <v>0</v>
      </c>
      <c r="W55" s="108">
        <f>AN_TME_BY[[#This Row],[TOTAL Non-Truncated Unadjusted Claims Expenses]]-AN_TME_BY[[#This Row],[Total Claims Excluded because of Truncation]]</f>
        <v>0</v>
      </c>
      <c r="X55" s="108">
        <f t="shared" si="3"/>
        <v>0</v>
      </c>
      <c r="Y55" s="108">
        <f>AN_TME_BY[[#This Row],[TOTAL Non-Truncated Unadjusted Claims Expenses]]+AN_TME_BY[[#This Row],[TOTAL Non-Claims Expenses]]</f>
        <v>0</v>
      </c>
      <c r="Z55" s="108">
        <f>AN_TME_BY[[#This Row],[TOTAL Truncated Unadjusted Claims Expenses (A21 -A19)]]+AN_TME_BY[[#This Row],[TOTAL Non-Claims Expenses]]</f>
        <v>0</v>
      </c>
      <c r="AA55" s="235">
        <f>IFERROR(AN_TME_BY[[#This Row],[TOTAL Non-Truncated Unadjusted Expenses (A21 + A23)]]/AN_TME_BY[[#This Row],[Member Months]],0)</f>
        <v>0</v>
      </c>
      <c r="AB55" s="271">
        <f>IFERROR(AN_TME_BY[[#This Row],[TOTAL Truncated Unadjusted Expenses (A22 + A23)]]/AN_TME_BY[[#This Row],[Member Months]],0)</f>
        <v>0</v>
      </c>
      <c r="AC55" s="237">
        <f>IFERROR(AN_TME_BY[[#This Row],[Total Claims Excluded because of Truncation]]/AN_TME_BY[[#This Row],[Count of Members with Claims Truncated]], 0)</f>
        <v>0</v>
      </c>
      <c r="AD55" s="238">
        <f>IFERROR(AN_TME_BY[[#This Row],[Total Claims Excluded because of Truncation]]/AN_TME_BY[[#This Row],[TOTAL Non-Truncated Unadjusted Claims Expenses]], 0)</f>
        <v>0</v>
      </c>
    </row>
    <row r="56" spans="1:30" x14ac:dyDescent="0.25">
      <c r="A56" s="101"/>
      <c r="B56" s="104"/>
      <c r="C56" s="267"/>
      <c r="D56" s="294"/>
      <c r="E56" s="110"/>
      <c r="F56" s="110"/>
      <c r="G56" s="110"/>
      <c r="H56" s="110"/>
      <c r="I56" s="110"/>
      <c r="J56" s="110"/>
      <c r="K56" s="110"/>
      <c r="L56" s="110"/>
      <c r="M56" s="110"/>
      <c r="N56" s="110"/>
      <c r="O56" s="110"/>
      <c r="P56" s="110"/>
      <c r="Q56" s="110"/>
      <c r="R56" s="110"/>
      <c r="S56" s="110"/>
      <c r="T56" s="110"/>
      <c r="U56" s="263"/>
      <c r="V56" s="108">
        <f t="shared" si="2"/>
        <v>0</v>
      </c>
      <c r="W56" s="108">
        <f>AN_TME_BY[[#This Row],[TOTAL Non-Truncated Unadjusted Claims Expenses]]-AN_TME_BY[[#This Row],[Total Claims Excluded because of Truncation]]</f>
        <v>0</v>
      </c>
      <c r="X56" s="108">
        <f t="shared" si="3"/>
        <v>0</v>
      </c>
      <c r="Y56" s="108">
        <f>AN_TME_BY[[#This Row],[TOTAL Non-Truncated Unadjusted Claims Expenses]]+AN_TME_BY[[#This Row],[TOTAL Non-Claims Expenses]]</f>
        <v>0</v>
      </c>
      <c r="Z56" s="108">
        <f>AN_TME_BY[[#This Row],[TOTAL Truncated Unadjusted Claims Expenses (A21 -A19)]]+AN_TME_BY[[#This Row],[TOTAL Non-Claims Expenses]]</f>
        <v>0</v>
      </c>
      <c r="AA56" s="235">
        <f>IFERROR(AN_TME_BY[[#This Row],[TOTAL Non-Truncated Unadjusted Expenses (A21 + A23)]]/AN_TME_BY[[#This Row],[Member Months]],0)</f>
        <v>0</v>
      </c>
      <c r="AB56" s="271">
        <f>IFERROR(AN_TME_BY[[#This Row],[TOTAL Truncated Unadjusted Expenses (A22 + A23)]]/AN_TME_BY[[#This Row],[Member Months]],0)</f>
        <v>0</v>
      </c>
      <c r="AC56" s="237">
        <f>IFERROR(AN_TME_BY[[#This Row],[Total Claims Excluded because of Truncation]]/AN_TME_BY[[#This Row],[Count of Members with Claims Truncated]], 0)</f>
        <v>0</v>
      </c>
      <c r="AD56" s="238">
        <f>IFERROR(AN_TME_BY[[#This Row],[Total Claims Excluded because of Truncation]]/AN_TME_BY[[#This Row],[TOTAL Non-Truncated Unadjusted Claims Expenses]], 0)</f>
        <v>0</v>
      </c>
    </row>
    <row r="57" spans="1:30" x14ac:dyDescent="0.25">
      <c r="A57" s="101"/>
      <c r="B57" s="104"/>
      <c r="C57" s="270"/>
      <c r="D57" s="294"/>
      <c r="E57" s="110"/>
      <c r="F57" s="110"/>
      <c r="G57" s="110"/>
      <c r="H57" s="110"/>
      <c r="I57" s="110"/>
      <c r="J57" s="110"/>
      <c r="K57" s="110"/>
      <c r="L57" s="110"/>
      <c r="M57" s="110"/>
      <c r="N57" s="110"/>
      <c r="O57" s="110"/>
      <c r="P57" s="110"/>
      <c r="Q57" s="110"/>
      <c r="R57" s="110"/>
      <c r="S57" s="110"/>
      <c r="T57" s="110"/>
      <c r="U57" s="263"/>
      <c r="V57" s="108">
        <f t="shared" si="2"/>
        <v>0</v>
      </c>
      <c r="W57" s="108">
        <f>AN_TME_BY[[#This Row],[TOTAL Non-Truncated Unadjusted Claims Expenses]]-AN_TME_BY[[#This Row],[Total Claims Excluded because of Truncation]]</f>
        <v>0</v>
      </c>
      <c r="X57" s="108">
        <f t="shared" si="3"/>
        <v>0</v>
      </c>
      <c r="Y57" s="108">
        <f>AN_TME_BY[[#This Row],[TOTAL Non-Truncated Unadjusted Claims Expenses]]+AN_TME_BY[[#This Row],[TOTAL Non-Claims Expenses]]</f>
        <v>0</v>
      </c>
      <c r="Z57" s="108">
        <f>AN_TME_BY[[#This Row],[TOTAL Truncated Unadjusted Claims Expenses (A21 -A19)]]+AN_TME_BY[[#This Row],[TOTAL Non-Claims Expenses]]</f>
        <v>0</v>
      </c>
      <c r="AA57" s="235">
        <f>IFERROR(AN_TME_BY[[#This Row],[TOTAL Non-Truncated Unadjusted Expenses (A21 + A23)]]/AN_TME_BY[[#This Row],[Member Months]],0)</f>
        <v>0</v>
      </c>
      <c r="AB57" s="271">
        <f>IFERROR(AN_TME_BY[[#This Row],[TOTAL Truncated Unadjusted Expenses (A22 + A23)]]/AN_TME_BY[[#This Row],[Member Months]],0)</f>
        <v>0</v>
      </c>
      <c r="AC57" s="237">
        <f>IFERROR(AN_TME_BY[[#This Row],[Total Claims Excluded because of Truncation]]/AN_TME_BY[[#This Row],[Count of Members with Claims Truncated]], 0)</f>
        <v>0</v>
      </c>
      <c r="AD57" s="238">
        <f>IFERROR(AN_TME_BY[[#This Row],[Total Claims Excluded because of Truncation]]/AN_TME_BY[[#This Row],[TOTAL Non-Truncated Unadjusted Claims Expenses]], 0)</f>
        <v>0</v>
      </c>
    </row>
    <row r="58" spans="1:30" x14ac:dyDescent="0.25">
      <c r="A58" s="101"/>
      <c r="B58" s="104"/>
      <c r="C58" s="267"/>
      <c r="D58" s="294"/>
      <c r="E58" s="110"/>
      <c r="F58" s="110"/>
      <c r="G58" s="110"/>
      <c r="H58" s="110"/>
      <c r="I58" s="110"/>
      <c r="J58" s="110"/>
      <c r="K58" s="110"/>
      <c r="L58" s="110"/>
      <c r="M58" s="110"/>
      <c r="N58" s="110"/>
      <c r="O58" s="110"/>
      <c r="P58" s="110"/>
      <c r="Q58" s="110"/>
      <c r="R58" s="110"/>
      <c r="S58" s="110"/>
      <c r="T58" s="110"/>
      <c r="U58" s="263"/>
      <c r="V58" s="108">
        <f t="shared" si="2"/>
        <v>0</v>
      </c>
      <c r="W58" s="108">
        <f>AN_TME_BY[[#This Row],[TOTAL Non-Truncated Unadjusted Claims Expenses]]-AN_TME_BY[[#This Row],[Total Claims Excluded because of Truncation]]</f>
        <v>0</v>
      </c>
      <c r="X58" s="108">
        <f t="shared" si="3"/>
        <v>0</v>
      </c>
      <c r="Y58" s="108">
        <f>AN_TME_BY[[#This Row],[TOTAL Non-Truncated Unadjusted Claims Expenses]]+AN_TME_BY[[#This Row],[TOTAL Non-Claims Expenses]]</f>
        <v>0</v>
      </c>
      <c r="Z58" s="108">
        <f>AN_TME_BY[[#This Row],[TOTAL Truncated Unadjusted Claims Expenses (A21 -A19)]]+AN_TME_BY[[#This Row],[TOTAL Non-Claims Expenses]]</f>
        <v>0</v>
      </c>
      <c r="AA58" s="235">
        <f>IFERROR(AN_TME_BY[[#This Row],[TOTAL Non-Truncated Unadjusted Expenses (A21 + A23)]]/AN_TME_BY[[#This Row],[Member Months]],0)</f>
        <v>0</v>
      </c>
      <c r="AB58" s="271">
        <f>IFERROR(AN_TME_BY[[#This Row],[TOTAL Truncated Unadjusted Expenses (A22 + A23)]]/AN_TME_BY[[#This Row],[Member Months]],0)</f>
        <v>0</v>
      </c>
      <c r="AC58" s="237">
        <f>IFERROR(AN_TME_BY[[#This Row],[Total Claims Excluded because of Truncation]]/AN_TME_BY[[#This Row],[Count of Members with Claims Truncated]], 0)</f>
        <v>0</v>
      </c>
      <c r="AD58" s="238">
        <f>IFERROR(AN_TME_BY[[#This Row],[Total Claims Excluded because of Truncation]]/AN_TME_BY[[#This Row],[TOTAL Non-Truncated Unadjusted Claims Expenses]], 0)</f>
        <v>0</v>
      </c>
    </row>
    <row r="59" spans="1:30" x14ac:dyDescent="0.25">
      <c r="A59" s="101"/>
      <c r="B59" s="104"/>
      <c r="C59" s="270"/>
      <c r="D59" s="294"/>
      <c r="E59" s="110"/>
      <c r="F59" s="110"/>
      <c r="G59" s="110"/>
      <c r="H59" s="110"/>
      <c r="I59" s="110"/>
      <c r="J59" s="110"/>
      <c r="K59" s="110"/>
      <c r="L59" s="110"/>
      <c r="M59" s="110"/>
      <c r="N59" s="110"/>
      <c r="O59" s="110"/>
      <c r="P59" s="110"/>
      <c r="Q59" s="110"/>
      <c r="R59" s="110"/>
      <c r="S59" s="110"/>
      <c r="T59" s="110"/>
      <c r="U59" s="263"/>
      <c r="V59" s="108">
        <f t="shared" si="2"/>
        <v>0</v>
      </c>
      <c r="W59" s="108">
        <f>AN_TME_BY[[#This Row],[TOTAL Non-Truncated Unadjusted Claims Expenses]]-AN_TME_BY[[#This Row],[Total Claims Excluded because of Truncation]]</f>
        <v>0</v>
      </c>
      <c r="X59" s="108">
        <f t="shared" si="3"/>
        <v>0</v>
      </c>
      <c r="Y59" s="108">
        <f>AN_TME_BY[[#This Row],[TOTAL Non-Truncated Unadjusted Claims Expenses]]+AN_TME_BY[[#This Row],[TOTAL Non-Claims Expenses]]</f>
        <v>0</v>
      </c>
      <c r="Z59" s="108">
        <f>AN_TME_BY[[#This Row],[TOTAL Truncated Unadjusted Claims Expenses (A21 -A19)]]+AN_TME_BY[[#This Row],[TOTAL Non-Claims Expenses]]</f>
        <v>0</v>
      </c>
      <c r="AA59" s="235">
        <f>IFERROR(AN_TME_BY[[#This Row],[TOTAL Non-Truncated Unadjusted Expenses (A21 + A23)]]/AN_TME_BY[[#This Row],[Member Months]],0)</f>
        <v>0</v>
      </c>
      <c r="AB59" s="271">
        <f>IFERROR(AN_TME_BY[[#This Row],[TOTAL Truncated Unadjusted Expenses (A22 + A23)]]/AN_TME_BY[[#This Row],[Member Months]],0)</f>
        <v>0</v>
      </c>
      <c r="AC59" s="237">
        <f>IFERROR(AN_TME_BY[[#This Row],[Total Claims Excluded because of Truncation]]/AN_TME_BY[[#This Row],[Count of Members with Claims Truncated]], 0)</f>
        <v>0</v>
      </c>
      <c r="AD59" s="238">
        <f>IFERROR(AN_TME_BY[[#This Row],[Total Claims Excluded because of Truncation]]/AN_TME_BY[[#This Row],[TOTAL Non-Truncated Unadjusted Claims Expenses]], 0)</f>
        <v>0</v>
      </c>
    </row>
    <row r="60" spans="1:30" x14ac:dyDescent="0.25">
      <c r="A60" s="101"/>
      <c r="B60" s="104"/>
      <c r="C60" s="267"/>
      <c r="D60" s="294"/>
      <c r="E60" s="110"/>
      <c r="F60" s="110"/>
      <c r="G60" s="110"/>
      <c r="H60" s="110"/>
      <c r="I60" s="110"/>
      <c r="J60" s="110"/>
      <c r="K60" s="110"/>
      <c r="L60" s="110"/>
      <c r="M60" s="110"/>
      <c r="N60" s="110"/>
      <c r="O60" s="110"/>
      <c r="P60" s="110"/>
      <c r="Q60" s="110"/>
      <c r="R60" s="110"/>
      <c r="S60" s="110"/>
      <c r="T60" s="110"/>
      <c r="U60" s="263"/>
      <c r="V60" s="108">
        <f t="shared" si="2"/>
        <v>0</v>
      </c>
      <c r="W60" s="108">
        <f>AN_TME_BY[[#This Row],[TOTAL Non-Truncated Unadjusted Claims Expenses]]-AN_TME_BY[[#This Row],[Total Claims Excluded because of Truncation]]</f>
        <v>0</v>
      </c>
      <c r="X60" s="108">
        <f t="shared" si="3"/>
        <v>0</v>
      </c>
      <c r="Y60" s="108">
        <f>AN_TME_BY[[#This Row],[TOTAL Non-Truncated Unadjusted Claims Expenses]]+AN_TME_BY[[#This Row],[TOTAL Non-Claims Expenses]]</f>
        <v>0</v>
      </c>
      <c r="Z60" s="108">
        <f>AN_TME_BY[[#This Row],[TOTAL Truncated Unadjusted Claims Expenses (A21 -A19)]]+AN_TME_BY[[#This Row],[TOTAL Non-Claims Expenses]]</f>
        <v>0</v>
      </c>
      <c r="AA60" s="235">
        <f>IFERROR(AN_TME_BY[[#This Row],[TOTAL Non-Truncated Unadjusted Expenses (A21 + A23)]]/AN_TME_BY[[#This Row],[Member Months]],0)</f>
        <v>0</v>
      </c>
      <c r="AB60" s="271">
        <f>IFERROR(AN_TME_BY[[#This Row],[TOTAL Truncated Unadjusted Expenses (A22 + A23)]]/AN_TME_BY[[#This Row],[Member Months]],0)</f>
        <v>0</v>
      </c>
      <c r="AC60" s="237">
        <f>IFERROR(AN_TME_BY[[#This Row],[Total Claims Excluded because of Truncation]]/AN_TME_BY[[#This Row],[Count of Members with Claims Truncated]], 0)</f>
        <v>0</v>
      </c>
      <c r="AD60" s="238">
        <f>IFERROR(AN_TME_BY[[#This Row],[Total Claims Excluded because of Truncation]]/AN_TME_BY[[#This Row],[TOTAL Non-Truncated Unadjusted Claims Expenses]], 0)</f>
        <v>0</v>
      </c>
    </row>
    <row r="61" spans="1:30" x14ac:dyDescent="0.25">
      <c r="A61" s="101"/>
      <c r="B61" s="104"/>
      <c r="C61" s="270"/>
      <c r="D61" s="294"/>
      <c r="E61" s="110"/>
      <c r="F61" s="110"/>
      <c r="G61" s="110"/>
      <c r="H61" s="110"/>
      <c r="I61" s="110"/>
      <c r="J61" s="110"/>
      <c r="K61" s="110"/>
      <c r="L61" s="110"/>
      <c r="M61" s="110"/>
      <c r="N61" s="110"/>
      <c r="O61" s="110"/>
      <c r="P61" s="110"/>
      <c r="Q61" s="110"/>
      <c r="R61" s="110"/>
      <c r="S61" s="110"/>
      <c r="T61" s="110"/>
      <c r="U61" s="263"/>
      <c r="V61" s="108">
        <f t="shared" si="2"/>
        <v>0</v>
      </c>
      <c r="W61" s="108">
        <f>AN_TME_BY[[#This Row],[TOTAL Non-Truncated Unadjusted Claims Expenses]]-AN_TME_BY[[#This Row],[Total Claims Excluded because of Truncation]]</f>
        <v>0</v>
      </c>
      <c r="X61" s="108">
        <f t="shared" si="3"/>
        <v>0</v>
      </c>
      <c r="Y61" s="108">
        <f>AN_TME_BY[[#This Row],[TOTAL Non-Truncated Unadjusted Claims Expenses]]+AN_TME_BY[[#This Row],[TOTAL Non-Claims Expenses]]</f>
        <v>0</v>
      </c>
      <c r="Z61" s="108">
        <f>AN_TME_BY[[#This Row],[TOTAL Truncated Unadjusted Claims Expenses (A21 -A19)]]+AN_TME_BY[[#This Row],[TOTAL Non-Claims Expenses]]</f>
        <v>0</v>
      </c>
      <c r="AA61" s="235">
        <f>IFERROR(AN_TME_BY[[#This Row],[TOTAL Non-Truncated Unadjusted Expenses (A21 + A23)]]/AN_TME_BY[[#This Row],[Member Months]],0)</f>
        <v>0</v>
      </c>
      <c r="AB61" s="271">
        <f>IFERROR(AN_TME_BY[[#This Row],[TOTAL Truncated Unadjusted Expenses (A22 + A23)]]/AN_TME_BY[[#This Row],[Member Months]],0)</f>
        <v>0</v>
      </c>
      <c r="AC61" s="237">
        <f>IFERROR(AN_TME_BY[[#This Row],[Total Claims Excluded because of Truncation]]/AN_TME_BY[[#This Row],[Count of Members with Claims Truncated]], 0)</f>
        <v>0</v>
      </c>
      <c r="AD61" s="238">
        <f>IFERROR(AN_TME_BY[[#This Row],[Total Claims Excluded because of Truncation]]/AN_TME_BY[[#This Row],[TOTAL Non-Truncated Unadjusted Claims Expenses]], 0)</f>
        <v>0</v>
      </c>
    </row>
    <row r="62" spans="1:30" x14ac:dyDescent="0.25">
      <c r="A62" s="101"/>
      <c r="B62" s="104"/>
      <c r="C62" s="267"/>
      <c r="D62" s="294"/>
      <c r="E62" s="110"/>
      <c r="F62" s="110"/>
      <c r="G62" s="110"/>
      <c r="H62" s="110"/>
      <c r="I62" s="110"/>
      <c r="J62" s="110"/>
      <c r="K62" s="110"/>
      <c r="L62" s="110"/>
      <c r="M62" s="110"/>
      <c r="N62" s="110"/>
      <c r="O62" s="110"/>
      <c r="P62" s="110"/>
      <c r="Q62" s="110"/>
      <c r="R62" s="110"/>
      <c r="S62" s="110"/>
      <c r="T62" s="110"/>
      <c r="U62" s="263"/>
      <c r="V62" s="108">
        <f t="shared" si="2"/>
        <v>0</v>
      </c>
      <c r="W62" s="108">
        <f>AN_TME_BY[[#This Row],[TOTAL Non-Truncated Unadjusted Claims Expenses]]-AN_TME_BY[[#This Row],[Total Claims Excluded because of Truncation]]</f>
        <v>0</v>
      </c>
      <c r="X62" s="108">
        <f t="shared" si="3"/>
        <v>0</v>
      </c>
      <c r="Y62" s="108">
        <f>AN_TME_BY[[#This Row],[TOTAL Non-Truncated Unadjusted Claims Expenses]]+AN_TME_BY[[#This Row],[TOTAL Non-Claims Expenses]]</f>
        <v>0</v>
      </c>
      <c r="Z62" s="108">
        <f>AN_TME_BY[[#This Row],[TOTAL Truncated Unadjusted Claims Expenses (A21 -A19)]]+AN_TME_BY[[#This Row],[TOTAL Non-Claims Expenses]]</f>
        <v>0</v>
      </c>
      <c r="AA62" s="235">
        <f>IFERROR(AN_TME_BY[[#This Row],[TOTAL Non-Truncated Unadjusted Expenses (A21 + A23)]]/AN_TME_BY[[#This Row],[Member Months]],0)</f>
        <v>0</v>
      </c>
      <c r="AB62" s="271">
        <f>IFERROR(AN_TME_BY[[#This Row],[TOTAL Truncated Unadjusted Expenses (A22 + A23)]]/AN_TME_BY[[#This Row],[Member Months]],0)</f>
        <v>0</v>
      </c>
      <c r="AC62" s="237">
        <f>IFERROR(AN_TME_BY[[#This Row],[Total Claims Excluded because of Truncation]]/AN_TME_BY[[#This Row],[Count of Members with Claims Truncated]], 0)</f>
        <v>0</v>
      </c>
      <c r="AD62" s="238">
        <f>IFERROR(AN_TME_BY[[#This Row],[Total Claims Excluded because of Truncation]]/AN_TME_BY[[#This Row],[TOTAL Non-Truncated Unadjusted Claims Expenses]], 0)</f>
        <v>0</v>
      </c>
    </row>
    <row r="63" spans="1:30" x14ac:dyDescent="0.25">
      <c r="A63" s="101"/>
      <c r="B63" s="104"/>
      <c r="C63" s="270"/>
      <c r="D63" s="294"/>
      <c r="E63" s="110"/>
      <c r="F63" s="110"/>
      <c r="G63" s="110"/>
      <c r="H63" s="110"/>
      <c r="I63" s="110"/>
      <c r="J63" s="110"/>
      <c r="K63" s="110"/>
      <c r="L63" s="110"/>
      <c r="M63" s="110"/>
      <c r="N63" s="110"/>
      <c r="O63" s="110"/>
      <c r="P63" s="110"/>
      <c r="Q63" s="110"/>
      <c r="R63" s="110"/>
      <c r="S63" s="110"/>
      <c r="T63" s="110"/>
      <c r="U63" s="263"/>
      <c r="V63" s="108">
        <f t="shared" si="2"/>
        <v>0</v>
      </c>
      <c r="W63" s="108">
        <f>AN_TME_BY[[#This Row],[TOTAL Non-Truncated Unadjusted Claims Expenses]]-AN_TME_BY[[#This Row],[Total Claims Excluded because of Truncation]]</f>
        <v>0</v>
      </c>
      <c r="X63" s="108">
        <f t="shared" si="3"/>
        <v>0</v>
      </c>
      <c r="Y63" s="108">
        <f>AN_TME_BY[[#This Row],[TOTAL Non-Truncated Unadjusted Claims Expenses]]+AN_TME_BY[[#This Row],[TOTAL Non-Claims Expenses]]</f>
        <v>0</v>
      </c>
      <c r="Z63" s="108">
        <f>AN_TME_BY[[#This Row],[TOTAL Truncated Unadjusted Claims Expenses (A21 -A19)]]+AN_TME_BY[[#This Row],[TOTAL Non-Claims Expenses]]</f>
        <v>0</v>
      </c>
      <c r="AA63" s="235">
        <f>IFERROR(AN_TME_BY[[#This Row],[TOTAL Non-Truncated Unadjusted Expenses (A21 + A23)]]/AN_TME_BY[[#This Row],[Member Months]],0)</f>
        <v>0</v>
      </c>
      <c r="AB63" s="271">
        <f>IFERROR(AN_TME_BY[[#This Row],[TOTAL Truncated Unadjusted Expenses (A22 + A23)]]/AN_TME_BY[[#This Row],[Member Months]],0)</f>
        <v>0</v>
      </c>
      <c r="AC63" s="237">
        <f>IFERROR(AN_TME_BY[[#This Row],[Total Claims Excluded because of Truncation]]/AN_TME_BY[[#This Row],[Count of Members with Claims Truncated]], 0)</f>
        <v>0</v>
      </c>
      <c r="AD63" s="238">
        <f>IFERROR(AN_TME_BY[[#This Row],[Total Claims Excluded because of Truncation]]/AN_TME_BY[[#This Row],[TOTAL Non-Truncated Unadjusted Claims Expenses]], 0)</f>
        <v>0</v>
      </c>
    </row>
    <row r="64" spans="1:30" x14ac:dyDescent="0.25">
      <c r="A64" s="101"/>
      <c r="B64" s="104"/>
      <c r="C64" s="267"/>
      <c r="D64" s="294"/>
      <c r="E64" s="110"/>
      <c r="F64" s="110"/>
      <c r="G64" s="110"/>
      <c r="H64" s="110"/>
      <c r="I64" s="110"/>
      <c r="J64" s="110"/>
      <c r="K64" s="110"/>
      <c r="L64" s="110"/>
      <c r="M64" s="110"/>
      <c r="N64" s="110"/>
      <c r="O64" s="110"/>
      <c r="P64" s="110"/>
      <c r="Q64" s="110"/>
      <c r="R64" s="110"/>
      <c r="S64" s="110"/>
      <c r="T64" s="110"/>
      <c r="U64" s="263"/>
      <c r="V64" s="108">
        <f t="shared" si="2"/>
        <v>0</v>
      </c>
      <c r="W64" s="108">
        <f>AN_TME_BY[[#This Row],[TOTAL Non-Truncated Unadjusted Claims Expenses]]-AN_TME_BY[[#This Row],[Total Claims Excluded because of Truncation]]</f>
        <v>0</v>
      </c>
      <c r="X64" s="108">
        <f t="shared" si="3"/>
        <v>0</v>
      </c>
      <c r="Y64" s="108">
        <f>AN_TME_BY[[#This Row],[TOTAL Non-Truncated Unadjusted Claims Expenses]]+AN_TME_BY[[#This Row],[TOTAL Non-Claims Expenses]]</f>
        <v>0</v>
      </c>
      <c r="Z64" s="108">
        <f>AN_TME_BY[[#This Row],[TOTAL Truncated Unadjusted Claims Expenses (A21 -A19)]]+AN_TME_BY[[#This Row],[TOTAL Non-Claims Expenses]]</f>
        <v>0</v>
      </c>
      <c r="AA64" s="235">
        <f>IFERROR(AN_TME_BY[[#This Row],[TOTAL Non-Truncated Unadjusted Expenses (A21 + A23)]]/AN_TME_BY[[#This Row],[Member Months]],0)</f>
        <v>0</v>
      </c>
      <c r="AB64" s="271">
        <f>IFERROR(AN_TME_BY[[#This Row],[TOTAL Truncated Unadjusted Expenses (A22 + A23)]]/AN_TME_BY[[#This Row],[Member Months]],0)</f>
        <v>0</v>
      </c>
      <c r="AC64" s="237">
        <f>IFERROR(AN_TME_BY[[#This Row],[Total Claims Excluded because of Truncation]]/AN_TME_BY[[#This Row],[Count of Members with Claims Truncated]], 0)</f>
        <v>0</v>
      </c>
      <c r="AD64" s="238">
        <f>IFERROR(AN_TME_BY[[#This Row],[Total Claims Excluded because of Truncation]]/AN_TME_BY[[#This Row],[TOTAL Non-Truncated Unadjusted Claims Expenses]], 0)</f>
        <v>0</v>
      </c>
    </row>
    <row r="65" spans="1:30" x14ac:dyDescent="0.25">
      <c r="A65" s="101"/>
      <c r="B65" s="104"/>
      <c r="C65" s="270"/>
      <c r="D65" s="294"/>
      <c r="E65" s="110"/>
      <c r="F65" s="110"/>
      <c r="G65" s="110"/>
      <c r="H65" s="110"/>
      <c r="I65" s="110"/>
      <c r="J65" s="110"/>
      <c r="K65" s="110"/>
      <c r="L65" s="110"/>
      <c r="M65" s="110"/>
      <c r="N65" s="110"/>
      <c r="O65" s="110"/>
      <c r="P65" s="110"/>
      <c r="Q65" s="110"/>
      <c r="R65" s="110"/>
      <c r="S65" s="110"/>
      <c r="T65" s="110"/>
      <c r="U65" s="263"/>
      <c r="V65" s="108">
        <f t="shared" si="2"/>
        <v>0</v>
      </c>
      <c r="W65" s="108">
        <f>AN_TME_BY[[#This Row],[TOTAL Non-Truncated Unadjusted Claims Expenses]]-AN_TME_BY[[#This Row],[Total Claims Excluded because of Truncation]]</f>
        <v>0</v>
      </c>
      <c r="X65" s="108">
        <f t="shared" si="3"/>
        <v>0</v>
      </c>
      <c r="Y65" s="108">
        <f>AN_TME_BY[[#This Row],[TOTAL Non-Truncated Unadjusted Claims Expenses]]+AN_TME_BY[[#This Row],[TOTAL Non-Claims Expenses]]</f>
        <v>0</v>
      </c>
      <c r="Z65" s="108">
        <f>AN_TME_BY[[#This Row],[TOTAL Truncated Unadjusted Claims Expenses (A21 -A19)]]+AN_TME_BY[[#This Row],[TOTAL Non-Claims Expenses]]</f>
        <v>0</v>
      </c>
      <c r="AA65" s="235">
        <f>IFERROR(AN_TME_BY[[#This Row],[TOTAL Non-Truncated Unadjusted Expenses (A21 + A23)]]/AN_TME_BY[[#This Row],[Member Months]],0)</f>
        <v>0</v>
      </c>
      <c r="AB65" s="271">
        <f>IFERROR(AN_TME_BY[[#This Row],[TOTAL Truncated Unadjusted Expenses (A22 + A23)]]/AN_TME_BY[[#This Row],[Member Months]],0)</f>
        <v>0</v>
      </c>
      <c r="AC65" s="237">
        <f>IFERROR(AN_TME_BY[[#This Row],[Total Claims Excluded because of Truncation]]/AN_TME_BY[[#This Row],[Count of Members with Claims Truncated]], 0)</f>
        <v>0</v>
      </c>
      <c r="AD65" s="238">
        <f>IFERROR(AN_TME_BY[[#This Row],[Total Claims Excluded because of Truncation]]/AN_TME_BY[[#This Row],[TOTAL Non-Truncated Unadjusted Claims Expenses]], 0)</f>
        <v>0</v>
      </c>
    </row>
    <row r="66" spans="1:30" x14ac:dyDescent="0.25">
      <c r="A66" s="101"/>
      <c r="B66" s="104"/>
      <c r="C66" s="267"/>
      <c r="D66" s="294"/>
      <c r="E66" s="110"/>
      <c r="F66" s="110"/>
      <c r="G66" s="110"/>
      <c r="H66" s="110"/>
      <c r="I66" s="110"/>
      <c r="J66" s="110"/>
      <c r="K66" s="110"/>
      <c r="L66" s="110"/>
      <c r="M66" s="110"/>
      <c r="N66" s="110"/>
      <c r="O66" s="110"/>
      <c r="P66" s="110"/>
      <c r="Q66" s="110"/>
      <c r="R66" s="110"/>
      <c r="S66" s="110"/>
      <c r="T66" s="110"/>
      <c r="U66" s="263"/>
      <c r="V66" s="108">
        <f t="shared" si="2"/>
        <v>0</v>
      </c>
      <c r="W66" s="108">
        <f>AN_TME_BY[[#This Row],[TOTAL Non-Truncated Unadjusted Claims Expenses]]-AN_TME_BY[[#This Row],[Total Claims Excluded because of Truncation]]</f>
        <v>0</v>
      </c>
      <c r="X66" s="108">
        <f t="shared" si="3"/>
        <v>0</v>
      </c>
      <c r="Y66" s="108">
        <f>AN_TME_BY[[#This Row],[TOTAL Non-Truncated Unadjusted Claims Expenses]]+AN_TME_BY[[#This Row],[TOTAL Non-Claims Expenses]]</f>
        <v>0</v>
      </c>
      <c r="Z66" s="108">
        <f>AN_TME_BY[[#This Row],[TOTAL Truncated Unadjusted Claims Expenses (A21 -A19)]]+AN_TME_BY[[#This Row],[TOTAL Non-Claims Expenses]]</f>
        <v>0</v>
      </c>
      <c r="AA66" s="235">
        <f>IFERROR(AN_TME_BY[[#This Row],[TOTAL Non-Truncated Unadjusted Expenses (A21 + A23)]]/AN_TME_BY[[#This Row],[Member Months]],0)</f>
        <v>0</v>
      </c>
      <c r="AB66" s="271">
        <f>IFERROR(AN_TME_BY[[#This Row],[TOTAL Truncated Unadjusted Expenses (A22 + A23)]]/AN_TME_BY[[#This Row],[Member Months]],0)</f>
        <v>0</v>
      </c>
      <c r="AC66" s="237">
        <f>IFERROR(AN_TME_BY[[#This Row],[Total Claims Excluded because of Truncation]]/AN_TME_BY[[#This Row],[Count of Members with Claims Truncated]], 0)</f>
        <v>0</v>
      </c>
      <c r="AD66" s="238">
        <f>IFERROR(AN_TME_BY[[#This Row],[Total Claims Excluded because of Truncation]]/AN_TME_BY[[#This Row],[TOTAL Non-Truncated Unadjusted Claims Expenses]], 0)</f>
        <v>0</v>
      </c>
    </row>
    <row r="67" spans="1:30" x14ac:dyDescent="0.25">
      <c r="A67" s="101"/>
      <c r="B67" s="104"/>
      <c r="C67" s="270"/>
      <c r="D67" s="294"/>
      <c r="E67" s="110"/>
      <c r="F67" s="110"/>
      <c r="G67" s="110"/>
      <c r="H67" s="110"/>
      <c r="I67" s="110"/>
      <c r="J67" s="110"/>
      <c r="K67" s="110"/>
      <c r="L67" s="110"/>
      <c r="M67" s="110"/>
      <c r="N67" s="110"/>
      <c r="O67" s="110"/>
      <c r="P67" s="110"/>
      <c r="Q67" s="110"/>
      <c r="R67" s="110"/>
      <c r="S67" s="110"/>
      <c r="T67" s="110"/>
      <c r="U67" s="263"/>
      <c r="V67" s="108">
        <f t="shared" si="2"/>
        <v>0</v>
      </c>
      <c r="W67" s="108">
        <f>AN_TME_BY[[#This Row],[TOTAL Non-Truncated Unadjusted Claims Expenses]]-AN_TME_BY[[#This Row],[Total Claims Excluded because of Truncation]]</f>
        <v>0</v>
      </c>
      <c r="X67" s="108">
        <f t="shared" si="3"/>
        <v>0</v>
      </c>
      <c r="Y67" s="108">
        <f>AN_TME_BY[[#This Row],[TOTAL Non-Truncated Unadjusted Claims Expenses]]+AN_TME_BY[[#This Row],[TOTAL Non-Claims Expenses]]</f>
        <v>0</v>
      </c>
      <c r="Z67" s="108">
        <f>AN_TME_BY[[#This Row],[TOTAL Truncated Unadjusted Claims Expenses (A21 -A19)]]+AN_TME_BY[[#This Row],[TOTAL Non-Claims Expenses]]</f>
        <v>0</v>
      </c>
      <c r="AA67" s="235">
        <f>IFERROR(AN_TME_BY[[#This Row],[TOTAL Non-Truncated Unadjusted Expenses (A21 + A23)]]/AN_TME_BY[[#This Row],[Member Months]],0)</f>
        <v>0</v>
      </c>
      <c r="AB67" s="271">
        <f>IFERROR(AN_TME_BY[[#This Row],[TOTAL Truncated Unadjusted Expenses (A22 + A23)]]/AN_TME_BY[[#This Row],[Member Months]],0)</f>
        <v>0</v>
      </c>
      <c r="AC67" s="237">
        <f>IFERROR(AN_TME_BY[[#This Row],[Total Claims Excluded because of Truncation]]/AN_TME_BY[[#This Row],[Count of Members with Claims Truncated]], 0)</f>
        <v>0</v>
      </c>
      <c r="AD67" s="238">
        <f>IFERROR(AN_TME_BY[[#This Row],[Total Claims Excluded because of Truncation]]/AN_TME_BY[[#This Row],[TOTAL Non-Truncated Unadjusted Claims Expenses]], 0)</f>
        <v>0</v>
      </c>
    </row>
    <row r="68" spans="1:30" x14ac:dyDescent="0.25">
      <c r="A68" s="101"/>
      <c r="B68" s="104"/>
      <c r="C68" s="267"/>
      <c r="D68" s="294"/>
      <c r="E68" s="110"/>
      <c r="F68" s="110"/>
      <c r="G68" s="110"/>
      <c r="H68" s="110"/>
      <c r="I68" s="110"/>
      <c r="J68" s="110"/>
      <c r="K68" s="110"/>
      <c r="L68" s="110"/>
      <c r="M68" s="110"/>
      <c r="N68" s="110"/>
      <c r="O68" s="110"/>
      <c r="P68" s="110"/>
      <c r="Q68" s="110"/>
      <c r="R68" s="110"/>
      <c r="S68" s="110"/>
      <c r="T68" s="110"/>
      <c r="U68" s="263"/>
      <c r="V68" s="108">
        <f t="shared" si="2"/>
        <v>0</v>
      </c>
      <c r="W68" s="108">
        <f>AN_TME_BY[[#This Row],[TOTAL Non-Truncated Unadjusted Claims Expenses]]-AN_TME_BY[[#This Row],[Total Claims Excluded because of Truncation]]</f>
        <v>0</v>
      </c>
      <c r="X68" s="108">
        <f t="shared" si="3"/>
        <v>0</v>
      </c>
      <c r="Y68" s="108">
        <f>AN_TME_BY[[#This Row],[TOTAL Non-Truncated Unadjusted Claims Expenses]]+AN_TME_BY[[#This Row],[TOTAL Non-Claims Expenses]]</f>
        <v>0</v>
      </c>
      <c r="Z68" s="108">
        <f>AN_TME_BY[[#This Row],[TOTAL Truncated Unadjusted Claims Expenses (A21 -A19)]]+AN_TME_BY[[#This Row],[TOTAL Non-Claims Expenses]]</f>
        <v>0</v>
      </c>
      <c r="AA68" s="235">
        <f>IFERROR(AN_TME_BY[[#This Row],[TOTAL Non-Truncated Unadjusted Expenses (A21 + A23)]]/AN_TME_BY[[#This Row],[Member Months]],0)</f>
        <v>0</v>
      </c>
      <c r="AB68" s="271">
        <f>IFERROR(AN_TME_BY[[#This Row],[TOTAL Truncated Unadjusted Expenses (A22 + A23)]]/AN_TME_BY[[#This Row],[Member Months]],0)</f>
        <v>0</v>
      </c>
      <c r="AC68" s="237">
        <f>IFERROR(AN_TME_BY[[#This Row],[Total Claims Excluded because of Truncation]]/AN_TME_BY[[#This Row],[Count of Members with Claims Truncated]], 0)</f>
        <v>0</v>
      </c>
      <c r="AD68" s="238">
        <f>IFERROR(AN_TME_BY[[#This Row],[Total Claims Excluded because of Truncation]]/AN_TME_BY[[#This Row],[TOTAL Non-Truncated Unadjusted Claims Expenses]], 0)</f>
        <v>0</v>
      </c>
    </row>
    <row r="69" spans="1:30" x14ac:dyDescent="0.25">
      <c r="A69" s="101"/>
      <c r="B69" s="104"/>
      <c r="C69" s="270"/>
      <c r="D69" s="294"/>
      <c r="E69" s="110"/>
      <c r="F69" s="110"/>
      <c r="G69" s="110"/>
      <c r="H69" s="110"/>
      <c r="I69" s="110"/>
      <c r="J69" s="110"/>
      <c r="K69" s="110"/>
      <c r="L69" s="110"/>
      <c r="M69" s="110"/>
      <c r="N69" s="110"/>
      <c r="O69" s="110"/>
      <c r="P69" s="110"/>
      <c r="Q69" s="110"/>
      <c r="R69" s="110"/>
      <c r="S69" s="110"/>
      <c r="T69" s="110"/>
      <c r="U69" s="263"/>
      <c r="V69" s="108">
        <f t="shared" si="2"/>
        <v>0</v>
      </c>
      <c r="W69" s="108">
        <f>AN_TME_BY[[#This Row],[TOTAL Non-Truncated Unadjusted Claims Expenses]]-AN_TME_BY[[#This Row],[Total Claims Excluded because of Truncation]]</f>
        <v>0</v>
      </c>
      <c r="X69" s="108">
        <f t="shared" si="3"/>
        <v>0</v>
      </c>
      <c r="Y69" s="108">
        <f>AN_TME_BY[[#This Row],[TOTAL Non-Truncated Unadjusted Claims Expenses]]+AN_TME_BY[[#This Row],[TOTAL Non-Claims Expenses]]</f>
        <v>0</v>
      </c>
      <c r="Z69" s="108">
        <f>AN_TME_BY[[#This Row],[TOTAL Truncated Unadjusted Claims Expenses (A21 -A19)]]+AN_TME_BY[[#This Row],[TOTAL Non-Claims Expenses]]</f>
        <v>0</v>
      </c>
      <c r="AA69" s="235">
        <f>IFERROR(AN_TME_BY[[#This Row],[TOTAL Non-Truncated Unadjusted Expenses (A21 + A23)]]/AN_TME_BY[[#This Row],[Member Months]],0)</f>
        <v>0</v>
      </c>
      <c r="AB69" s="271">
        <f>IFERROR(AN_TME_BY[[#This Row],[TOTAL Truncated Unadjusted Expenses (A22 + A23)]]/AN_TME_BY[[#This Row],[Member Months]],0)</f>
        <v>0</v>
      </c>
      <c r="AC69" s="237">
        <f>IFERROR(AN_TME_BY[[#This Row],[Total Claims Excluded because of Truncation]]/AN_TME_BY[[#This Row],[Count of Members with Claims Truncated]], 0)</f>
        <v>0</v>
      </c>
      <c r="AD69" s="238">
        <f>IFERROR(AN_TME_BY[[#This Row],[Total Claims Excluded because of Truncation]]/AN_TME_BY[[#This Row],[TOTAL Non-Truncated Unadjusted Claims Expenses]], 0)</f>
        <v>0</v>
      </c>
    </row>
    <row r="70" spans="1:30" x14ac:dyDescent="0.25">
      <c r="A70" s="101"/>
      <c r="B70" s="104"/>
      <c r="C70" s="267"/>
      <c r="D70" s="294"/>
      <c r="E70" s="110"/>
      <c r="F70" s="110"/>
      <c r="G70" s="110"/>
      <c r="H70" s="110"/>
      <c r="I70" s="110"/>
      <c r="J70" s="110"/>
      <c r="K70" s="110"/>
      <c r="L70" s="110"/>
      <c r="M70" s="110"/>
      <c r="N70" s="110"/>
      <c r="O70" s="110"/>
      <c r="P70" s="110"/>
      <c r="Q70" s="110"/>
      <c r="R70" s="110"/>
      <c r="S70" s="110"/>
      <c r="T70" s="110"/>
      <c r="U70" s="263"/>
      <c r="V70" s="108">
        <f t="shared" si="2"/>
        <v>0</v>
      </c>
      <c r="W70" s="108">
        <f>AN_TME_BY[[#This Row],[TOTAL Non-Truncated Unadjusted Claims Expenses]]-AN_TME_BY[[#This Row],[Total Claims Excluded because of Truncation]]</f>
        <v>0</v>
      </c>
      <c r="X70" s="108">
        <f t="shared" si="3"/>
        <v>0</v>
      </c>
      <c r="Y70" s="108">
        <f>AN_TME_BY[[#This Row],[TOTAL Non-Truncated Unadjusted Claims Expenses]]+AN_TME_BY[[#This Row],[TOTAL Non-Claims Expenses]]</f>
        <v>0</v>
      </c>
      <c r="Z70" s="108">
        <f>AN_TME_BY[[#This Row],[TOTAL Truncated Unadjusted Claims Expenses (A21 -A19)]]+AN_TME_BY[[#This Row],[TOTAL Non-Claims Expenses]]</f>
        <v>0</v>
      </c>
      <c r="AA70" s="235">
        <f>IFERROR(AN_TME_BY[[#This Row],[TOTAL Non-Truncated Unadjusted Expenses (A21 + A23)]]/AN_TME_BY[[#This Row],[Member Months]],0)</f>
        <v>0</v>
      </c>
      <c r="AB70" s="271">
        <f>IFERROR(AN_TME_BY[[#This Row],[TOTAL Truncated Unadjusted Expenses (A22 + A23)]]/AN_TME_BY[[#This Row],[Member Months]],0)</f>
        <v>0</v>
      </c>
      <c r="AC70" s="237">
        <f>IFERROR(AN_TME_BY[[#This Row],[Total Claims Excluded because of Truncation]]/AN_TME_BY[[#This Row],[Count of Members with Claims Truncated]], 0)</f>
        <v>0</v>
      </c>
      <c r="AD70" s="238">
        <f>IFERROR(AN_TME_BY[[#This Row],[Total Claims Excluded because of Truncation]]/AN_TME_BY[[#This Row],[TOTAL Non-Truncated Unadjusted Claims Expenses]], 0)</f>
        <v>0</v>
      </c>
    </row>
    <row r="71" spans="1:30" x14ac:dyDescent="0.25">
      <c r="A71" s="101"/>
      <c r="B71" s="104"/>
      <c r="C71" s="270"/>
      <c r="D71" s="294"/>
      <c r="E71" s="110"/>
      <c r="F71" s="110"/>
      <c r="G71" s="110"/>
      <c r="H71" s="110"/>
      <c r="I71" s="110"/>
      <c r="J71" s="110"/>
      <c r="K71" s="110"/>
      <c r="L71" s="110"/>
      <c r="M71" s="110"/>
      <c r="N71" s="110"/>
      <c r="O71" s="110"/>
      <c r="P71" s="110"/>
      <c r="Q71" s="110"/>
      <c r="R71" s="110"/>
      <c r="S71" s="110"/>
      <c r="T71" s="110"/>
      <c r="U71" s="263"/>
      <c r="V71" s="108">
        <f t="shared" si="2"/>
        <v>0</v>
      </c>
      <c r="W71" s="108">
        <f>AN_TME_BY[[#This Row],[TOTAL Non-Truncated Unadjusted Claims Expenses]]-AN_TME_BY[[#This Row],[Total Claims Excluded because of Truncation]]</f>
        <v>0</v>
      </c>
      <c r="X71" s="108">
        <f t="shared" si="3"/>
        <v>0</v>
      </c>
      <c r="Y71" s="108">
        <f>AN_TME_BY[[#This Row],[TOTAL Non-Truncated Unadjusted Claims Expenses]]+AN_TME_BY[[#This Row],[TOTAL Non-Claims Expenses]]</f>
        <v>0</v>
      </c>
      <c r="Z71" s="108">
        <f>AN_TME_BY[[#This Row],[TOTAL Truncated Unadjusted Claims Expenses (A21 -A19)]]+AN_TME_BY[[#This Row],[TOTAL Non-Claims Expenses]]</f>
        <v>0</v>
      </c>
      <c r="AA71" s="235">
        <f>IFERROR(AN_TME_BY[[#This Row],[TOTAL Non-Truncated Unadjusted Expenses (A21 + A23)]]/AN_TME_BY[[#This Row],[Member Months]],0)</f>
        <v>0</v>
      </c>
      <c r="AB71" s="271">
        <f>IFERROR(AN_TME_BY[[#This Row],[TOTAL Truncated Unadjusted Expenses (A22 + A23)]]/AN_TME_BY[[#This Row],[Member Months]],0)</f>
        <v>0</v>
      </c>
      <c r="AC71" s="237">
        <f>IFERROR(AN_TME_BY[[#This Row],[Total Claims Excluded because of Truncation]]/AN_TME_BY[[#This Row],[Count of Members with Claims Truncated]], 0)</f>
        <v>0</v>
      </c>
      <c r="AD71" s="238">
        <f>IFERROR(AN_TME_BY[[#This Row],[Total Claims Excluded because of Truncation]]/AN_TME_BY[[#This Row],[TOTAL Non-Truncated Unadjusted Claims Expenses]], 0)</f>
        <v>0</v>
      </c>
    </row>
    <row r="72" spans="1:30" x14ac:dyDescent="0.25">
      <c r="A72" s="101"/>
      <c r="B72" s="104"/>
      <c r="C72" s="267"/>
      <c r="D72" s="294"/>
      <c r="E72" s="110"/>
      <c r="F72" s="110"/>
      <c r="G72" s="110"/>
      <c r="H72" s="110"/>
      <c r="I72" s="110"/>
      <c r="J72" s="110"/>
      <c r="K72" s="110"/>
      <c r="L72" s="110"/>
      <c r="M72" s="110"/>
      <c r="N72" s="110"/>
      <c r="O72" s="110"/>
      <c r="P72" s="110"/>
      <c r="Q72" s="110"/>
      <c r="R72" s="110"/>
      <c r="S72" s="110"/>
      <c r="T72" s="110"/>
      <c r="U72" s="263"/>
      <c r="V72" s="108">
        <f t="shared" si="2"/>
        <v>0</v>
      </c>
      <c r="W72" s="108">
        <f>AN_TME_BY[[#This Row],[TOTAL Non-Truncated Unadjusted Claims Expenses]]-AN_TME_BY[[#This Row],[Total Claims Excluded because of Truncation]]</f>
        <v>0</v>
      </c>
      <c r="X72" s="108">
        <f t="shared" si="3"/>
        <v>0</v>
      </c>
      <c r="Y72" s="108">
        <f>AN_TME_BY[[#This Row],[TOTAL Non-Truncated Unadjusted Claims Expenses]]+AN_TME_BY[[#This Row],[TOTAL Non-Claims Expenses]]</f>
        <v>0</v>
      </c>
      <c r="Z72" s="108">
        <f>AN_TME_BY[[#This Row],[TOTAL Truncated Unadjusted Claims Expenses (A21 -A19)]]+AN_TME_BY[[#This Row],[TOTAL Non-Claims Expenses]]</f>
        <v>0</v>
      </c>
      <c r="AA72" s="235">
        <f>IFERROR(AN_TME_BY[[#This Row],[TOTAL Non-Truncated Unadjusted Expenses (A21 + A23)]]/AN_TME_BY[[#This Row],[Member Months]],0)</f>
        <v>0</v>
      </c>
      <c r="AB72" s="271">
        <f>IFERROR(AN_TME_BY[[#This Row],[TOTAL Truncated Unadjusted Expenses (A22 + A23)]]/AN_TME_BY[[#This Row],[Member Months]],0)</f>
        <v>0</v>
      </c>
      <c r="AC72" s="237">
        <f>IFERROR(AN_TME_BY[[#This Row],[Total Claims Excluded because of Truncation]]/AN_TME_BY[[#This Row],[Count of Members with Claims Truncated]], 0)</f>
        <v>0</v>
      </c>
      <c r="AD72" s="238">
        <f>IFERROR(AN_TME_BY[[#This Row],[Total Claims Excluded because of Truncation]]/AN_TME_BY[[#This Row],[TOTAL Non-Truncated Unadjusted Claims Expenses]], 0)</f>
        <v>0</v>
      </c>
    </row>
    <row r="73" spans="1:30" x14ac:dyDescent="0.25">
      <c r="A73" s="101"/>
      <c r="B73" s="104"/>
      <c r="C73" s="270"/>
      <c r="D73" s="294"/>
      <c r="E73" s="110"/>
      <c r="F73" s="110"/>
      <c r="G73" s="110"/>
      <c r="H73" s="110"/>
      <c r="I73" s="110"/>
      <c r="J73" s="110"/>
      <c r="K73" s="110"/>
      <c r="L73" s="110"/>
      <c r="M73" s="110"/>
      <c r="N73" s="110"/>
      <c r="O73" s="110"/>
      <c r="P73" s="110"/>
      <c r="Q73" s="110"/>
      <c r="R73" s="110"/>
      <c r="S73" s="110"/>
      <c r="T73" s="110"/>
      <c r="U73" s="263"/>
      <c r="V73" s="108">
        <f t="shared" si="2"/>
        <v>0</v>
      </c>
      <c r="W73" s="108">
        <f>AN_TME_BY[[#This Row],[TOTAL Non-Truncated Unadjusted Claims Expenses]]-AN_TME_BY[[#This Row],[Total Claims Excluded because of Truncation]]</f>
        <v>0</v>
      </c>
      <c r="X73" s="108">
        <f t="shared" si="3"/>
        <v>0</v>
      </c>
      <c r="Y73" s="108">
        <f>AN_TME_BY[[#This Row],[TOTAL Non-Truncated Unadjusted Claims Expenses]]+AN_TME_BY[[#This Row],[TOTAL Non-Claims Expenses]]</f>
        <v>0</v>
      </c>
      <c r="Z73" s="108">
        <f>AN_TME_BY[[#This Row],[TOTAL Truncated Unadjusted Claims Expenses (A21 -A19)]]+AN_TME_BY[[#This Row],[TOTAL Non-Claims Expenses]]</f>
        <v>0</v>
      </c>
      <c r="AA73" s="235">
        <f>IFERROR(AN_TME_BY[[#This Row],[TOTAL Non-Truncated Unadjusted Expenses (A21 + A23)]]/AN_TME_BY[[#This Row],[Member Months]],0)</f>
        <v>0</v>
      </c>
      <c r="AB73" s="271">
        <f>IFERROR(AN_TME_BY[[#This Row],[TOTAL Truncated Unadjusted Expenses (A22 + A23)]]/AN_TME_BY[[#This Row],[Member Months]],0)</f>
        <v>0</v>
      </c>
      <c r="AC73" s="237">
        <f>IFERROR(AN_TME_BY[[#This Row],[Total Claims Excluded because of Truncation]]/AN_TME_BY[[#This Row],[Count of Members with Claims Truncated]], 0)</f>
        <v>0</v>
      </c>
      <c r="AD73" s="238">
        <f>IFERROR(AN_TME_BY[[#This Row],[Total Claims Excluded because of Truncation]]/AN_TME_BY[[#This Row],[TOTAL Non-Truncated Unadjusted Claims Expenses]], 0)</f>
        <v>0</v>
      </c>
    </row>
    <row r="74" spans="1:30" x14ac:dyDescent="0.25">
      <c r="A74" s="101"/>
      <c r="B74" s="104"/>
      <c r="C74" s="267"/>
      <c r="D74" s="294"/>
      <c r="E74" s="110"/>
      <c r="F74" s="110"/>
      <c r="G74" s="110"/>
      <c r="H74" s="110"/>
      <c r="I74" s="110"/>
      <c r="J74" s="110"/>
      <c r="K74" s="110"/>
      <c r="L74" s="110"/>
      <c r="M74" s="110"/>
      <c r="N74" s="110"/>
      <c r="O74" s="110"/>
      <c r="P74" s="110"/>
      <c r="Q74" s="110"/>
      <c r="R74" s="110"/>
      <c r="S74" s="110"/>
      <c r="T74" s="110"/>
      <c r="U74" s="263"/>
      <c r="V74" s="108">
        <f t="shared" si="2"/>
        <v>0</v>
      </c>
      <c r="W74" s="108">
        <f>AN_TME_BY[[#This Row],[TOTAL Non-Truncated Unadjusted Claims Expenses]]-AN_TME_BY[[#This Row],[Total Claims Excluded because of Truncation]]</f>
        <v>0</v>
      </c>
      <c r="X74" s="108">
        <f t="shared" si="3"/>
        <v>0</v>
      </c>
      <c r="Y74" s="108">
        <f>AN_TME_BY[[#This Row],[TOTAL Non-Truncated Unadjusted Claims Expenses]]+AN_TME_BY[[#This Row],[TOTAL Non-Claims Expenses]]</f>
        <v>0</v>
      </c>
      <c r="Z74" s="108">
        <f>AN_TME_BY[[#This Row],[TOTAL Truncated Unadjusted Claims Expenses (A21 -A19)]]+AN_TME_BY[[#This Row],[TOTAL Non-Claims Expenses]]</f>
        <v>0</v>
      </c>
      <c r="AA74" s="235">
        <f>IFERROR(AN_TME_BY[[#This Row],[TOTAL Non-Truncated Unadjusted Expenses (A21 + A23)]]/AN_TME_BY[[#This Row],[Member Months]],0)</f>
        <v>0</v>
      </c>
      <c r="AB74" s="271">
        <f>IFERROR(AN_TME_BY[[#This Row],[TOTAL Truncated Unadjusted Expenses (A22 + A23)]]/AN_TME_BY[[#This Row],[Member Months]],0)</f>
        <v>0</v>
      </c>
      <c r="AC74" s="237">
        <f>IFERROR(AN_TME_BY[[#This Row],[Total Claims Excluded because of Truncation]]/AN_TME_BY[[#This Row],[Count of Members with Claims Truncated]], 0)</f>
        <v>0</v>
      </c>
      <c r="AD74" s="238">
        <f>IFERROR(AN_TME_BY[[#This Row],[Total Claims Excluded because of Truncation]]/AN_TME_BY[[#This Row],[TOTAL Non-Truncated Unadjusted Claims Expenses]], 0)</f>
        <v>0</v>
      </c>
    </row>
    <row r="75" spans="1:30" x14ac:dyDescent="0.25">
      <c r="A75" s="101"/>
      <c r="B75" s="104"/>
      <c r="C75" s="270"/>
      <c r="D75" s="294"/>
      <c r="E75" s="110"/>
      <c r="F75" s="110"/>
      <c r="G75" s="110"/>
      <c r="H75" s="110"/>
      <c r="I75" s="110"/>
      <c r="J75" s="110"/>
      <c r="K75" s="110"/>
      <c r="L75" s="110"/>
      <c r="M75" s="110"/>
      <c r="N75" s="110"/>
      <c r="O75" s="110"/>
      <c r="P75" s="110"/>
      <c r="Q75" s="110"/>
      <c r="R75" s="110"/>
      <c r="S75" s="110"/>
      <c r="T75" s="110"/>
      <c r="U75" s="263"/>
      <c r="V75" s="108">
        <f t="shared" ref="V75:V106" si="4">SUM(E75:G75)+SUM(I75:M75)</f>
        <v>0</v>
      </c>
      <c r="W75" s="108">
        <f>AN_TME_BY[[#This Row],[TOTAL Non-Truncated Unadjusted Claims Expenses]]-AN_TME_BY[[#This Row],[Total Claims Excluded because of Truncation]]</f>
        <v>0</v>
      </c>
      <c r="X75" s="108">
        <f t="shared" ref="X75:X106" si="5">SUM(N75:R75)</f>
        <v>0</v>
      </c>
      <c r="Y75" s="108">
        <f>AN_TME_BY[[#This Row],[TOTAL Non-Truncated Unadjusted Claims Expenses]]+AN_TME_BY[[#This Row],[TOTAL Non-Claims Expenses]]</f>
        <v>0</v>
      </c>
      <c r="Z75" s="108">
        <f>AN_TME_BY[[#This Row],[TOTAL Truncated Unadjusted Claims Expenses (A21 -A19)]]+AN_TME_BY[[#This Row],[TOTAL Non-Claims Expenses]]</f>
        <v>0</v>
      </c>
      <c r="AA75" s="235">
        <f>IFERROR(AN_TME_BY[[#This Row],[TOTAL Non-Truncated Unadjusted Expenses (A21 + A23)]]/AN_TME_BY[[#This Row],[Member Months]],0)</f>
        <v>0</v>
      </c>
      <c r="AB75" s="271">
        <f>IFERROR(AN_TME_BY[[#This Row],[TOTAL Truncated Unadjusted Expenses (A22 + A23)]]/AN_TME_BY[[#This Row],[Member Months]],0)</f>
        <v>0</v>
      </c>
      <c r="AC75" s="237">
        <f>IFERROR(AN_TME_BY[[#This Row],[Total Claims Excluded because of Truncation]]/AN_TME_BY[[#This Row],[Count of Members with Claims Truncated]], 0)</f>
        <v>0</v>
      </c>
      <c r="AD75" s="238">
        <f>IFERROR(AN_TME_BY[[#This Row],[Total Claims Excluded because of Truncation]]/AN_TME_BY[[#This Row],[TOTAL Non-Truncated Unadjusted Claims Expenses]], 0)</f>
        <v>0</v>
      </c>
    </row>
    <row r="76" spans="1:30" x14ac:dyDescent="0.25">
      <c r="A76" s="101"/>
      <c r="B76" s="104"/>
      <c r="C76" s="267"/>
      <c r="D76" s="294"/>
      <c r="E76" s="110"/>
      <c r="F76" s="110"/>
      <c r="G76" s="110"/>
      <c r="H76" s="110"/>
      <c r="I76" s="110"/>
      <c r="J76" s="110"/>
      <c r="K76" s="110"/>
      <c r="L76" s="110"/>
      <c r="M76" s="110"/>
      <c r="N76" s="110"/>
      <c r="O76" s="110"/>
      <c r="P76" s="110"/>
      <c r="Q76" s="110"/>
      <c r="R76" s="110"/>
      <c r="S76" s="110"/>
      <c r="T76" s="110"/>
      <c r="U76" s="263"/>
      <c r="V76" s="108">
        <f t="shared" si="4"/>
        <v>0</v>
      </c>
      <c r="W76" s="108">
        <f>AN_TME_BY[[#This Row],[TOTAL Non-Truncated Unadjusted Claims Expenses]]-AN_TME_BY[[#This Row],[Total Claims Excluded because of Truncation]]</f>
        <v>0</v>
      </c>
      <c r="X76" s="108">
        <f t="shared" si="5"/>
        <v>0</v>
      </c>
      <c r="Y76" s="108">
        <f>AN_TME_BY[[#This Row],[TOTAL Non-Truncated Unadjusted Claims Expenses]]+AN_TME_BY[[#This Row],[TOTAL Non-Claims Expenses]]</f>
        <v>0</v>
      </c>
      <c r="Z76" s="108">
        <f>AN_TME_BY[[#This Row],[TOTAL Truncated Unadjusted Claims Expenses (A21 -A19)]]+AN_TME_BY[[#This Row],[TOTAL Non-Claims Expenses]]</f>
        <v>0</v>
      </c>
      <c r="AA76" s="235">
        <f>IFERROR(AN_TME_BY[[#This Row],[TOTAL Non-Truncated Unadjusted Expenses (A21 + A23)]]/AN_TME_BY[[#This Row],[Member Months]],0)</f>
        <v>0</v>
      </c>
      <c r="AB76" s="271">
        <f>IFERROR(AN_TME_BY[[#This Row],[TOTAL Truncated Unadjusted Expenses (A22 + A23)]]/AN_TME_BY[[#This Row],[Member Months]],0)</f>
        <v>0</v>
      </c>
      <c r="AC76" s="237">
        <f>IFERROR(AN_TME_BY[[#This Row],[Total Claims Excluded because of Truncation]]/AN_TME_BY[[#This Row],[Count of Members with Claims Truncated]], 0)</f>
        <v>0</v>
      </c>
      <c r="AD76" s="238">
        <f>IFERROR(AN_TME_BY[[#This Row],[Total Claims Excluded because of Truncation]]/AN_TME_BY[[#This Row],[TOTAL Non-Truncated Unadjusted Claims Expenses]], 0)</f>
        <v>0</v>
      </c>
    </row>
    <row r="77" spans="1:30" x14ac:dyDescent="0.25">
      <c r="A77" s="101"/>
      <c r="B77" s="104"/>
      <c r="C77" s="270"/>
      <c r="D77" s="294"/>
      <c r="E77" s="110"/>
      <c r="F77" s="110"/>
      <c r="G77" s="110"/>
      <c r="H77" s="110"/>
      <c r="I77" s="110"/>
      <c r="J77" s="110"/>
      <c r="K77" s="110"/>
      <c r="L77" s="110"/>
      <c r="M77" s="110"/>
      <c r="N77" s="110"/>
      <c r="O77" s="110"/>
      <c r="P77" s="110"/>
      <c r="Q77" s="110"/>
      <c r="R77" s="110"/>
      <c r="S77" s="110"/>
      <c r="T77" s="110"/>
      <c r="U77" s="263"/>
      <c r="V77" s="108">
        <f t="shared" si="4"/>
        <v>0</v>
      </c>
      <c r="W77" s="108">
        <f>AN_TME_BY[[#This Row],[TOTAL Non-Truncated Unadjusted Claims Expenses]]-AN_TME_BY[[#This Row],[Total Claims Excluded because of Truncation]]</f>
        <v>0</v>
      </c>
      <c r="X77" s="108">
        <f t="shared" si="5"/>
        <v>0</v>
      </c>
      <c r="Y77" s="108">
        <f>AN_TME_BY[[#This Row],[TOTAL Non-Truncated Unadjusted Claims Expenses]]+AN_TME_BY[[#This Row],[TOTAL Non-Claims Expenses]]</f>
        <v>0</v>
      </c>
      <c r="Z77" s="108">
        <f>AN_TME_BY[[#This Row],[TOTAL Truncated Unadjusted Claims Expenses (A21 -A19)]]+AN_TME_BY[[#This Row],[TOTAL Non-Claims Expenses]]</f>
        <v>0</v>
      </c>
      <c r="AA77" s="235">
        <f>IFERROR(AN_TME_BY[[#This Row],[TOTAL Non-Truncated Unadjusted Expenses (A21 + A23)]]/AN_TME_BY[[#This Row],[Member Months]],0)</f>
        <v>0</v>
      </c>
      <c r="AB77" s="271">
        <f>IFERROR(AN_TME_BY[[#This Row],[TOTAL Truncated Unadjusted Expenses (A22 + A23)]]/AN_TME_BY[[#This Row],[Member Months]],0)</f>
        <v>0</v>
      </c>
      <c r="AC77" s="237">
        <f>IFERROR(AN_TME_BY[[#This Row],[Total Claims Excluded because of Truncation]]/AN_TME_BY[[#This Row],[Count of Members with Claims Truncated]], 0)</f>
        <v>0</v>
      </c>
      <c r="AD77" s="238">
        <f>IFERROR(AN_TME_BY[[#This Row],[Total Claims Excluded because of Truncation]]/AN_TME_BY[[#This Row],[TOTAL Non-Truncated Unadjusted Claims Expenses]], 0)</f>
        <v>0</v>
      </c>
    </row>
    <row r="78" spans="1:30" x14ac:dyDescent="0.25">
      <c r="A78" s="101"/>
      <c r="B78" s="104"/>
      <c r="C78" s="267"/>
      <c r="D78" s="294"/>
      <c r="E78" s="110"/>
      <c r="F78" s="110"/>
      <c r="G78" s="110"/>
      <c r="H78" s="110"/>
      <c r="I78" s="110"/>
      <c r="J78" s="110"/>
      <c r="K78" s="110"/>
      <c r="L78" s="110"/>
      <c r="M78" s="110"/>
      <c r="N78" s="110"/>
      <c r="O78" s="110"/>
      <c r="P78" s="110"/>
      <c r="Q78" s="110"/>
      <c r="R78" s="110"/>
      <c r="S78" s="110"/>
      <c r="T78" s="110"/>
      <c r="U78" s="263"/>
      <c r="V78" s="108">
        <f t="shared" si="4"/>
        <v>0</v>
      </c>
      <c r="W78" s="108">
        <f>AN_TME_BY[[#This Row],[TOTAL Non-Truncated Unadjusted Claims Expenses]]-AN_TME_BY[[#This Row],[Total Claims Excluded because of Truncation]]</f>
        <v>0</v>
      </c>
      <c r="X78" s="108">
        <f t="shared" si="5"/>
        <v>0</v>
      </c>
      <c r="Y78" s="108">
        <f>AN_TME_BY[[#This Row],[TOTAL Non-Truncated Unadjusted Claims Expenses]]+AN_TME_BY[[#This Row],[TOTAL Non-Claims Expenses]]</f>
        <v>0</v>
      </c>
      <c r="Z78" s="108">
        <f>AN_TME_BY[[#This Row],[TOTAL Truncated Unadjusted Claims Expenses (A21 -A19)]]+AN_TME_BY[[#This Row],[TOTAL Non-Claims Expenses]]</f>
        <v>0</v>
      </c>
      <c r="AA78" s="235">
        <f>IFERROR(AN_TME_BY[[#This Row],[TOTAL Non-Truncated Unadjusted Expenses (A21 + A23)]]/AN_TME_BY[[#This Row],[Member Months]],0)</f>
        <v>0</v>
      </c>
      <c r="AB78" s="271">
        <f>IFERROR(AN_TME_BY[[#This Row],[TOTAL Truncated Unadjusted Expenses (A22 + A23)]]/AN_TME_BY[[#This Row],[Member Months]],0)</f>
        <v>0</v>
      </c>
      <c r="AC78" s="237">
        <f>IFERROR(AN_TME_BY[[#This Row],[Total Claims Excluded because of Truncation]]/AN_TME_BY[[#This Row],[Count of Members with Claims Truncated]], 0)</f>
        <v>0</v>
      </c>
      <c r="AD78" s="238">
        <f>IFERROR(AN_TME_BY[[#This Row],[Total Claims Excluded because of Truncation]]/AN_TME_BY[[#This Row],[TOTAL Non-Truncated Unadjusted Claims Expenses]], 0)</f>
        <v>0</v>
      </c>
    </row>
    <row r="79" spans="1:30" x14ac:dyDescent="0.25">
      <c r="A79" s="101"/>
      <c r="B79" s="104"/>
      <c r="C79" s="270"/>
      <c r="D79" s="294"/>
      <c r="E79" s="110"/>
      <c r="F79" s="110"/>
      <c r="G79" s="110"/>
      <c r="H79" s="110"/>
      <c r="I79" s="110"/>
      <c r="J79" s="110"/>
      <c r="K79" s="110"/>
      <c r="L79" s="110"/>
      <c r="M79" s="110"/>
      <c r="N79" s="110"/>
      <c r="O79" s="110"/>
      <c r="P79" s="110"/>
      <c r="Q79" s="110"/>
      <c r="R79" s="110"/>
      <c r="S79" s="110"/>
      <c r="T79" s="110"/>
      <c r="U79" s="263"/>
      <c r="V79" s="108">
        <f t="shared" si="4"/>
        <v>0</v>
      </c>
      <c r="W79" s="108">
        <f>AN_TME_BY[[#This Row],[TOTAL Non-Truncated Unadjusted Claims Expenses]]-AN_TME_BY[[#This Row],[Total Claims Excluded because of Truncation]]</f>
        <v>0</v>
      </c>
      <c r="X79" s="108">
        <f t="shared" si="5"/>
        <v>0</v>
      </c>
      <c r="Y79" s="108">
        <f>AN_TME_BY[[#This Row],[TOTAL Non-Truncated Unadjusted Claims Expenses]]+AN_TME_BY[[#This Row],[TOTAL Non-Claims Expenses]]</f>
        <v>0</v>
      </c>
      <c r="Z79" s="108">
        <f>AN_TME_BY[[#This Row],[TOTAL Truncated Unadjusted Claims Expenses (A21 -A19)]]+AN_TME_BY[[#This Row],[TOTAL Non-Claims Expenses]]</f>
        <v>0</v>
      </c>
      <c r="AA79" s="235">
        <f>IFERROR(AN_TME_BY[[#This Row],[TOTAL Non-Truncated Unadjusted Expenses (A21 + A23)]]/AN_TME_BY[[#This Row],[Member Months]],0)</f>
        <v>0</v>
      </c>
      <c r="AB79" s="271">
        <f>IFERROR(AN_TME_BY[[#This Row],[TOTAL Truncated Unadjusted Expenses (A22 + A23)]]/AN_TME_BY[[#This Row],[Member Months]],0)</f>
        <v>0</v>
      </c>
      <c r="AC79" s="237">
        <f>IFERROR(AN_TME_BY[[#This Row],[Total Claims Excluded because of Truncation]]/AN_TME_BY[[#This Row],[Count of Members with Claims Truncated]], 0)</f>
        <v>0</v>
      </c>
      <c r="AD79" s="238">
        <f>IFERROR(AN_TME_BY[[#This Row],[Total Claims Excluded because of Truncation]]/AN_TME_BY[[#This Row],[TOTAL Non-Truncated Unadjusted Claims Expenses]], 0)</f>
        <v>0</v>
      </c>
    </row>
    <row r="80" spans="1:30" x14ac:dyDescent="0.25">
      <c r="A80" s="101"/>
      <c r="B80" s="104"/>
      <c r="C80" s="267"/>
      <c r="D80" s="294"/>
      <c r="E80" s="110"/>
      <c r="F80" s="110"/>
      <c r="G80" s="110"/>
      <c r="H80" s="110"/>
      <c r="I80" s="110"/>
      <c r="J80" s="110"/>
      <c r="K80" s="110"/>
      <c r="L80" s="110"/>
      <c r="M80" s="110"/>
      <c r="N80" s="110"/>
      <c r="O80" s="110"/>
      <c r="P80" s="110"/>
      <c r="Q80" s="110"/>
      <c r="R80" s="110"/>
      <c r="S80" s="110"/>
      <c r="T80" s="110"/>
      <c r="U80" s="263"/>
      <c r="V80" s="108">
        <f t="shared" si="4"/>
        <v>0</v>
      </c>
      <c r="W80" s="108">
        <f>AN_TME_BY[[#This Row],[TOTAL Non-Truncated Unadjusted Claims Expenses]]-AN_TME_BY[[#This Row],[Total Claims Excluded because of Truncation]]</f>
        <v>0</v>
      </c>
      <c r="X80" s="108">
        <f t="shared" si="5"/>
        <v>0</v>
      </c>
      <c r="Y80" s="108">
        <f>AN_TME_BY[[#This Row],[TOTAL Non-Truncated Unadjusted Claims Expenses]]+AN_TME_BY[[#This Row],[TOTAL Non-Claims Expenses]]</f>
        <v>0</v>
      </c>
      <c r="Z80" s="108">
        <f>AN_TME_BY[[#This Row],[TOTAL Truncated Unadjusted Claims Expenses (A21 -A19)]]+AN_TME_BY[[#This Row],[TOTAL Non-Claims Expenses]]</f>
        <v>0</v>
      </c>
      <c r="AA80" s="235">
        <f>IFERROR(AN_TME_BY[[#This Row],[TOTAL Non-Truncated Unadjusted Expenses (A21 + A23)]]/AN_TME_BY[[#This Row],[Member Months]],0)</f>
        <v>0</v>
      </c>
      <c r="AB80" s="271">
        <f>IFERROR(AN_TME_BY[[#This Row],[TOTAL Truncated Unadjusted Expenses (A22 + A23)]]/AN_TME_BY[[#This Row],[Member Months]],0)</f>
        <v>0</v>
      </c>
      <c r="AC80" s="237">
        <f>IFERROR(AN_TME_BY[[#This Row],[Total Claims Excluded because of Truncation]]/AN_TME_BY[[#This Row],[Count of Members with Claims Truncated]], 0)</f>
        <v>0</v>
      </c>
      <c r="AD80" s="238">
        <f>IFERROR(AN_TME_BY[[#This Row],[Total Claims Excluded because of Truncation]]/AN_TME_BY[[#This Row],[TOTAL Non-Truncated Unadjusted Claims Expenses]], 0)</f>
        <v>0</v>
      </c>
    </row>
    <row r="81" spans="1:30" x14ac:dyDescent="0.25">
      <c r="A81" s="101"/>
      <c r="B81" s="104"/>
      <c r="C81" s="270"/>
      <c r="D81" s="294"/>
      <c r="E81" s="110"/>
      <c r="F81" s="110"/>
      <c r="G81" s="110"/>
      <c r="H81" s="110"/>
      <c r="I81" s="110"/>
      <c r="J81" s="110"/>
      <c r="K81" s="110"/>
      <c r="L81" s="110"/>
      <c r="M81" s="110"/>
      <c r="N81" s="110"/>
      <c r="O81" s="110"/>
      <c r="P81" s="110"/>
      <c r="Q81" s="110"/>
      <c r="R81" s="110"/>
      <c r="S81" s="110"/>
      <c r="T81" s="110"/>
      <c r="U81" s="263"/>
      <c r="V81" s="108">
        <f t="shared" si="4"/>
        <v>0</v>
      </c>
      <c r="W81" s="108">
        <f>AN_TME_BY[[#This Row],[TOTAL Non-Truncated Unadjusted Claims Expenses]]-AN_TME_BY[[#This Row],[Total Claims Excluded because of Truncation]]</f>
        <v>0</v>
      </c>
      <c r="X81" s="108">
        <f t="shared" si="5"/>
        <v>0</v>
      </c>
      <c r="Y81" s="108">
        <f>AN_TME_BY[[#This Row],[TOTAL Non-Truncated Unadjusted Claims Expenses]]+AN_TME_BY[[#This Row],[TOTAL Non-Claims Expenses]]</f>
        <v>0</v>
      </c>
      <c r="Z81" s="108">
        <f>AN_TME_BY[[#This Row],[TOTAL Truncated Unadjusted Claims Expenses (A21 -A19)]]+AN_TME_BY[[#This Row],[TOTAL Non-Claims Expenses]]</f>
        <v>0</v>
      </c>
      <c r="AA81" s="235">
        <f>IFERROR(AN_TME_BY[[#This Row],[TOTAL Non-Truncated Unadjusted Expenses (A21 + A23)]]/AN_TME_BY[[#This Row],[Member Months]],0)</f>
        <v>0</v>
      </c>
      <c r="AB81" s="271">
        <f>IFERROR(AN_TME_BY[[#This Row],[TOTAL Truncated Unadjusted Expenses (A22 + A23)]]/AN_TME_BY[[#This Row],[Member Months]],0)</f>
        <v>0</v>
      </c>
      <c r="AC81" s="237">
        <f>IFERROR(AN_TME_BY[[#This Row],[Total Claims Excluded because of Truncation]]/AN_TME_BY[[#This Row],[Count of Members with Claims Truncated]], 0)</f>
        <v>0</v>
      </c>
      <c r="AD81" s="238">
        <f>IFERROR(AN_TME_BY[[#This Row],[Total Claims Excluded because of Truncation]]/AN_TME_BY[[#This Row],[TOTAL Non-Truncated Unadjusted Claims Expenses]], 0)</f>
        <v>0</v>
      </c>
    </row>
    <row r="82" spans="1:30" x14ac:dyDescent="0.25">
      <c r="A82" s="101"/>
      <c r="B82" s="104"/>
      <c r="C82" s="267"/>
      <c r="D82" s="294"/>
      <c r="E82" s="110"/>
      <c r="F82" s="110"/>
      <c r="G82" s="110"/>
      <c r="H82" s="110"/>
      <c r="I82" s="110"/>
      <c r="J82" s="110"/>
      <c r="K82" s="110"/>
      <c r="L82" s="110"/>
      <c r="M82" s="110"/>
      <c r="N82" s="110"/>
      <c r="O82" s="110"/>
      <c r="P82" s="110"/>
      <c r="Q82" s="110"/>
      <c r="R82" s="110"/>
      <c r="S82" s="110"/>
      <c r="T82" s="110"/>
      <c r="U82" s="263"/>
      <c r="V82" s="108">
        <f t="shared" si="4"/>
        <v>0</v>
      </c>
      <c r="W82" s="108">
        <f>AN_TME_BY[[#This Row],[TOTAL Non-Truncated Unadjusted Claims Expenses]]-AN_TME_BY[[#This Row],[Total Claims Excluded because of Truncation]]</f>
        <v>0</v>
      </c>
      <c r="X82" s="108">
        <f t="shared" si="5"/>
        <v>0</v>
      </c>
      <c r="Y82" s="108">
        <f>AN_TME_BY[[#This Row],[TOTAL Non-Truncated Unadjusted Claims Expenses]]+AN_TME_BY[[#This Row],[TOTAL Non-Claims Expenses]]</f>
        <v>0</v>
      </c>
      <c r="Z82" s="108">
        <f>AN_TME_BY[[#This Row],[TOTAL Truncated Unadjusted Claims Expenses (A21 -A19)]]+AN_TME_BY[[#This Row],[TOTAL Non-Claims Expenses]]</f>
        <v>0</v>
      </c>
      <c r="AA82" s="235">
        <f>IFERROR(AN_TME_BY[[#This Row],[TOTAL Non-Truncated Unadjusted Expenses (A21 + A23)]]/AN_TME_BY[[#This Row],[Member Months]],0)</f>
        <v>0</v>
      </c>
      <c r="AB82" s="271">
        <f>IFERROR(AN_TME_BY[[#This Row],[TOTAL Truncated Unadjusted Expenses (A22 + A23)]]/AN_TME_BY[[#This Row],[Member Months]],0)</f>
        <v>0</v>
      </c>
      <c r="AC82" s="237">
        <f>IFERROR(AN_TME_BY[[#This Row],[Total Claims Excluded because of Truncation]]/AN_TME_BY[[#This Row],[Count of Members with Claims Truncated]], 0)</f>
        <v>0</v>
      </c>
      <c r="AD82" s="238">
        <f>IFERROR(AN_TME_BY[[#This Row],[Total Claims Excluded because of Truncation]]/AN_TME_BY[[#This Row],[TOTAL Non-Truncated Unadjusted Claims Expenses]], 0)</f>
        <v>0</v>
      </c>
    </row>
    <row r="83" spans="1:30" x14ac:dyDescent="0.25">
      <c r="A83" s="101"/>
      <c r="B83" s="104"/>
      <c r="C83" s="270"/>
      <c r="D83" s="294"/>
      <c r="E83" s="110"/>
      <c r="F83" s="110"/>
      <c r="G83" s="110"/>
      <c r="H83" s="110"/>
      <c r="I83" s="110"/>
      <c r="J83" s="110"/>
      <c r="K83" s="110"/>
      <c r="L83" s="110"/>
      <c r="M83" s="110"/>
      <c r="N83" s="110"/>
      <c r="O83" s="110"/>
      <c r="P83" s="110"/>
      <c r="Q83" s="110"/>
      <c r="R83" s="110"/>
      <c r="S83" s="110"/>
      <c r="T83" s="110"/>
      <c r="U83" s="263"/>
      <c r="V83" s="108">
        <f t="shared" si="4"/>
        <v>0</v>
      </c>
      <c r="W83" s="108">
        <f>AN_TME_BY[[#This Row],[TOTAL Non-Truncated Unadjusted Claims Expenses]]-AN_TME_BY[[#This Row],[Total Claims Excluded because of Truncation]]</f>
        <v>0</v>
      </c>
      <c r="X83" s="108">
        <f t="shared" si="5"/>
        <v>0</v>
      </c>
      <c r="Y83" s="108">
        <f>AN_TME_BY[[#This Row],[TOTAL Non-Truncated Unadjusted Claims Expenses]]+AN_TME_BY[[#This Row],[TOTAL Non-Claims Expenses]]</f>
        <v>0</v>
      </c>
      <c r="Z83" s="108">
        <f>AN_TME_BY[[#This Row],[TOTAL Truncated Unadjusted Claims Expenses (A21 -A19)]]+AN_TME_BY[[#This Row],[TOTAL Non-Claims Expenses]]</f>
        <v>0</v>
      </c>
      <c r="AA83" s="235">
        <f>IFERROR(AN_TME_BY[[#This Row],[TOTAL Non-Truncated Unadjusted Expenses (A21 + A23)]]/AN_TME_BY[[#This Row],[Member Months]],0)</f>
        <v>0</v>
      </c>
      <c r="AB83" s="271">
        <f>IFERROR(AN_TME_BY[[#This Row],[TOTAL Truncated Unadjusted Expenses (A22 + A23)]]/AN_TME_BY[[#This Row],[Member Months]],0)</f>
        <v>0</v>
      </c>
      <c r="AC83" s="237">
        <f>IFERROR(AN_TME_BY[[#This Row],[Total Claims Excluded because of Truncation]]/AN_TME_BY[[#This Row],[Count of Members with Claims Truncated]], 0)</f>
        <v>0</v>
      </c>
      <c r="AD83" s="238">
        <f>IFERROR(AN_TME_BY[[#This Row],[Total Claims Excluded because of Truncation]]/AN_TME_BY[[#This Row],[TOTAL Non-Truncated Unadjusted Claims Expenses]], 0)</f>
        <v>0</v>
      </c>
    </row>
    <row r="84" spans="1:30" x14ac:dyDescent="0.25">
      <c r="A84" s="101"/>
      <c r="B84" s="104"/>
      <c r="C84" s="267"/>
      <c r="D84" s="294"/>
      <c r="E84" s="110"/>
      <c r="F84" s="110"/>
      <c r="G84" s="110"/>
      <c r="H84" s="110"/>
      <c r="I84" s="110"/>
      <c r="J84" s="110"/>
      <c r="K84" s="110"/>
      <c r="L84" s="110"/>
      <c r="M84" s="110"/>
      <c r="N84" s="110"/>
      <c r="O84" s="110"/>
      <c r="P84" s="110"/>
      <c r="Q84" s="110"/>
      <c r="R84" s="110"/>
      <c r="S84" s="110"/>
      <c r="T84" s="110"/>
      <c r="U84" s="263"/>
      <c r="V84" s="108">
        <f t="shared" si="4"/>
        <v>0</v>
      </c>
      <c r="W84" s="108">
        <f>AN_TME_BY[[#This Row],[TOTAL Non-Truncated Unadjusted Claims Expenses]]-AN_TME_BY[[#This Row],[Total Claims Excluded because of Truncation]]</f>
        <v>0</v>
      </c>
      <c r="X84" s="108">
        <f t="shared" si="5"/>
        <v>0</v>
      </c>
      <c r="Y84" s="108">
        <f>AN_TME_BY[[#This Row],[TOTAL Non-Truncated Unadjusted Claims Expenses]]+AN_TME_BY[[#This Row],[TOTAL Non-Claims Expenses]]</f>
        <v>0</v>
      </c>
      <c r="Z84" s="108">
        <f>AN_TME_BY[[#This Row],[TOTAL Truncated Unadjusted Claims Expenses (A21 -A19)]]+AN_TME_BY[[#This Row],[TOTAL Non-Claims Expenses]]</f>
        <v>0</v>
      </c>
      <c r="AA84" s="235">
        <f>IFERROR(AN_TME_BY[[#This Row],[TOTAL Non-Truncated Unadjusted Expenses (A21 + A23)]]/AN_TME_BY[[#This Row],[Member Months]],0)</f>
        <v>0</v>
      </c>
      <c r="AB84" s="271">
        <f>IFERROR(AN_TME_BY[[#This Row],[TOTAL Truncated Unadjusted Expenses (A22 + A23)]]/AN_TME_BY[[#This Row],[Member Months]],0)</f>
        <v>0</v>
      </c>
      <c r="AC84" s="237">
        <f>IFERROR(AN_TME_BY[[#This Row],[Total Claims Excluded because of Truncation]]/AN_TME_BY[[#This Row],[Count of Members with Claims Truncated]], 0)</f>
        <v>0</v>
      </c>
      <c r="AD84" s="238">
        <f>IFERROR(AN_TME_BY[[#This Row],[Total Claims Excluded because of Truncation]]/AN_TME_BY[[#This Row],[TOTAL Non-Truncated Unadjusted Claims Expenses]], 0)</f>
        <v>0</v>
      </c>
    </row>
    <row r="85" spans="1:30" x14ac:dyDescent="0.25">
      <c r="A85" s="101"/>
      <c r="B85" s="104"/>
      <c r="C85" s="270"/>
      <c r="D85" s="294"/>
      <c r="E85" s="110"/>
      <c r="F85" s="110"/>
      <c r="G85" s="110"/>
      <c r="H85" s="110"/>
      <c r="I85" s="110"/>
      <c r="J85" s="110"/>
      <c r="K85" s="110"/>
      <c r="L85" s="110"/>
      <c r="M85" s="110"/>
      <c r="N85" s="110"/>
      <c r="O85" s="110"/>
      <c r="P85" s="110"/>
      <c r="Q85" s="110"/>
      <c r="R85" s="110"/>
      <c r="S85" s="110"/>
      <c r="T85" s="110"/>
      <c r="U85" s="263"/>
      <c r="V85" s="108">
        <f t="shared" si="4"/>
        <v>0</v>
      </c>
      <c r="W85" s="108">
        <f>AN_TME_BY[[#This Row],[TOTAL Non-Truncated Unadjusted Claims Expenses]]-AN_TME_BY[[#This Row],[Total Claims Excluded because of Truncation]]</f>
        <v>0</v>
      </c>
      <c r="X85" s="108">
        <f t="shared" si="5"/>
        <v>0</v>
      </c>
      <c r="Y85" s="108">
        <f>AN_TME_BY[[#This Row],[TOTAL Non-Truncated Unadjusted Claims Expenses]]+AN_TME_BY[[#This Row],[TOTAL Non-Claims Expenses]]</f>
        <v>0</v>
      </c>
      <c r="Z85" s="108">
        <f>AN_TME_BY[[#This Row],[TOTAL Truncated Unadjusted Claims Expenses (A21 -A19)]]+AN_TME_BY[[#This Row],[TOTAL Non-Claims Expenses]]</f>
        <v>0</v>
      </c>
      <c r="AA85" s="235">
        <f>IFERROR(AN_TME_BY[[#This Row],[TOTAL Non-Truncated Unadjusted Expenses (A21 + A23)]]/AN_TME_BY[[#This Row],[Member Months]],0)</f>
        <v>0</v>
      </c>
      <c r="AB85" s="271">
        <f>IFERROR(AN_TME_BY[[#This Row],[TOTAL Truncated Unadjusted Expenses (A22 + A23)]]/AN_TME_BY[[#This Row],[Member Months]],0)</f>
        <v>0</v>
      </c>
      <c r="AC85" s="237">
        <f>IFERROR(AN_TME_BY[[#This Row],[Total Claims Excluded because of Truncation]]/AN_TME_BY[[#This Row],[Count of Members with Claims Truncated]], 0)</f>
        <v>0</v>
      </c>
      <c r="AD85" s="238">
        <f>IFERROR(AN_TME_BY[[#This Row],[Total Claims Excluded because of Truncation]]/AN_TME_BY[[#This Row],[TOTAL Non-Truncated Unadjusted Claims Expenses]], 0)</f>
        <v>0</v>
      </c>
    </row>
    <row r="86" spans="1:30" x14ac:dyDescent="0.25">
      <c r="A86" s="101"/>
      <c r="B86" s="104"/>
      <c r="C86" s="267"/>
      <c r="D86" s="294"/>
      <c r="E86" s="110"/>
      <c r="F86" s="110"/>
      <c r="G86" s="110"/>
      <c r="H86" s="110"/>
      <c r="I86" s="110"/>
      <c r="J86" s="110"/>
      <c r="K86" s="110"/>
      <c r="L86" s="110"/>
      <c r="M86" s="110"/>
      <c r="N86" s="110"/>
      <c r="O86" s="110"/>
      <c r="P86" s="110"/>
      <c r="Q86" s="110"/>
      <c r="R86" s="110"/>
      <c r="S86" s="110"/>
      <c r="T86" s="110"/>
      <c r="U86" s="263"/>
      <c r="V86" s="108">
        <f t="shared" si="4"/>
        <v>0</v>
      </c>
      <c r="W86" s="108">
        <f>AN_TME_BY[[#This Row],[TOTAL Non-Truncated Unadjusted Claims Expenses]]-AN_TME_BY[[#This Row],[Total Claims Excluded because of Truncation]]</f>
        <v>0</v>
      </c>
      <c r="X86" s="108">
        <f t="shared" si="5"/>
        <v>0</v>
      </c>
      <c r="Y86" s="108">
        <f>AN_TME_BY[[#This Row],[TOTAL Non-Truncated Unadjusted Claims Expenses]]+AN_TME_BY[[#This Row],[TOTAL Non-Claims Expenses]]</f>
        <v>0</v>
      </c>
      <c r="Z86" s="108">
        <f>AN_TME_BY[[#This Row],[TOTAL Truncated Unadjusted Claims Expenses (A21 -A19)]]+AN_TME_BY[[#This Row],[TOTAL Non-Claims Expenses]]</f>
        <v>0</v>
      </c>
      <c r="AA86" s="235">
        <f>IFERROR(AN_TME_BY[[#This Row],[TOTAL Non-Truncated Unadjusted Expenses (A21 + A23)]]/AN_TME_BY[[#This Row],[Member Months]],0)</f>
        <v>0</v>
      </c>
      <c r="AB86" s="271">
        <f>IFERROR(AN_TME_BY[[#This Row],[TOTAL Truncated Unadjusted Expenses (A22 + A23)]]/AN_TME_BY[[#This Row],[Member Months]],0)</f>
        <v>0</v>
      </c>
      <c r="AC86" s="237">
        <f>IFERROR(AN_TME_BY[[#This Row],[Total Claims Excluded because of Truncation]]/AN_TME_BY[[#This Row],[Count of Members with Claims Truncated]], 0)</f>
        <v>0</v>
      </c>
      <c r="AD86" s="238">
        <f>IFERROR(AN_TME_BY[[#This Row],[Total Claims Excluded because of Truncation]]/AN_TME_BY[[#This Row],[TOTAL Non-Truncated Unadjusted Claims Expenses]], 0)</f>
        <v>0</v>
      </c>
    </row>
    <row r="87" spans="1:30" x14ac:dyDescent="0.25">
      <c r="A87" s="101"/>
      <c r="B87" s="104"/>
      <c r="C87" s="270"/>
      <c r="D87" s="294"/>
      <c r="E87" s="110"/>
      <c r="F87" s="110"/>
      <c r="G87" s="110"/>
      <c r="H87" s="110"/>
      <c r="I87" s="110"/>
      <c r="J87" s="110"/>
      <c r="K87" s="110"/>
      <c r="L87" s="110"/>
      <c r="M87" s="110"/>
      <c r="N87" s="110"/>
      <c r="O87" s="110"/>
      <c r="P87" s="110"/>
      <c r="Q87" s="110"/>
      <c r="R87" s="110"/>
      <c r="S87" s="110"/>
      <c r="T87" s="110"/>
      <c r="U87" s="263"/>
      <c r="V87" s="108">
        <f t="shared" si="4"/>
        <v>0</v>
      </c>
      <c r="W87" s="108">
        <f>AN_TME_BY[[#This Row],[TOTAL Non-Truncated Unadjusted Claims Expenses]]-AN_TME_BY[[#This Row],[Total Claims Excluded because of Truncation]]</f>
        <v>0</v>
      </c>
      <c r="X87" s="108">
        <f t="shared" si="5"/>
        <v>0</v>
      </c>
      <c r="Y87" s="108">
        <f>AN_TME_BY[[#This Row],[TOTAL Non-Truncated Unadjusted Claims Expenses]]+AN_TME_BY[[#This Row],[TOTAL Non-Claims Expenses]]</f>
        <v>0</v>
      </c>
      <c r="Z87" s="108">
        <f>AN_TME_BY[[#This Row],[TOTAL Truncated Unadjusted Claims Expenses (A21 -A19)]]+AN_TME_BY[[#This Row],[TOTAL Non-Claims Expenses]]</f>
        <v>0</v>
      </c>
      <c r="AA87" s="235">
        <f>IFERROR(AN_TME_BY[[#This Row],[TOTAL Non-Truncated Unadjusted Expenses (A21 + A23)]]/AN_TME_BY[[#This Row],[Member Months]],0)</f>
        <v>0</v>
      </c>
      <c r="AB87" s="271">
        <f>IFERROR(AN_TME_BY[[#This Row],[TOTAL Truncated Unadjusted Expenses (A22 + A23)]]/AN_TME_BY[[#This Row],[Member Months]],0)</f>
        <v>0</v>
      </c>
      <c r="AC87" s="237">
        <f>IFERROR(AN_TME_BY[[#This Row],[Total Claims Excluded because of Truncation]]/AN_TME_BY[[#This Row],[Count of Members with Claims Truncated]], 0)</f>
        <v>0</v>
      </c>
      <c r="AD87" s="238">
        <f>IFERROR(AN_TME_BY[[#This Row],[Total Claims Excluded because of Truncation]]/AN_TME_BY[[#This Row],[TOTAL Non-Truncated Unadjusted Claims Expenses]], 0)</f>
        <v>0</v>
      </c>
    </row>
    <row r="88" spans="1:30" x14ac:dyDescent="0.25">
      <c r="A88" s="101"/>
      <c r="B88" s="104"/>
      <c r="C88" s="267"/>
      <c r="D88" s="294"/>
      <c r="E88" s="110"/>
      <c r="F88" s="110"/>
      <c r="G88" s="110"/>
      <c r="H88" s="110"/>
      <c r="I88" s="110"/>
      <c r="J88" s="110"/>
      <c r="K88" s="110"/>
      <c r="L88" s="110"/>
      <c r="M88" s="110"/>
      <c r="N88" s="110"/>
      <c r="O88" s="110"/>
      <c r="P88" s="110"/>
      <c r="Q88" s="110"/>
      <c r="R88" s="110"/>
      <c r="S88" s="110"/>
      <c r="T88" s="110"/>
      <c r="U88" s="263"/>
      <c r="V88" s="108">
        <f t="shared" si="4"/>
        <v>0</v>
      </c>
      <c r="W88" s="108">
        <f>AN_TME_BY[[#This Row],[TOTAL Non-Truncated Unadjusted Claims Expenses]]-AN_TME_BY[[#This Row],[Total Claims Excluded because of Truncation]]</f>
        <v>0</v>
      </c>
      <c r="X88" s="108">
        <f t="shared" si="5"/>
        <v>0</v>
      </c>
      <c r="Y88" s="108">
        <f>AN_TME_BY[[#This Row],[TOTAL Non-Truncated Unadjusted Claims Expenses]]+AN_TME_BY[[#This Row],[TOTAL Non-Claims Expenses]]</f>
        <v>0</v>
      </c>
      <c r="Z88" s="108">
        <f>AN_TME_BY[[#This Row],[TOTAL Truncated Unadjusted Claims Expenses (A21 -A19)]]+AN_TME_BY[[#This Row],[TOTAL Non-Claims Expenses]]</f>
        <v>0</v>
      </c>
      <c r="AA88" s="235">
        <f>IFERROR(AN_TME_BY[[#This Row],[TOTAL Non-Truncated Unadjusted Expenses (A21 + A23)]]/AN_TME_BY[[#This Row],[Member Months]],0)</f>
        <v>0</v>
      </c>
      <c r="AB88" s="271">
        <f>IFERROR(AN_TME_BY[[#This Row],[TOTAL Truncated Unadjusted Expenses (A22 + A23)]]/AN_TME_BY[[#This Row],[Member Months]],0)</f>
        <v>0</v>
      </c>
      <c r="AC88" s="237">
        <f>IFERROR(AN_TME_BY[[#This Row],[Total Claims Excluded because of Truncation]]/AN_TME_BY[[#This Row],[Count of Members with Claims Truncated]], 0)</f>
        <v>0</v>
      </c>
      <c r="AD88" s="238">
        <f>IFERROR(AN_TME_BY[[#This Row],[Total Claims Excluded because of Truncation]]/AN_TME_BY[[#This Row],[TOTAL Non-Truncated Unadjusted Claims Expenses]], 0)</f>
        <v>0</v>
      </c>
    </row>
    <row r="89" spans="1:30" x14ac:dyDescent="0.25">
      <c r="A89" s="101"/>
      <c r="B89" s="104"/>
      <c r="C89" s="270"/>
      <c r="D89" s="294"/>
      <c r="E89" s="110"/>
      <c r="F89" s="110"/>
      <c r="G89" s="110"/>
      <c r="H89" s="110"/>
      <c r="I89" s="110"/>
      <c r="J89" s="110"/>
      <c r="K89" s="110"/>
      <c r="L89" s="110"/>
      <c r="M89" s="110"/>
      <c r="N89" s="110"/>
      <c r="O89" s="110"/>
      <c r="P89" s="110"/>
      <c r="Q89" s="110"/>
      <c r="R89" s="110"/>
      <c r="S89" s="110"/>
      <c r="T89" s="110"/>
      <c r="U89" s="263"/>
      <c r="V89" s="108">
        <f t="shared" si="4"/>
        <v>0</v>
      </c>
      <c r="W89" s="108">
        <f>AN_TME_BY[[#This Row],[TOTAL Non-Truncated Unadjusted Claims Expenses]]-AN_TME_BY[[#This Row],[Total Claims Excluded because of Truncation]]</f>
        <v>0</v>
      </c>
      <c r="X89" s="108">
        <f t="shared" si="5"/>
        <v>0</v>
      </c>
      <c r="Y89" s="108">
        <f>AN_TME_BY[[#This Row],[TOTAL Non-Truncated Unadjusted Claims Expenses]]+AN_TME_BY[[#This Row],[TOTAL Non-Claims Expenses]]</f>
        <v>0</v>
      </c>
      <c r="Z89" s="108">
        <f>AN_TME_BY[[#This Row],[TOTAL Truncated Unadjusted Claims Expenses (A21 -A19)]]+AN_TME_BY[[#This Row],[TOTAL Non-Claims Expenses]]</f>
        <v>0</v>
      </c>
      <c r="AA89" s="235">
        <f>IFERROR(AN_TME_BY[[#This Row],[TOTAL Non-Truncated Unadjusted Expenses (A21 + A23)]]/AN_TME_BY[[#This Row],[Member Months]],0)</f>
        <v>0</v>
      </c>
      <c r="AB89" s="271">
        <f>IFERROR(AN_TME_BY[[#This Row],[TOTAL Truncated Unadjusted Expenses (A22 + A23)]]/AN_TME_BY[[#This Row],[Member Months]],0)</f>
        <v>0</v>
      </c>
      <c r="AC89" s="237">
        <f>IFERROR(AN_TME_BY[[#This Row],[Total Claims Excluded because of Truncation]]/AN_TME_BY[[#This Row],[Count of Members with Claims Truncated]], 0)</f>
        <v>0</v>
      </c>
      <c r="AD89" s="238">
        <f>IFERROR(AN_TME_BY[[#This Row],[Total Claims Excluded because of Truncation]]/AN_TME_BY[[#This Row],[TOTAL Non-Truncated Unadjusted Claims Expenses]], 0)</f>
        <v>0</v>
      </c>
    </row>
    <row r="90" spans="1:30" x14ac:dyDescent="0.25">
      <c r="A90" s="101"/>
      <c r="B90" s="104"/>
      <c r="C90" s="267"/>
      <c r="D90" s="294"/>
      <c r="E90" s="110"/>
      <c r="F90" s="110"/>
      <c r="G90" s="110"/>
      <c r="H90" s="110"/>
      <c r="I90" s="110"/>
      <c r="J90" s="110"/>
      <c r="K90" s="110"/>
      <c r="L90" s="110"/>
      <c r="M90" s="110"/>
      <c r="N90" s="110"/>
      <c r="O90" s="110"/>
      <c r="P90" s="110"/>
      <c r="Q90" s="110"/>
      <c r="R90" s="110"/>
      <c r="S90" s="110"/>
      <c r="T90" s="110"/>
      <c r="U90" s="263"/>
      <c r="V90" s="108">
        <f t="shared" si="4"/>
        <v>0</v>
      </c>
      <c r="W90" s="108">
        <f>AN_TME_BY[[#This Row],[TOTAL Non-Truncated Unadjusted Claims Expenses]]-AN_TME_BY[[#This Row],[Total Claims Excluded because of Truncation]]</f>
        <v>0</v>
      </c>
      <c r="X90" s="108">
        <f t="shared" si="5"/>
        <v>0</v>
      </c>
      <c r="Y90" s="108">
        <f>AN_TME_BY[[#This Row],[TOTAL Non-Truncated Unadjusted Claims Expenses]]+AN_TME_BY[[#This Row],[TOTAL Non-Claims Expenses]]</f>
        <v>0</v>
      </c>
      <c r="Z90" s="108">
        <f>AN_TME_BY[[#This Row],[TOTAL Truncated Unadjusted Claims Expenses (A21 -A19)]]+AN_TME_BY[[#This Row],[TOTAL Non-Claims Expenses]]</f>
        <v>0</v>
      </c>
      <c r="AA90" s="235">
        <f>IFERROR(AN_TME_BY[[#This Row],[TOTAL Non-Truncated Unadjusted Expenses (A21 + A23)]]/AN_TME_BY[[#This Row],[Member Months]],0)</f>
        <v>0</v>
      </c>
      <c r="AB90" s="271">
        <f>IFERROR(AN_TME_BY[[#This Row],[TOTAL Truncated Unadjusted Expenses (A22 + A23)]]/AN_TME_BY[[#This Row],[Member Months]],0)</f>
        <v>0</v>
      </c>
      <c r="AC90" s="237">
        <f>IFERROR(AN_TME_BY[[#This Row],[Total Claims Excluded because of Truncation]]/AN_TME_BY[[#This Row],[Count of Members with Claims Truncated]], 0)</f>
        <v>0</v>
      </c>
      <c r="AD90" s="238">
        <f>IFERROR(AN_TME_BY[[#This Row],[Total Claims Excluded because of Truncation]]/AN_TME_BY[[#This Row],[TOTAL Non-Truncated Unadjusted Claims Expenses]], 0)</f>
        <v>0</v>
      </c>
    </row>
    <row r="91" spans="1:30" x14ac:dyDescent="0.25">
      <c r="A91" s="101"/>
      <c r="B91" s="104"/>
      <c r="C91" s="270"/>
      <c r="D91" s="294"/>
      <c r="E91" s="110"/>
      <c r="F91" s="110"/>
      <c r="G91" s="110"/>
      <c r="H91" s="110"/>
      <c r="I91" s="110"/>
      <c r="J91" s="110"/>
      <c r="K91" s="110"/>
      <c r="L91" s="110"/>
      <c r="M91" s="110"/>
      <c r="N91" s="110"/>
      <c r="O91" s="110"/>
      <c r="P91" s="110"/>
      <c r="Q91" s="110"/>
      <c r="R91" s="110"/>
      <c r="S91" s="110"/>
      <c r="T91" s="110"/>
      <c r="U91" s="263"/>
      <c r="V91" s="108">
        <f t="shared" si="4"/>
        <v>0</v>
      </c>
      <c r="W91" s="108">
        <f>AN_TME_BY[[#This Row],[TOTAL Non-Truncated Unadjusted Claims Expenses]]-AN_TME_BY[[#This Row],[Total Claims Excluded because of Truncation]]</f>
        <v>0</v>
      </c>
      <c r="X91" s="108">
        <f t="shared" si="5"/>
        <v>0</v>
      </c>
      <c r="Y91" s="108">
        <f>AN_TME_BY[[#This Row],[TOTAL Non-Truncated Unadjusted Claims Expenses]]+AN_TME_BY[[#This Row],[TOTAL Non-Claims Expenses]]</f>
        <v>0</v>
      </c>
      <c r="Z91" s="108">
        <f>AN_TME_BY[[#This Row],[TOTAL Truncated Unadjusted Claims Expenses (A21 -A19)]]+AN_TME_BY[[#This Row],[TOTAL Non-Claims Expenses]]</f>
        <v>0</v>
      </c>
      <c r="AA91" s="235">
        <f>IFERROR(AN_TME_BY[[#This Row],[TOTAL Non-Truncated Unadjusted Expenses (A21 + A23)]]/AN_TME_BY[[#This Row],[Member Months]],0)</f>
        <v>0</v>
      </c>
      <c r="AB91" s="271">
        <f>IFERROR(AN_TME_BY[[#This Row],[TOTAL Truncated Unadjusted Expenses (A22 + A23)]]/AN_TME_BY[[#This Row],[Member Months]],0)</f>
        <v>0</v>
      </c>
      <c r="AC91" s="237">
        <f>IFERROR(AN_TME_BY[[#This Row],[Total Claims Excluded because of Truncation]]/AN_TME_BY[[#This Row],[Count of Members with Claims Truncated]], 0)</f>
        <v>0</v>
      </c>
      <c r="AD91" s="238">
        <f>IFERROR(AN_TME_BY[[#This Row],[Total Claims Excluded because of Truncation]]/AN_TME_BY[[#This Row],[TOTAL Non-Truncated Unadjusted Claims Expenses]], 0)</f>
        <v>0</v>
      </c>
    </row>
    <row r="92" spans="1:30" x14ac:dyDescent="0.25">
      <c r="A92" s="101"/>
      <c r="B92" s="104"/>
      <c r="C92" s="267"/>
      <c r="D92" s="294"/>
      <c r="E92" s="110"/>
      <c r="F92" s="110"/>
      <c r="G92" s="110"/>
      <c r="H92" s="110"/>
      <c r="I92" s="110"/>
      <c r="J92" s="110"/>
      <c r="K92" s="110"/>
      <c r="L92" s="110"/>
      <c r="M92" s="110"/>
      <c r="N92" s="110"/>
      <c r="O92" s="110"/>
      <c r="P92" s="110"/>
      <c r="Q92" s="110"/>
      <c r="R92" s="110"/>
      <c r="S92" s="110"/>
      <c r="T92" s="110"/>
      <c r="U92" s="263"/>
      <c r="V92" s="108">
        <f t="shared" si="4"/>
        <v>0</v>
      </c>
      <c r="W92" s="108">
        <f>AN_TME_BY[[#This Row],[TOTAL Non-Truncated Unadjusted Claims Expenses]]-AN_TME_BY[[#This Row],[Total Claims Excluded because of Truncation]]</f>
        <v>0</v>
      </c>
      <c r="X92" s="108">
        <f t="shared" si="5"/>
        <v>0</v>
      </c>
      <c r="Y92" s="108">
        <f>AN_TME_BY[[#This Row],[TOTAL Non-Truncated Unadjusted Claims Expenses]]+AN_TME_BY[[#This Row],[TOTAL Non-Claims Expenses]]</f>
        <v>0</v>
      </c>
      <c r="Z92" s="108">
        <f>AN_TME_BY[[#This Row],[TOTAL Truncated Unadjusted Claims Expenses (A21 -A19)]]+AN_TME_BY[[#This Row],[TOTAL Non-Claims Expenses]]</f>
        <v>0</v>
      </c>
      <c r="AA92" s="235">
        <f>IFERROR(AN_TME_BY[[#This Row],[TOTAL Non-Truncated Unadjusted Expenses (A21 + A23)]]/AN_TME_BY[[#This Row],[Member Months]],0)</f>
        <v>0</v>
      </c>
      <c r="AB92" s="271">
        <f>IFERROR(AN_TME_BY[[#This Row],[TOTAL Truncated Unadjusted Expenses (A22 + A23)]]/AN_TME_BY[[#This Row],[Member Months]],0)</f>
        <v>0</v>
      </c>
      <c r="AC92" s="237">
        <f>IFERROR(AN_TME_BY[[#This Row],[Total Claims Excluded because of Truncation]]/AN_TME_BY[[#This Row],[Count of Members with Claims Truncated]], 0)</f>
        <v>0</v>
      </c>
      <c r="AD92" s="238">
        <f>IFERROR(AN_TME_BY[[#This Row],[Total Claims Excluded because of Truncation]]/AN_TME_BY[[#This Row],[TOTAL Non-Truncated Unadjusted Claims Expenses]], 0)</f>
        <v>0</v>
      </c>
    </row>
    <row r="93" spans="1:30" x14ac:dyDescent="0.25">
      <c r="A93" s="101"/>
      <c r="B93" s="104"/>
      <c r="C93" s="270"/>
      <c r="D93" s="294"/>
      <c r="E93" s="110"/>
      <c r="F93" s="110"/>
      <c r="G93" s="110"/>
      <c r="H93" s="110"/>
      <c r="I93" s="110"/>
      <c r="J93" s="110"/>
      <c r="K93" s="110"/>
      <c r="L93" s="110"/>
      <c r="M93" s="110"/>
      <c r="N93" s="110"/>
      <c r="O93" s="110"/>
      <c r="P93" s="110"/>
      <c r="Q93" s="110"/>
      <c r="R93" s="110"/>
      <c r="S93" s="110"/>
      <c r="T93" s="110"/>
      <c r="U93" s="263"/>
      <c r="V93" s="108">
        <f t="shared" si="4"/>
        <v>0</v>
      </c>
      <c r="W93" s="108">
        <f>AN_TME_BY[[#This Row],[TOTAL Non-Truncated Unadjusted Claims Expenses]]-AN_TME_BY[[#This Row],[Total Claims Excluded because of Truncation]]</f>
        <v>0</v>
      </c>
      <c r="X93" s="108">
        <f t="shared" si="5"/>
        <v>0</v>
      </c>
      <c r="Y93" s="108">
        <f>AN_TME_BY[[#This Row],[TOTAL Non-Truncated Unadjusted Claims Expenses]]+AN_TME_BY[[#This Row],[TOTAL Non-Claims Expenses]]</f>
        <v>0</v>
      </c>
      <c r="Z93" s="108">
        <f>AN_TME_BY[[#This Row],[TOTAL Truncated Unadjusted Claims Expenses (A21 -A19)]]+AN_TME_BY[[#This Row],[TOTAL Non-Claims Expenses]]</f>
        <v>0</v>
      </c>
      <c r="AA93" s="235">
        <f>IFERROR(AN_TME_BY[[#This Row],[TOTAL Non-Truncated Unadjusted Expenses (A21 + A23)]]/AN_TME_BY[[#This Row],[Member Months]],0)</f>
        <v>0</v>
      </c>
      <c r="AB93" s="271">
        <f>IFERROR(AN_TME_BY[[#This Row],[TOTAL Truncated Unadjusted Expenses (A22 + A23)]]/AN_TME_BY[[#This Row],[Member Months]],0)</f>
        <v>0</v>
      </c>
      <c r="AC93" s="237">
        <f>IFERROR(AN_TME_BY[[#This Row],[Total Claims Excluded because of Truncation]]/AN_TME_BY[[#This Row],[Count of Members with Claims Truncated]], 0)</f>
        <v>0</v>
      </c>
      <c r="AD93" s="238">
        <f>IFERROR(AN_TME_BY[[#This Row],[Total Claims Excluded because of Truncation]]/AN_TME_BY[[#This Row],[TOTAL Non-Truncated Unadjusted Claims Expenses]], 0)</f>
        <v>0</v>
      </c>
    </row>
    <row r="94" spans="1:30" x14ac:dyDescent="0.25">
      <c r="A94" s="101"/>
      <c r="B94" s="104"/>
      <c r="C94" s="267"/>
      <c r="D94" s="294"/>
      <c r="E94" s="110"/>
      <c r="F94" s="110"/>
      <c r="G94" s="110"/>
      <c r="H94" s="110"/>
      <c r="I94" s="110"/>
      <c r="J94" s="110"/>
      <c r="K94" s="110"/>
      <c r="L94" s="110"/>
      <c r="M94" s="110"/>
      <c r="N94" s="110"/>
      <c r="O94" s="110"/>
      <c r="P94" s="110"/>
      <c r="Q94" s="110"/>
      <c r="R94" s="110"/>
      <c r="S94" s="110"/>
      <c r="T94" s="110"/>
      <c r="U94" s="263"/>
      <c r="V94" s="108">
        <f t="shared" si="4"/>
        <v>0</v>
      </c>
      <c r="W94" s="108">
        <f>AN_TME_BY[[#This Row],[TOTAL Non-Truncated Unadjusted Claims Expenses]]-AN_TME_BY[[#This Row],[Total Claims Excluded because of Truncation]]</f>
        <v>0</v>
      </c>
      <c r="X94" s="108">
        <f t="shared" si="5"/>
        <v>0</v>
      </c>
      <c r="Y94" s="108">
        <f>AN_TME_BY[[#This Row],[TOTAL Non-Truncated Unadjusted Claims Expenses]]+AN_TME_BY[[#This Row],[TOTAL Non-Claims Expenses]]</f>
        <v>0</v>
      </c>
      <c r="Z94" s="108">
        <f>AN_TME_BY[[#This Row],[TOTAL Truncated Unadjusted Claims Expenses (A21 -A19)]]+AN_TME_BY[[#This Row],[TOTAL Non-Claims Expenses]]</f>
        <v>0</v>
      </c>
      <c r="AA94" s="235">
        <f>IFERROR(AN_TME_BY[[#This Row],[TOTAL Non-Truncated Unadjusted Expenses (A21 + A23)]]/AN_TME_BY[[#This Row],[Member Months]],0)</f>
        <v>0</v>
      </c>
      <c r="AB94" s="271">
        <f>IFERROR(AN_TME_BY[[#This Row],[TOTAL Truncated Unadjusted Expenses (A22 + A23)]]/AN_TME_BY[[#This Row],[Member Months]],0)</f>
        <v>0</v>
      </c>
      <c r="AC94" s="237">
        <f>IFERROR(AN_TME_BY[[#This Row],[Total Claims Excluded because of Truncation]]/AN_TME_BY[[#This Row],[Count of Members with Claims Truncated]], 0)</f>
        <v>0</v>
      </c>
      <c r="AD94" s="238">
        <f>IFERROR(AN_TME_BY[[#This Row],[Total Claims Excluded because of Truncation]]/AN_TME_BY[[#This Row],[TOTAL Non-Truncated Unadjusted Claims Expenses]], 0)</f>
        <v>0</v>
      </c>
    </row>
    <row r="95" spans="1:30" x14ac:dyDescent="0.25">
      <c r="A95" s="101"/>
      <c r="B95" s="104"/>
      <c r="C95" s="270"/>
      <c r="D95" s="294"/>
      <c r="E95" s="110"/>
      <c r="F95" s="110"/>
      <c r="G95" s="110"/>
      <c r="H95" s="110"/>
      <c r="I95" s="110"/>
      <c r="J95" s="110"/>
      <c r="K95" s="110"/>
      <c r="L95" s="110"/>
      <c r="M95" s="110"/>
      <c r="N95" s="110"/>
      <c r="O95" s="110"/>
      <c r="P95" s="110"/>
      <c r="Q95" s="110"/>
      <c r="R95" s="110"/>
      <c r="S95" s="110"/>
      <c r="T95" s="110"/>
      <c r="U95" s="263"/>
      <c r="V95" s="108">
        <f t="shared" si="4"/>
        <v>0</v>
      </c>
      <c r="W95" s="108">
        <f>AN_TME_BY[[#This Row],[TOTAL Non-Truncated Unadjusted Claims Expenses]]-AN_TME_BY[[#This Row],[Total Claims Excluded because of Truncation]]</f>
        <v>0</v>
      </c>
      <c r="X95" s="108">
        <f t="shared" si="5"/>
        <v>0</v>
      </c>
      <c r="Y95" s="108">
        <f>AN_TME_BY[[#This Row],[TOTAL Non-Truncated Unadjusted Claims Expenses]]+AN_TME_BY[[#This Row],[TOTAL Non-Claims Expenses]]</f>
        <v>0</v>
      </c>
      <c r="Z95" s="108">
        <f>AN_TME_BY[[#This Row],[TOTAL Truncated Unadjusted Claims Expenses (A21 -A19)]]+AN_TME_BY[[#This Row],[TOTAL Non-Claims Expenses]]</f>
        <v>0</v>
      </c>
      <c r="AA95" s="235">
        <f>IFERROR(AN_TME_BY[[#This Row],[TOTAL Non-Truncated Unadjusted Expenses (A21 + A23)]]/AN_TME_BY[[#This Row],[Member Months]],0)</f>
        <v>0</v>
      </c>
      <c r="AB95" s="271">
        <f>IFERROR(AN_TME_BY[[#This Row],[TOTAL Truncated Unadjusted Expenses (A22 + A23)]]/AN_TME_BY[[#This Row],[Member Months]],0)</f>
        <v>0</v>
      </c>
      <c r="AC95" s="237">
        <f>IFERROR(AN_TME_BY[[#This Row],[Total Claims Excluded because of Truncation]]/AN_TME_BY[[#This Row],[Count of Members with Claims Truncated]], 0)</f>
        <v>0</v>
      </c>
      <c r="AD95" s="238">
        <f>IFERROR(AN_TME_BY[[#This Row],[Total Claims Excluded because of Truncation]]/AN_TME_BY[[#This Row],[TOTAL Non-Truncated Unadjusted Claims Expenses]], 0)</f>
        <v>0</v>
      </c>
    </row>
    <row r="96" spans="1:30" x14ac:dyDescent="0.25">
      <c r="A96" s="101"/>
      <c r="B96" s="104"/>
      <c r="C96" s="267"/>
      <c r="D96" s="294"/>
      <c r="E96" s="110"/>
      <c r="F96" s="110"/>
      <c r="G96" s="110"/>
      <c r="H96" s="110"/>
      <c r="I96" s="110"/>
      <c r="J96" s="110"/>
      <c r="K96" s="110"/>
      <c r="L96" s="110"/>
      <c r="M96" s="110"/>
      <c r="N96" s="110"/>
      <c r="O96" s="110"/>
      <c r="P96" s="110"/>
      <c r="Q96" s="110"/>
      <c r="R96" s="110"/>
      <c r="S96" s="110"/>
      <c r="T96" s="110"/>
      <c r="U96" s="263"/>
      <c r="V96" s="108">
        <f t="shared" si="4"/>
        <v>0</v>
      </c>
      <c r="W96" s="108">
        <f>AN_TME_BY[[#This Row],[TOTAL Non-Truncated Unadjusted Claims Expenses]]-AN_TME_BY[[#This Row],[Total Claims Excluded because of Truncation]]</f>
        <v>0</v>
      </c>
      <c r="X96" s="108">
        <f t="shared" si="5"/>
        <v>0</v>
      </c>
      <c r="Y96" s="108">
        <f>AN_TME_BY[[#This Row],[TOTAL Non-Truncated Unadjusted Claims Expenses]]+AN_TME_BY[[#This Row],[TOTAL Non-Claims Expenses]]</f>
        <v>0</v>
      </c>
      <c r="Z96" s="108">
        <f>AN_TME_BY[[#This Row],[TOTAL Truncated Unadjusted Claims Expenses (A21 -A19)]]+AN_TME_BY[[#This Row],[TOTAL Non-Claims Expenses]]</f>
        <v>0</v>
      </c>
      <c r="AA96" s="235">
        <f>IFERROR(AN_TME_BY[[#This Row],[TOTAL Non-Truncated Unadjusted Expenses (A21 + A23)]]/AN_TME_BY[[#This Row],[Member Months]],0)</f>
        <v>0</v>
      </c>
      <c r="AB96" s="271">
        <f>IFERROR(AN_TME_BY[[#This Row],[TOTAL Truncated Unadjusted Expenses (A22 + A23)]]/AN_TME_BY[[#This Row],[Member Months]],0)</f>
        <v>0</v>
      </c>
      <c r="AC96" s="237">
        <f>IFERROR(AN_TME_BY[[#This Row],[Total Claims Excluded because of Truncation]]/AN_TME_BY[[#This Row],[Count of Members with Claims Truncated]], 0)</f>
        <v>0</v>
      </c>
      <c r="AD96" s="238">
        <f>IFERROR(AN_TME_BY[[#This Row],[Total Claims Excluded because of Truncation]]/AN_TME_BY[[#This Row],[TOTAL Non-Truncated Unadjusted Claims Expenses]], 0)</f>
        <v>0</v>
      </c>
    </row>
    <row r="97" spans="1:30" x14ac:dyDescent="0.25">
      <c r="A97" s="101"/>
      <c r="B97" s="104"/>
      <c r="C97" s="270"/>
      <c r="D97" s="294"/>
      <c r="E97" s="110"/>
      <c r="F97" s="110"/>
      <c r="G97" s="110"/>
      <c r="H97" s="110"/>
      <c r="I97" s="110"/>
      <c r="J97" s="110"/>
      <c r="K97" s="110"/>
      <c r="L97" s="110"/>
      <c r="M97" s="110"/>
      <c r="N97" s="110"/>
      <c r="O97" s="110"/>
      <c r="P97" s="110"/>
      <c r="Q97" s="110"/>
      <c r="R97" s="110"/>
      <c r="S97" s="110"/>
      <c r="T97" s="110"/>
      <c r="U97" s="263"/>
      <c r="V97" s="108">
        <f t="shared" si="4"/>
        <v>0</v>
      </c>
      <c r="W97" s="108">
        <f>AN_TME_BY[[#This Row],[TOTAL Non-Truncated Unadjusted Claims Expenses]]-AN_TME_BY[[#This Row],[Total Claims Excluded because of Truncation]]</f>
        <v>0</v>
      </c>
      <c r="X97" s="108">
        <f t="shared" si="5"/>
        <v>0</v>
      </c>
      <c r="Y97" s="108">
        <f>AN_TME_BY[[#This Row],[TOTAL Non-Truncated Unadjusted Claims Expenses]]+AN_TME_BY[[#This Row],[TOTAL Non-Claims Expenses]]</f>
        <v>0</v>
      </c>
      <c r="Z97" s="108">
        <f>AN_TME_BY[[#This Row],[TOTAL Truncated Unadjusted Claims Expenses (A21 -A19)]]+AN_TME_BY[[#This Row],[TOTAL Non-Claims Expenses]]</f>
        <v>0</v>
      </c>
      <c r="AA97" s="235">
        <f>IFERROR(AN_TME_BY[[#This Row],[TOTAL Non-Truncated Unadjusted Expenses (A21 + A23)]]/AN_TME_BY[[#This Row],[Member Months]],0)</f>
        <v>0</v>
      </c>
      <c r="AB97" s="271">
        <f>IFERROR(AN_TME_BY[[#This Row],[TOTAL Truncated Unadjusted Expenses (A22 + A23)]]/AN_TME_BY[[#This Row],[Member Months]],0)</f>
        <v>0</v>
      </c>
      <c r="AC97" s="237">
        <f>IFERROR(AN_TME_BY[[#This Row],[Total Claims Excluded because of Truncation]]/AN_TME_BY[[#This Row],[Count of Members with Claims Truncated]], 0)</f>
        <v>0</v>
      </c>
      <c r="AD97" s="238">
        <f>IFERROR(AN_TME_BY[[#This Row],[Total Claims Excluded because of Truncation]]/AN_TME_BY[[#This Row],[TOTAL Non-Truncated Unadjusted Claims Expenses]], 0)</f>
        <v>0</v>
      </c>
    </row>
    <row r="98" spans="1:30" x14ac:dyDescent="0.25">
      <c r="A98" s="101"/>
      <c r="B98" s="104"/>
      <c r="C98" s="267"/>
      <c r="D98" s="294"/>
      <c r="E98" s="110"/>
      <c r="F98" s="110"/>
      <c r="G98" s="110"/>
      <c r="H98" s="110"/>
      <c r="I98" s="110"/>
      <c r="J98" s="110"/>
      <c r="K98" s="110"/>
      <c r="L98" s="110"/>
      <c r="M98" s="110"/>
      <c r="N98" s="110"/>
      <c r="O98" s="110"/>
      <c r="P98" s="110"/>
      <c r="Q98" s="110"/>
      <c r="R98" s="110"/>
      <c r="S98" s="110"/>
      <c r="T98" s="110"/>
      <c r="U98" s="263"/>
      <c r="V98" s="108">
        <f t="shared" si="4"/>
        <v>0</v>
      </c>
      <c r="W98" s="108">
        <f>AN_TME_BY[[#This Row],[TOTAL Non-Truncated Unadjusted Claims Expenses]]-AN_TME_BY[[#This Row],[Total Claims Excluded because of Truncation]]</f>
        <v>0</v>
      </c>
      <c r="X98" s="108">
        <f t="shared" si="5"/>
        <v>0</v>
      </c>
      <c r="Y98" s="108">
        <f>AN_TME_BY[[#This Row],[TOTAL Non-Truncated Unadjusted Claims Expenses]]+AN_TME_BY[[#This Row],[TOTAL Non-Claims Expenses]]</f>
        <v>0</v>
      </c>
      <c r="Z98" s="108">
        <f>AN_TME_BY[[#This Row],[TOTAL Truncated Unadjusted Claims Expenses (A21 -A19)]]+AN_TME_BY[[#This Row],[TOTAL Non-Claims Expenses]]</f>
        <v>0</v>
      </c>
      <c r="AA98" s="235">
        <f>IFERROR(AN_TME_BY[[#This Row],[TOTAL Non-Truncated Unadjusted Expenses (A21 + A23)]]/AN_TME_BY[[#This Row],[Member Months]],0)</f>
        <v>0</v>
      </c>
      <c r="AB98" s="271">
        <f>IFERROR(AN_TME_BY[[#This Row],[TOTAL Truncated Unadjusted Expenses (A22 + A23)]]/AN_TME_BY[[#This Row],[Member Months]],0)</f>
        <v>0</v>
      </c>
      <c r="AC98" s="237">
        <f>IFERROR(AN_TME_BY[[#This Row],[Total Claims Excluded because of Truncation]]/AN_TME_BY[[#This Row],[Count of Members with Claims Truncated]], 0)</f>
        <v>0</v>
      </c>
      <c r="AD98" s="238">
        <f>IFERROR(AN_TME_BY[[#This Row],[Total Claims Excluded because of Truncation]]/AN_TME_BY[[#This Row],[TOTAL Non-Truncated Unadjusted Claims Expenses]], 0)</f>
        <v>0</v>
      </c>
    </row>
    <row r="99" spans="1:30" x14ac:dyDescent="0.25">
      <c r="A99" s="101"/>
      <c r="B99" s="104"/>
      <c r="C99" s="270"/>
      <c r="D99" s="294"/>
      <c r="E99" s="110"/>
      <c r="F99" s="110"/>
      <c r="G99" s="110"/>
      <c r="H99" s="110"/>
      <c r="I99" s="110"/>
      <c r="J99" s="110"/>
      <c r="K99" s="110"/>
      <c r="L99" s="110"/>
      <c r="M99" s="110"/>
      <c r="N99" s="110"/>
      <c r="O99" s="110"/>
      <c r="P99" s="110"/>
      <c r="Q99" s="110"/>
      <c r="R99" s="110"/>
      <c r="S99" s="110"/>
      <c r="T99" s="110"/>
      <c r="U99" s="263"/>
      <c r="V99" s="108">
        <f t="shared" si="4"/>
        <v>0</v>
      </c>
      <c r="W99" s="108">
        <f>AN_TME_BY[[#This Row],[TOTAL Non-Truncated Unadjusted Claims Expenses]]-AN_TME_BY[[#This Row],[Total Claims Excluded because of Truncation]]</f>
        <v>0</v>
      </c>
      <c r="X99" s="108">
        <f t="shared" si="5"/>
        <v>0</v>
      </c>
      <c r="Y99" s="108">
        <f>AN_TME_BY[[#This Row],[TOTAL Non-Truncated Unadjusted Claims Expenses]]+AN_TME_BY[[#This Row],[TOTAL Non-Claims Expenses]]</f>
        <v>0</v>
      </c>
      <c r="Z99" s="108">
        <f>AN_TME_BY[[#This Row],[TOTAL Truncated Unadjusted Claims Expenses (A21 -A19)]]+AN_TME_BY[[#This Row],[TOTAL Non-Claims Expenses]]</f>
        <v>0</v>
      </c>
      <c r="AA99" s="235">
        <f>IFERROR(AN_TME_BY[[#This Row],[TOTAL Non-Truncated Unadjusted Expenses (A21 + A23)]]/AN_TME_BY[[#This Row],[Member Months]],0)</f>
        <v>0</v>
      </c>
      <c r="AB99" s="271">
        <f>IFERROR(AN_TME_BY[[#This Row],[TOTAL Truncated Unadjusted Expenses (A22 + A23)]]/AN_TME_BY[[#This Row],[Member Months]],0)</f>
        <v>0</v>
      </c>
      <c r="AC99" s="237">
        <f>IFERROR(AN_TME_BY[[#This Row],[Total Claims Excluded because of Truncation]]/AN_TME_BY[[#This Row],[Count of Members with Claims Truncated]], 0)</f>
        <v>0</v>
      </c>
      <c r="AD99" s="238">
        <f>IFERROR(AN_TME_BY[[#This Row],[Total Claims Excluded because of Truncation]]/AN_TME_BY[[#This Row],[TOTAL Non-Truncated Unadjusted Claims Expenses]], 0)</f>
        <v>0</v>
      </c>
    </row>
    <row r="100" spans="1:30" x14ac:dyDescent="0.25">
      <c r="A100" s="101"/>
      <c r="B100" s="104"/>
      <c r="C100" s="267"/>
      <c r="D100" s="294"/>
      <c r="E100" s="110"/>
      <c r="F100" s="110"/>
      <c r="G100" s="110"/>
      <c r="H100" s="110"/>
      <c r="I100" s="110"/>
      <c r="J100" s="110"/>
      <c r="K100" s="110"/>
      <c r="L100" s="110"/>
      <c r="M100" s="110"/>
      <c r="N100" s="110"/>
      <c r="O100" s="110"/>
      <c r="P100" s="110"/>
      <c r="Q100" s="110"/>
      <c r="R100" s="110"/>
      <c r="S100" s="110"/>
      <c r="T100" s="110"/>
      <c r="U100" s="263"/>
      <c r="V100" s="108">
        <f t="shared" si="4"/>
        <v>0</v>
      </c>
      <c r="W100" s="108">
        <f>AN_TME_BY[[#This Row],[TOTAL Non-Truncated Unadjusted Claims Expenses]]-AN_TME_BY[[#This Row],[Total Claims Excluded because of Truncation]]</f>
        <v>0</v>
      </c>
      <c r="X100" s="108">
        <f t="shared" si="5"/>
        <v>0</v>
      </c>
      <c r="Y100" s="108">
        <f>AN_TME_BY[[#This Row],[TOTAL Non-Truncated Unadjusted Claims Expenses]]+AN_TME_BY[[#This Row],[TOTAL Non-Claims Expenses]]</f>
        <v>0</v>
      </c>
      <c r="Z100" s="108">
        <f>AN_TME_BY[[#This Row],[TOTAL Truncated Unadjusted Claims Expenses (A21 -A19)]]+AN_TME_BY[[#This Row],[TOTAL Non-Claims Expenses]]</f>
        <v>0</v>
      </c>
      <c r="AA100" s="235">
        <f>IFERROR(AN_TME_BY[[#This Row],[TOTAL Non-Truncated Unadjusted Expenses (A21 + A23)]]/AN_TME_BY[[#This Row],[Member Months]],0)</f>
        <v>0</v>
      </c>
      <c r="AB100" s="271">
        <f>IFERROR(AN_TME_BY[[#This Row],[TOTAL Truncated Unadjusted Expenses (A22 + A23)]]/AN_TME_BY[[#This Row],[Member Months]],0)</f>
        <v>0</v>
      </c>
      <c r="AC100" s="237">
        <f>IFERROR(AN_TME_BY[[#This Row],[Total Claims Excluded because of Truncation]]/AN_TME_BY[[#This Row],[Count of Members with Claims Truncated]], 0)</f>
        <v>0</v>
      </c>
      <c r="AD100" s="238">
        <f>IFERROR(AN_TME_BY[[#This Row],[Total Claims Excluded because of Truncation]]/AN_TME_BY[[#This Row],[TOTAL Non-Truncated Unadjusted Claims Expenses]], 0)</f>
        <v>0</v>
      </c>
    </row>
    <row r="101" spans="1:30" x14ac:dyDescent="0.25">
      <c r="A101" s="101"/>
      <c r="B101" s="104"/>
      <c r="C101" s="270"/>
      <c r="D101" s="294"/>
      <c r="E101" s="110"/>
      <c r="F101" s="110"/>
      <c r="G101" s="110"/>
      <c r="H101" s="110"/>
      <c r="I101" s="110"/>
      <c r="J101" s="110"/>
      <c r="K101" s="110"/>
      <c r="L101" s="110"/>
      <c r="M101" s="110"/>
      <c r="N101" s="110"/>
      <c r="O101" s="110"/>
      <c r="P101" s="110"/>
      <c r="Q101" s="110"/>
      <c r="R101" s="110"/>
      <c r="S101" s="110"/>
      <c r="T101" s="110"/>
      <c r="U101" s="263"/>
      <c r="V101" s="108">
        <f t="shared" si="4"/>
        <v>0</v>
      </c>
      <c r="W101" s="108">
        <f>AN_TME_BY[[#This Row],[TOTAL Non-Truncated Unadjusted Claims Expenses]]-AN_TME_BY[[#This Row],[Total Claims Excluded because of Truncation]]</f>
        <v>0</v>
      </c>
      <c r="X101" s="108">
        <f t="shared" si="5"/>
        <v>0</v>
      </c>
      <c r="Y101" s="108">
        <f>AN_TME_BY[[#This Row],[TOTAL Non-Truncated Unadjusted Claims Expenses]]+AN_TME_BY[[#This Row],[TOTAL Non-Claims Expenses]]</f>
        <v>0</v>
      </c>
      <c r="Z101" s="108">
        <f>AN_TME_BY[[#This Row],[TOTAL Truncated Unadjusted Claims Expenses (A21 -A19)]]+AN_TME_BY[[#This Row],[TOTAL Non-Claims Expenses]]</f>
        <v>0</v>
      </c>
      <c r="AA101" s="235">
        <f>IFERROR(AN_TME_BY[[#This Row],[TOTAL Non-Truncated Unadjusted Expenses (A21 + A23)]]/AN_TME_BY[[#This Row],[Member Months]],0)</f>
        <v>0</v>
      </c>
      <c r="AB101" s="271">
        <f>IFERROR(AN_TME_BY[[#This Row],[TOTAL Truncated Unadjusted Expenses (A22 + A23)]]/AN_TME_BY[[#This Row],[Member Months]],0)</f>
        <v>0</v>
      </c>
      <c r="AC101" s="237">
        <f>IFERROR(AN_TME_BY[[#This Row],[Total Claims Excluded because of Truncation]]/AN_TME_BY[[#This Row],[Count of Members with Claims Truncated]], 0)</f>
        <v>0</v>
      </c>
      <c r="AD101" s="238">
        <f>IFERROR(AN_TME_BY[[#This Row],[Total Claims Excluded because of Truncation]]/AN_TME_BY[[#This Row],[TOTAL Non-Truncated Unadjusted Claims Expenses]], 0)</f>
        <v>0</v>
      </c>
    </row>
    <row r="102" spans="1:30" x14ac:dyDescent="0.25">
      <c r="A102" s="101"/>
      <c r="B102" s="104"/>
      <c r="C102" s="267"/>
      <c r="D102" s="294"/>
      <c r="E102" s="110"/>
      <c r="F102" s="110"/>
      <c r="G102" s="110"/>
      <c r="H102" s="110"/>
      <c r="I102" s="110"/>
      <c r="J102" s="110"/>
      <c r="K102" s="110"/>
      <c r="L102" s="110"/>
      <c r="M102" s="110"/>
      <c r="N102" s="110"/>
      <c r="O102" s="110"/>
      <c r="P102" s="110"/>
      <c r="Q102" s="110"/>
      <c r="R102" s="110"/>
      <c r="S102" s="110"/>
      <c r="T102" s="110"/>
      <c r="U102" s="263"/>
      <c r="V102" s="108">
        <f t="shared" si="4"/>
        <v>0</v>
      </c>
      <c r="W102" s="108">
        <f>AN_TME_BY[[#This Row],[TOTAL Non-Truncated Unadjusted Claims Expenses]]-AN_TME_BY[[#This Row],[Total Claims Excluded because of Truncation]]</f>
        <v>0</v>
      </c>
      <c r="X102" s="108">
        <f t="shared" si="5"/>
        <v>0</v>
      </c>
      <c r="Y102" s="108">
        <f>AN_TME_BY[[#This Row],[TOTAL Non-Truncated Unadjusted Claims Expenses]]+AN_TME_BY[[#This Row],[TOTAL Non-Claims Expenses]]</f>
        <v>0</v>
      </c>
      <c r="Z102" s="108">
        <f>AN_TME_BY[[#This Row],[TOTAL Truncated Unadjusted Claims Expenses (A21 -A19)]]+AN_TME_BY[[#This Row],[TOTAL Non-Claims Expenses]]</f>
        <v>0</v>
      </c>
      <c r="AA102" s="235">
        <f>IFERROR(AN_TME_BY[[#This Row],[TOTAL Non-Truncated Unadjusted Expenses (A21 + A23)]]/AN_TME_BY[[#This Row],[Member Months]],0)</f>
        <v>0</v>
      </c>
      <c r="AB102" s="271">
        <f>IFERROR(AN_TME_BY[[#This Row],[TOTAL Truncated Unadjusted Expenses (A22 + A23)]]/AN_TME_BY[[#This Row],[Member Months]],0)</f>
        <v>0</v>
      </c>
      <c r="AC102" s="237">
        <f>IFERROR(AN_TME_BY[[#This Row],[Total Claims Excluded because of Truncation]]/AN_TME_BY[[#This Row],[Count of Members with Claims Truncated]], 0)</f>
        <v>0</v>
      </c>
      <c r="AD102" s="238">
        <f>IFERROR(AN_TME_BY[[#This Row],[Total Claims Excluded because of Truncation]]/AN_TME_BY[[#This Row],[TOTAL Non-Truncated Unadjusted Claims Expenses]], 0)</f>
        <v>0</v>
      </c>
    </row>
    <row r="103" spans="1:30" x14ac:dyDescent="0.25">
      <c r="A103" s="101"/>
      <c r="B103" s="104"/>
      <c r="C103" s="270"/>
      <c r="D103" s="294"/>
      <c r="E103" s="110"/>
      <c r="F103" s="110"/>
      <c r="G103" s="110"/>
      <c r="H103" s="110"/>
      <c r="I103" s="110"/>
      <c r="J103" s="110"/>
      <c r="K103" s="110"/>
      <c r="L103" s="110"/>
      <c r="M103" s="110"/>
      <c r="N103" s="110"/>
      <c r="O103" s="110"/>
      <c r="P103" s="110"/>
      <c r="Q103" s="110"/>
      <c r="R103" s="110"/>
      <c r="S103" s="110"/>
      <c r="T103" s="110"/>
      <c r="U103" s="263"/>
      <c r="V103" s="108">
        <f t="shared" si="4"/>
        <v>0</v>
      </c>
      <c r="W103" s="108">
        <f>AN_TME_BY[[#This Row],[TOTAL Non-Truncated Unadjusted Claims Expenses]]-AN_TME_BY[[#This Row],[Total Claims Excluded because of Truncation]]</f>
        <v>0</v>
      </c>
      <c r="X103" s="108">
        <f t="shared" si="5"/>
        <v>0</v>
      </c>
      <c r="Y103" s="108">
        <f>AN_TME_BY[[#This Row],[TOTAL Non-Truncated Unadjusted Claims Expenses]]+AN_TME_BY[[#This Row],[TOTAL Non-Claims Expenses]]</f>
        <v>0</v>
      </c>
      <c r="Z103" s="108">
        <f>AN_TME_BY[[#This Row],[TOTAL Truncated Unadjusted Claims Expenses (A21 -A19)]]+AN_TME_BY[[#This Row],[TOTAL Non-Claims Expenses]]</f>
        <v>0</v>
      </c>
      <c r="AA103" s="235">
        <f>IFERROR(AN_TME_BY[[#This Row],[TOTAL Non-Truncated Unadjusted Expenses (A21 + A23)]]/AN_TME_BY[[#This Row],[Member Months]],0)</f>
        <v>0</v>
      </c>
      <c r="AB103" s="271">
        <f>IFERROR(AN_TME_BY[[#This Row],[TOTAL Truncated Unadjusted Expenses (A22 + A23)]]/AN_TME_BY[[#This Row],[Member Months]],0)</f>
        <v>0</v>
      </c>
      <c r="AC103" s="237">
        <f>IFERROR(AN_TME_BY[[#This Row],[Total Claims Excluded because of Truncation]]/AN_TME_BY[[#This Row],[Count of Members with Claims Truncated]], 0)</f>
        <v>0</v>
      </c>
      <c r="AD103" s="238">
        <f>IFERROR(AN_TME_BY[[#This Row],[Total Claims Excluded because of Truncation]]/AN_TME_BY[[#This Row],[TOTAL Non-Truncated Unadjusted Claims Expenses]], 0)</f>
        <v>0</v>
      </c>
    </row>
    <row r="104" spans="1:30" x14ac:dyDescent="0.25">
      <c r="A104" s="101"/>
      <c r="B104" s="104"/>
      <c r="C104" s="267"/>
      <c r="D104" s="294"/>
      <c r="E104" s="110"/>
      <c r="F104" s="110"/>
      <c r="G104" s="110"/>
      <c r="H104" s="110"/>
      <c r="I104" s="110"/>
      <c r="J104" s="110"/>
      <c r="K104" s="110"/>
      <c r="L104" s="110"/>
      <c r="M104" s="110"/>
      <c r="N104" s="110"/>
      <c r="O104" s="110"/>
      <c r="P104" s="110"/>
      <c r="Q104" s="110"/>
      <c r="R104" s="110"/>
      <c r="S104" s="110"/>
      <c r="T104" s="110"/>
      <c r="U104" s="263"/>
      <c r="V104" s="108">
        <f t="shared" si="4"/>
        <v>0</v>
      </c>
      <c r="W104" s="108">
        <f>AN_TME_BY[[#This Row],[TOTAL Non-Truncated Unadjusted Claims Expenses]]-AN_TME_BY[[#This Row],[Total Claims Excluded because of Truncation]]</f>
        <v>0</v>
      </c>
      <c r="X104" s="108">
        <f t="shared" si="5"/>
        <v>0</v>
      </c>
      <c r="Y104" s="108">
        <f>AN_TME_BY[[#This Row],[TOTAL Non-Truncated Unadjusted Claims Expenses]]+AN_TME_BY[[#This Row],[TOTAL Non-Claims Expenses]]</f>
        <v>0</v>
      </c>
      <c r="Z104" s="108">
        <f>AN_TME_BY[[#This Row],[TOTAL Truncated Unadjusted Claims Expenses (A21 -A19)]]+AN_TME_BY[[#This Row],[TOTAL Non-Claims Expenses]]</f>
        <v>0</v>
      </c>
      <c r="AA104" s="235">
        <f>IFERROR(AN_TME_BY[[#This Row],[TOTAL Non-Truncated Unadjusted Expenses (A21 + A23)]]/AN_TME_BY[[#This Row],[Member Months]],0)</f>
        <v>0</v>
      </c>
      <c r="AB104" s="271">
        <f>IFERROR(AN_TME_BY[[#This Row],[TOTAL Truncated Unadjusted Expenses (A22 + A23)]]/AN_TME_BY[[#This Row],[Member Months]],0)</f>
        <v>0</v>
      </c>
      <c r="AC104" s="237">
        <f>IFERROR(AN_TME_BY[[#This Row],[Total Claims Excluded because of Truncation]]/AN_TME_BY[[#This Row],[Count of Members with Claims Truncated]], 0)</f>
        <v>0</v>
      </c>
      <c r="AD104" s="238">
        <f>IFERROR(AN_TME_BY[[#This Row],[Total Claims Excluded because of Truncation]]/AN_TME_BY[[#This Row],[TOTAL Non-Truncated Unadjusted Claims Expenses]], 0)</f>
        <v>0</v>
      </c>
    </row>
    <row r="105" spans="1:30" x14ac:dyDescent="0.25">
      <c r="A105" s="101"/>
      <c r="B105" s="104"/>
      <c r="C105" s="270"/>
      <c r="D105" s="294"/>
      <c r="E105" s="110"/>
      <c r="F105" s="110"/>
      <c r="G105" s="110"/>
      <c r="H105" s="110"/>
      <c r="I105" s="110"/>
      <c r="J105" s="110"/>
      <c r="K105" s="110"/>
      <c r="L105" s="110"/>
      <c r="M105" s="110"/>
      <c r="N105" s="110"/>
      <c r="O105" s="110"/>
      <c r="P105" s="110"/>
      <c r="Q105" s="110"/>
      <c r="R105" s="110"/>
      <c r="S105" s="110"/>
      <c r="T105" s="110"/>
      <c r="U105" s="263"/>
      <c r="V105" s="108">
        <f t="shared" si="4"/>
        <v>0</v>
      </c>
      <c r="W105" s="108">
        <f>AN_TME_BY[[#This Row],[TOTAL Non-Truncated Unadjusted Claims Expenses]]-AN_TME_BY[[#This Row],[Total Claims Excluded because of Truncation]]</f>
        <v>0</v>
      </c>
      <c r="X105" s="108">
        <f t="shared" si="5"/>
        <v>0</v>
      </c>
      <c r="Y105" s="108">
        <f>AN_TME_BY[[#This Row],[TOTAL Non-Truncated Unadjusted Claims Expenses]]+AN_TME_BY[[#This Row],[TOTAL Non-Claims Expenses]]</f>
        <v>0</v>
      </c>
      <c r="Z105" s="108">
        <f>AN_TME_BY[[#This Row],[TOTAL Truncated Unadjusted Claims Expenses (A21 -A19)]]+AN_TME_BY[[#This Row],[TOTAL Non-Claims Expenses]]</f>
        <v>0</v>
      </c>
      <c r="AA105" s="235">
        <f>IFERROR(AN_TME_BY[[#This Row],[TOTAL Non-Truncated Unadjusted Expenses (A21 + A23)]]/AN_TME_BY[[#This Row],[Member Months]],0)</f>
        <v>0</v>
      </c>
      <c r="AB105" s="271">
        <f>IFERROR(AN_TME_BY[[#This Row],[TOTAL Truncated Unadjusted Expenses (A22 + A23)]]/AN_TME_BY[[#This Row],[Member Months]],0)</f>
        <v>0</v>
      </c>
      <c r="AC105" s="237">
        <f>IFERROR(AN_TME_BY[[#This Row],[Total Claims Excluded because of Truncation]]/AN_TME_BY[[#This Row],[Count of Members with Claims Truncated]], 0)</f>
        <v>0</v>
      </c>
      <c r="AD105" s="238">
        <f>IFERROR(AN_TME_BY[[#This Row],[Total Claims Excluded because of Truncation]]/AN_TME_BY[[#This Row],[TOTAL Non-Truncated Unadjusted Claims Expenses]], 0)</f>
        <v>0</v>
      </c>
    </row>
    <row r="106" spans="1:30" x14ac:dyDescent="0.25">
      <c r="A106" s="101"/>
      <c r="B106" s="104"/>
      <c r="C106" s="267"/>
      <c r="D106" s="294"/>
      <c r="E106" s="110"/>
      <c r="F106" s="110"/>
      <c r="G106" s="110"/>
      <c r="H106" s="110"/>
      <c r="I106" s="110"/>
      <c r="J106" s="110"/>
      <c r="K106" s="110"/>
      <c r="L106" s="110"/>
      <c r="M106" s="110"/>
      <c r="N106" s="110"/>
      <c r="O106" s="110"/>
      <c r="P106" s="110"/>
      <c r="Q106" s="110"/>
      <c r="R106" s="110"/>
      <c r="S106" s="110"/>
      <c r="T106" s="110"/>
      <c r="U106" s="263"/>
      <c r="V106" s="108">
        <f t="shared" si="4"/>
        <v>0</v>
      </c>
      <c r="W106" s="108">
        <f>AN_TME_BY[[#This Row],[TOTAL Non-Truncated Unadjusted Claims Expenses]]-AN_TME_BY[[#This Row],[Total Claims Excluded because of Truncation]]</f>
        <v>0</v>
      </c>
      <c r="X106" s="108">
        <f t="shared" si="5"/>
        <v>0</v>
      </c>
      <c r="Y106" s="108">
        <f>AN_TME_BY[[#This Row],[TOTAL Non-Truncated Unadjusted Claims Expenses]]+AN_TME_BY[[#This Row],[TOTAL Non-Claims Expenses]]</f>
        <v>0</v>
      </c>
      <c r="Z106" s="108">
        <f>AN_TME_BY[[#This Row],[TOTAL Truncated Unadjusted Claims Expenses (A21 -A19)]]+AN_TME_BY[[#This Row],[TOTAL Non-Claims Expenses]]</f>
        <v>0</v>
      </c>
      <c r="AA106" s="235">
        <f>IFERROR(AN_TME_BY[[#This Row],[TOTAL Non-Truncated Unadjusted Expenses (A21 + A23)]]/AN_TME_BY[[#This Row],[Member Months]],0)</f>
        <v>0</v>
      </c>
      <c r="AB106" s="271">
        <f>IFERROR(AN_TME_BY[[#This Row],[TOTAL Truncated Unadjusted Expenses (A22 + A23)]]/AN_TME_BY[[#This Row],[Member Months]],0)</f>
        <v>0</v>
      </c>
      <c r="AC106" s="237">
        <f>IFERROR(AN_TME_BY[[#This Row],[Total Claims Excluded because of Truncation]]/AN_TME_BY[[#This Row],[Count of Members with Claims Truncated]], 0)</f>
        <v>0</v>
      </c>
      <c r="AD106" s="238">
        <f>IFERROR(AN_TME_BY[[#This Row],[Total Claims Excluded because of Truncation]]/AN_TME_BY[[#This Row],[TOTAL Non-Truncated Unadjusted Claims Expenses]], 0)</f>
        <v>0</v>
      </c>
    </row>
    <row r="107" spans="1:30" x14ac:dyDescent="0.25">
      <c r="A107" s="101"/>
      <c r="B107" s="104"/>
      <c r="C107" s="270"/>
      <c r="D107" s="294"/>
      <c r="E107" s="110"/>
      <c r="F107" s="110"/>
      <c r="G107" s="110"/>
      <c r="H107" s="110"/>
      <c r="I107" s="110"/>
      <c r="J107" s="110"/>
      <c r="K107" s="110"/>
      <c r="L107" s="110"/>
      <c r="M107" s="110"/>
      <c r="N107" s="110"/>
      <c r="O107" s="110"/>
      <c r="P107" s="110"/>
      <c r="Q107" s="110"/>
      <c r="R107" s="110"/>
      <c r="S107" s="110"/>
      <c r="T107" s="110"/>
      <c r="U107" s="263"/>
      <c r="V107" s="108">
        <f t="shared" ref="V107:V138" si="6">SUM(E107:G107)+SUM(I107:M107)</f>
        <v>0</v>
      </c>
      <c r="W107" s="108">
        <f>AN_TME_BY[[#This Row],[TOTAL Non-Truncated Unadjusted Claims Expenses]]-AN_TME_BY[[#This Row],[Total Claims Excluded because of Truncation]]</f>
        <v>0</v>
      </c>
      <c r="X107" s="108">
        <f t="shared" ref="X107:X138" si="7">SUM(N107:R107)</f>
        <v>0</v>
      </c>
      <c r="Y107" s="108">
        <f>AN_TME_BY[[#This Row],[TOTAL Non-Truncated Unadjusted Claims Expenses]]+AN_TME_BY[[#This Row],[TOTAL Non-Claims Expenses]]</f>
        <v>0</v>
      </c>
      <c r="Z107" s="108">
        <f>AN_TME_BY[[#This Row],[TOTAL Truncated Unadjusted Claims Expenses (A21 -A19)]]+AN_TME_BY[[#This Row],[TOTAL Non-Claims Expenses]]</f>
        <v>0</v>
      </c>
      <c r="AA107" s="235">
        <f>IFERROR(AN_TME_BY[[#This Row],[TOTAL Non-Truncated Unadjusted Expenses (A21 + A23)]]/AN_TME_BY[[#This Row],[Member Months]],0)</f>
        <v>0</v>
      </c>
      <c r="AB107" s="271">
        <f>IFERROR(AN_TME_BY[[#This Row],[TOTAL Truncated Unadjusted Expenses (A22 + A23)]]/AN_TME_BY[[#This Row],[Member Months]],0)</f>
        <v>0</v>
      </c>
      <c r="AC107" s="237">
        <f>IFERROR(AN_TME_BY[[#This Row],[Total Claims Excluded because of Truncation]]/AN_TME_BY[[#This Row],[Count of Members with Claims Truncated]], 0)</f>
        <v>0</v>
      </c>
      <c r="AD107" s="238">
        <f>IFERROR(AN_TME_BY[[#This Row],[Total Claims Excluded because of Truncation]]/AN_TME_BY[[#This Row],[TOTAL Non-Truncated Unadjusted Claims Expenses]], 0)</f>
        <v>0</v>
      </c>
    </row>
    <row r="108" spans="1:30" x14ac:dyDescent="0.25">
      <c r="A108" s="101"/>
      <c r="B108" s="104"/>
      <c r="C108" s="267"/>
      <c r="D108" s="294"/>
      <c r="E108" s="110"/>
      <c r="F108" s="110"/>
      <c r="G108" s="110"/>
      <c r="H108" s="110"/>
      <c r="I108" s="110"/>
      <c r="J108" s="110"/>
      <c r="K108" s="110"/>
      <c r="L108" s="110"/>
      <c r="M108" s="110"/>
      <c r="N108" s="110"/>
      <c r="O108" s="110"/>
      <c r="P108" s="110"/>
      <c r="Q108" s="110"/>
      <c r="R108" s="110"/>
      <c r="S108" s="110"/>
      <c r="T108" s="110"/>
      <c r="U108" s="263"/>
      <c r="V108" s="108">
        <f t="shared" si="6"/>
        <v>0</v>
      </c>
      <c r="W108" s="108">
        <f>AN_TME_BY[[#This Row],[TOTAL Non-Truncated Unadjusted Claims Expenses]]-AN_TME_BY[[#This Row],[Total Claims Excluded because of Truncation]]</f>
        <v>0</v>
      </c>
      <c r="X108" s="108">
        <f t="shared" si="7"/>
        <v>0</v>
      </c>
      <c r="Y108" s="108">
        <f>AN_TME_BY[[#This Row],[TOTAL Non-Truncated Unadjusted Claims Expenses]]+AN_TME_BY[[#This Row],[TOTAL Non-Claims Expenses]]</f>
        <v>0</v>
      </c>
      <c r="Z108" s="108">
        <f>AN_TME_BY[[#This Row],[TOTAL Truncated Unadjusted Claims Expenses (A21 -A19)]]+AN_TME_BY[[#This Row],[TOTAL Non-Claims Expenses]]</f>
        <v>0</v>
      </c>
      <c r="AA108" s="235">
        <f>IFERROR(AN_TME_BY[[#This Row],[TOTAL Non-Truncated Unadjusted Expenses (A21 + A23)]]/AN_TME_BY[[#This Row],[Member Months]],0)</f>
        <v>0</v>
      </c>
      <c r="AB108" s="271">
        <f>IFERROR(AN_TME_BY[[#This Row],[TOTAL Truncated Unadjusted Expenses (A22 + A23)]]/AN_TME_BY[[#This Row],[Member Months]],0)</f>
        <v>0</v>
      </c>
      <c r="AC108" s="237">
        <f>IFERROR(AN_TME_BY[[#This Row],[Total Claims Excluded because of Truncation]]/AN_TME_BY[[#This Row],[Count of Members with Claims Truncated]], 0)</f>
        <v>0</v>
      </c>
      <c r="AD108" s="238">
        <f>IFERROR(AN_TME_BY[[#This Row],[Total Claims Excluded because of Truncation]]/AN_TME_BY[[#This Row],[TOTAL Non-Truncated Unadjusted Claims Expenses]], 0)</f>
        <v>0</v>
      </c>
    </row>
    <row r="109" spans="1:30" x14ac:dyDescent="0.25">
      <c r="A109" s="101"/>
      <c r="B109" s="104"/>
      <c r="C109" s="270"/>
      <c r="D109" s="294"/>
      <c r="E109" s="110"/>
      <c r="F109" s="110"/>
      <c r="G109" s="110"/>
      <c r="H109" s="110"/>
      <c r="I109" s="110"/>
      <c r="J109" s="110"/>
      <c r="K109" s="110"/>
      <c r="L109" s="110"/>
      <c r="M109" s="110"/>
      <c r="N109" s="110"/>
      <c r="O109" s="110"/>
      <c r="P109" s="110"/>
      <c r="Q109" s="110"/>
      <c r="R109" s="110"/>
      <c r="S109" s="110"/>
      <c r="T109" s="110"/>
      <c r="U109" s="263"/>
      <c r="V109" s="108">
        <f t="shared" si="6"/>
        <v>0</v>
      </c>
      <c r="W109" s="108">
        <f>AN_TME_BY[[#This Row],[TOTAL Non-Truncated Unadjusted Claims Expenses]]-AN_TME_BY[[#This Row],[Total Claims Excluded because of Truncation]]</f>
        <v>0</v>
      </c>
      <c r="X109" s="108">
        <f t="shared" si="7"/>
        <v>0</v>
      </c>
      <c r="Y109" s="108">
        <f>AN_TME_BY[[#This Row],[TOTAL Non-Truncated Unadjusted Claims Expenses]]+AN_TME_BY[[#This Row],[TOTAL Non-Claims Expenses]]</f>
        <v>0</v>
      </c>
      <c r="Z109" s="108">
        <f>AN_TME_BY[[#This Row],[TOTAL Truncated Unadjusted Claims Expenses (A21 -A19)]]+AN_TME_BY[[#This Row],[TOTAL Non-Claims Expenses]]</f>
        <v>0</v>
      </c>
      <c r="AA109" s="235">
        <f>IFERROR(AN_TME_BY[[#This Row],[TOTAL Non-Truncated Unadjusted Expenses (A21 + A23)]]/AN_TME_BY[[#This Row],[Member Months]],0)</f>
        <v>0</v>
      </c>
      <c r="AB109" s="271">
        <f>IFERROR(AN_TME_BY[[#This Row],[TOTAL Truncated Unadjusted Expenses (A22 + A23)]]/AN_TME_BY[[#This Row],[Member Months]],0)</f>
        <v>0</v>
      </c>
      <c r="AC109" s="237">
        <f>IFERROR(AN_TME_BY[[#This Row],[Total Claims Excluded because of Truncation]]/AN_TME_BY[[#This Row],[Count of Members with Claims Truncated]], 0)</f>
        <v>0</v>
      </c>
      <c r="AD109" s="238">
        <f>IFERROR(AN_TME_BY[[#This Row],[Total Claims Excluded because of Truncation]]/AN_TME_BY[[#This Row],[TOTAL Non-Truncated Unadjusted Claims Expenses]], 0)</f>
        <v>0</v>
      </c>
    </row>
    <row r="110" spans="1:30" x14ac:dyDescent="0.25">
      <c r="A110" s="101"/>
      <c r="B110" s="104"/>
      <c r="C110" s="267"/>
      <c r="D110" s="294"/>
      <c r="E110" s="110"/>
      <c r="F110" s="110"/>
      <c r="G110" s="110"/>
      <c r="H110" s="110"/>
      <c r="I110" s="110"/>
      <c r="J110" s="110"/>
      <c r="K110" s="110"/>
      <c r="L110" s="110"/>
      <c r="M110" s="110"/>
      <c r="N110" s="110"/>
      <c r="O110" s="110"/>
      <c r="P110" s="110"/>
      <c r="Q110" s="110"/>
      <c r="R110" s="110"/>
      <c r="S110" s="110"/>
      <c r="T110" s="110"/>
      <c r="U110" s="263"/>
      <c r="V110" s="108">
        <f t="shared" si="6"/>
        <v>0</v>
      </c>
      <c r="W110" s="108">
        <f>AN_TME_BY[[#This Row],[TOTAL Non-Truncated Unadjusted Claims Expenses]]-AN_TME_BY[[#This Row],[Total Claims Excluded because of Truncation]]</f>
        <v>0</v>
      </c>
      <c r="X110" s="108">
        <f t="shared" si="7"/>
        <v>0</v>
      </c>
      <c r="Y110" s="108">
        <f>AN_TME_BY[[#This Row],[TOTAL Non-Truncated Unadjusted Claims Expenses]]+AN_TME_BY[[#This Row],[TOTAL Non-Claims Expenses]]</f>
        <v>0</v>
      </c>
      <c r="Z110" s="108">
        <f>AN_TME_BY[[#This Row],[TOTAL Truncated Unadjusted Claims Expenses (A21 -A19)]]+AN_TME_BY[[#This Row],[TOTAL Non-Claims Expenses]]</f>
        <v>0</v>
      </c>
      <c r="AA110" s="235">
        <f>IFERROR(AN_TME_BY[[#This Row],[TOTAL Non-Truncated Unadjusted Expenses (A21 + A23)]]/AN_TME_BY[[#This Row],[Member Months]],0)</f>
        <v>0</v>
      </c>
      <c r="AB110" s="271">
        <f>IFERROR(AN_TME_BY[[#This Row],[TOTAL Truncated Unadjusted Expenses (A22 + A23)]]/AN_TME_BY[[#This Row],[Member Months]],0)</f>
        <v>0</v>
      </c>
      <c r="AC110" s="237">
        <f>IFERROR(AN_TME_BY[[#This Row],[Total Claims Excluded because of Truncation]]/AN_TME_BY[[#This Row],[Count of Members with Claims Truncated]], 0)</f>
        <v>0</v>
      </c>
      <c r="AD110" s="238">
        <f>IFERROR(AN_TME_BY[[#This Row],[Total Claims Excluded because of Truncation]]/AN_TME_BY[[#This Row],[TOTAL Non-Truncated Unadjusted Claims Expenses]], 0)</f>
        <v>0</v>
      </c>
    </row>
    <row r="111" spans="1:30" x14ac:dyDescent="0.25">
      <c r="A111" s="101"/>
      <c r="B111" s="104"/>
      <c r="C111" s="270"/>
      <c r="D111" s="294"/>
      <c r="E111" s="110"/>
      <c r="F111" s="110"/>
      <c r="G111" s="110"/>
      <c r="H111" s="110"/>
      <c r="I111" s="110"/>
      <c r="J111" s="110"/>
      <c r="K111" s="110"/>
      <c r="L111" s="110"/>
      <c r="M111" s="110"/>
      <c r="N111" s="110"/>
      <c r="O111" s="110"/>
      <c r="P111" s="110"/>
      <c r="Q111" s="110"/>
      <c r="R111" s="110"/>
      <c r="S111" s="110"/>
      <c r="T111" s="110"/>
      <c r="U111" s="263"/>
      <c r="V111" s="108">
        <f t="shared" si="6"/>
        <v>0</v>
      </c>
      <c r="W111" s="108">
        <f>AN_TME_BY[[#This Row],[TOTAL Non-Truncated Unadjusted Claims Expenses]]-AN_TME_BY[[#This Row],[Total Claims Excluded because of Truncation]]</f>
        <v>0</v>
      </c>
      <c r="X111" s="108">
        <f t="shared" si="7"/>
        <v>0</v>
      </c>
      <c r="Y111" s="108">
        <f>AN_TME_BY[[#This Row],[TOTAL Non-Truncated Unadjusted Claims Expenses]]+AN_TME_BY[[#This Row],[TOTAL Non-Claims Expenses]]</f>
        <v>0</v>
      </c>
      <c r="Z111" s="108">
        <f>AN_TME_BY[[#This Row],[TOTAL Truncated Unadjusted Claims Expenses (A21 -A19)]]+AN_TME_BY[[#This Row],[TOTAL Non-Claims Expenses]]</f>
        <v>0</v>
      </c>
      <c r="AA111" s="235">
        <f>IFERROR(AN_TME_BY[[#This Row],[TOTAL Non-Truncated Unadjusted Expenses (A21 + A23)]]/AN_TME_BY[[#This Row],[Member Months]],0)</f>
        <v>0</v>
      </c>
      <c r="AB111" s="271">
        <f>IFERROR(AN_TME_BY[[#This Row],[TOTAL Truncated Unadjusted Expenses (A22 + A23)]]/AN_TME_BY[[#This Row],[Member Months]],0)</f>
        <v>0</v>
      </c>
      <c r="AC111" s="237">
        <f>IFERROR(AN_TME_BY[[#This Row],[Total Claims Excluded because of Truncation]]/AN_TME_BY[[#This Row],[Count of Members with Claims Truncated]], 0)</f>
        <v>0</v>
      </c>
      <c r="AD111" s="238">
        <f>IFERROR(AN_TME_BY[[#This Row],[Total Claims Excluded because of Truncation]]/AN_TME_BY[[#This Row],[TOTAL Non-Truncated Unadjusted Claims Expenses]], 0)</f>
        <v>0</v>
      </c>
    </row>
    <row r="112" spans="1:30" x14ac:dyDescent="0.25">
      <c r="A112" s="101"/>
      <c r="B112" s="104"/>
      <c r="C112" s="267"/>
      <c r="D112" s="294"/>
      <c r="E112" s="110"/>
      <c r="F112" s="110"/>
      <c r="G112" s="110"/>
      <c r="H112" s="110"/>
      <c r="I112" s="110"/>
      <c r="J112" s="110"/>
      <c r="K112" s="110"/>
      <c r="L112" s="110"/>
      <c r="M112" s="110"/>
      <c r="N112" s="110"/>
      <c r="O112" s="110"/>
      <c r="P112" s="110"/>
      <c r="Q112" s="110"/>
      <c r="R112" s="110"/>
      <c r="S112" s="110"/>
      <c r="T112" s="110"/>
      <c r="U112" s="263"/>
      <c r="V112" s="108">
        <f t="shared" si="6"/>
        <v>0</v>
      </c>
      <c r="W112" s="108">
        <f>AN_TME_BY[[#This Row],[TOTAL Non-Truncated Unadjusted Claims Expenses]]-AN_TME_BY[[#This Row],[Total Claims Excluded because of Truncation]]</f>
        <v>0</v>
      </c>
      <c r="X112" s="108">
        <f t="shared" si="7"/>
        <v>0</v>
      </c>
      <c r="Y112" s="108">
        <f>AN_TME_BY[[#This Row],[TOTAL Non-Truncated Unadjusted Claims Expenses]]+AN_TME_BY[[#This Row],[TOTAL Non-Claims Expenses]]</f>
        <v>0</v>
      </c>
      <c r="Z112" s="108">
        <f>AN_TME_BY[[#This Row],[TOTAL Truncated Unadjusted Claims Expenses (A21 -A19)]]+AN_TME_BY[[#This Row],[TOTAL Non-Claims Expenses]]</f>
        <v>0</v>
      </c>
      <c r="AA112" s="235">
        <f>IFERROR(AN_TME_BY[[#This Row],[TOTAL Non-Truncated Unadjusted Expenses (A21 + A23)]]/AN_TME_BY[[#This Row],[Member Months]],0)</f>
        <v>0</v>
      </c>
      <c r="AB112" s="271">
        <f>IFERROR(AN_TME_BY[[#This Row],[TOTAL Truncated Unadjusted Expenses (A22 + A23)]]/AN_TME_BY[[#This Row],[Member Months]],0)</f>
        <v>0</v>
      </c>
      <c r="AC112" s="237">
        <f>IFERROR(AN_TME_BY[[#This Row],[Total Claims Excluded because of Truncation]]/AN_TME_BY[[#This Row],[Count of Members with Claims Truncated]], 0)</f>
        <v>0</v>
      </c>
      <c r="AD112" s="238">
        <f>IFERROR(AN_TME_BY[[#This Row],[Total Claims Excluded because of Truncation]]/AN_TME_BY[[#This Row],[TOTAL Non-Truncated Unadjusted Claims Expenses]], 0)</f>
        <v>0</v>
      </c>
    </row>
    <row r="113" spans="1:30" x14ac:dyDescent="0.25">
      <c r="A113" s="101"/>
      <c r="B113" s="104"/>
      <c r="C113" s="270"/>
      <c r="D113" s="294"/>
      <c r="E113" s="110"/>
      <c r="F113" s="110"/>
      <c r="G113" s="110"/>
      <c r="H113" s="110"/>
      <c r="I113" s="110"/>
      <c r="J113" s="110"/>
      <c r="K113" s="110"/>
      <c r="L113" s="110"/>
      <c r="M113" s="110"/>
      <c r="N113" s="110"/>
      <c r="O113" s="110"/>
      <c r="P113" s="110"/>
      <c r="Q113" s="110"/>
      <c r="R113" s="110"/>
      <c r="S113" s="110"/>
      <c r="T113" s="110"/>
      <c r="U113" s="263"/>
      <c r="V113" s="108">
        <f t="shared" si="6"/>
        <v>0</v>
      </c>
      <c r="W113" s="108">
        <f>AN_TME_BY[[#This Row],[TOTAL Non-Truncated Unadjusted Claims Expenses]]-AN_TME_BY[[#This Row],[Total Claims Excluded because of Truncation]]</f>
        <v>0</v>
      </c>
      <c r="X113" s="108">
        <f t="shared" si="7"/>
        <v>0</v>
      </c>
      <c r="Y113" s="108">
        <f>AN_TME_BY[[#This Row],[TOTAL Non-Truncated Unadjusted Claims Expenses]]+AN_TME_BY[[#This Row],[TOTAL Non-Claims Expenses]]</f>
        <v>0</v>
      </c>
      <c r="Z113" s="108">
        <f>AN_TME_BY[[#This Row],[TOTAL Truncated Unadjusted Claims Expenses (A21 -A19)]]+AN_TME_BY[[#This Row],[TOTAL Non-Claims Expenses]]</f>
        <v>0</v>
      </c>
      <c r="AA113" s="235">
        <f>IFERROR(AN_TME_BY[[#This Row],[TOTAL Non-Truncated Unadjusted Expenses (A21 + A23)]]/AN_TME_BY[[#This Row],[Member Months]],0)</f>
        <v>0</v>
      </c>
      <c r="AB113" s="271">
        <f>IFERROR(AN_TME_BY[[#This Row],[TOTAL Truncated Unadjusted Expenses (A22 + A23)]]/AN_TME_BY[[#This Row],[Member Months]],0)</f>
        <v>0</v>
      </c>
      <c r="AC113" s="237">
        <f>IFERROR(AN_TME_BY[[#This Row],[Total Claims Excluded because of Truncation]]/AN_TME_BY[[#This Row],[Count of Members with Claims Truncated]], 0)</f>
        <v>0</v>
      </c>
      <c r="AD113" s="238">
        <f>IFERROR(AN_TME_BY[[#This Row],[Total Claims Excluded because of Truncation]]/AN_TME_BY[[#This Row],[TOTAL Non-Truncated Unadjusted Claims Expenses]], 0)</f>
        <v>0</v>
      </c>
    </row>
    <row r="114" spans="1:30" x14ac:dyDescent="0.25">
      <c r="A114" s="101"/>
      <c r="B114" s="104"/>
      <c r="C114" s="267"/>
      <c r="D114" s="294"/>
      <c r="E114" s="110"/>
      <c r="F114" s="110"/>
      <c r="G114" s="110"/>
      <c r="H114" s="110"/>
      <c r="I114" s="110"/>
      <c r="J114" s="110"/>
      <c r="K114" s="110"/>
      <c r="L114" s="110"/>
      <c r="M114" s="110"/>
      <c r="N114" s="110"/>
      <c r="O114" s="110"/>
      <c r="P114" s="110"/>
      <c r="Q114" s="110"/>
      <c r="R114" s="110"/>
      <c r="S114" s="110"/>
      <c r="T114" s="110"/>
      <c r="U114" s="263"/>
      <c r="V114" s="108">
        <f t="shared" si="6"/>
        <v>0</v>
      </c>
      <c r="W114" s="108">
        <f>AN_TME_BY[[#This Row],[TOTAL Non-Truncated Unadjusted Claims Expenses]]-AN_TME_BY[[#This Row],[Total Claims Excluded because of Truncation]]</f>
        <v>0</v>
      </c>
      <c r="X114" s="108">
        <f t="shared" si="7"/>
        <v>0</v>
      </c>
      <c r="Y114" s="108">
        <f>AN_TME_BY[[#This Row],[TOTAL Non-Truncated Unadjusted Claims Expenses]]+AN_TME_BY[[#This Row],[TOTAL Non-Claims Expenses]]</f>
        <v>0</v>
      </c>
      <c r="Z114" s="108">
        <f>AN_TME_BY[[#This Row],[TOTAL Truncated Unadjusted Claims Expenses (A21 -A19)]]+AN_TME_BY[[#This Row],[TOTAL Non-Claims Expenses]]</f>
        <v>0</v>
      </c>
      <c r="AA114" s="235">
        <f>IFERROR(AN_TME_BY[[#This Row],[TOTAL Non-Truncated Unadjusted Expenses (A21 + A23)]]/AN_TME_BY[[#This Row],[Member Months]],0)</f>
        <v>0</v>
      </c>
      <c r="AB114" s="271">
        <f>IFERROR(AN_TME_BY[[#This Row],[TOTAL Truncated Unadjusted Expenses (A22 + A23)]]/AN_TME_BY[[#This Row],[Member Months]],0)</f>
        <v>0</v>
      </c>
      <c r="AC114" s="237">
        <f>IFERROR(AN_TME_BY[[#This Row],[Total Claims Excluded because of Truncation]]/AN_TME_BY[[#This Row],[Count of Members with Claims Truncated]], 0)</f>
        <v>0</v>
      </c>
      <c r="AD114" s="238">
        <f>IFERROR(AN_TME_BY[[#This Row],[Total Claims Excluded because of Truncation]]/AN_TME_BY[[#This Row],[TOTAL Non-Truncated Unadjusted Claims Expenses]], 0)</f>
        <v>0</v>
      </c>
    </row>
    <row r="115" spans="1:30" x14ac:dyDescent="0.25">
      <c r="A115" s="101"/>
      <c r="B115" s="104"/>
      <c r="C115" s="270"/>
      <c r="D115" s="294"/>
      <c r="E115" s="110"/>
      <c r="F115" s="110"/>
      <c r="G115" s="110"/>
      <c r="H115" s="110"/>
      <c r="I115" s="110"/>
      <c r="J115" s="110"/>
      <c r="K115" s="110"/>
      <c r="L115" s="110"/>
      <c r="M115" s="110"/>
      <c r="N115" s="110"/>
      <c r="O115" s="110"/>
      <c r="P115" s="110"/>
      <c r="Q115" s="110"/>
      <c r="R115" s="110"/>
      <c r="S115" s="110"/>
      <c r="T115" s="110"/>
      <c r="U115" s="263"/>
      <c r="V115" s="108">
        <f t="shared" si="6"/>
        <v>0</v>
      </c>
      <c r="W115" s="108">
        <f>AN_TME_BY[[#This Row],[TOTAL Non-Truncated Unadjusted Claims Expenses]]-AN_TME_BY[[#This Row],[Total Claims Excluded because of Truncation]]</f>
        <v>0</v>
      </c>
      <c r="X115" s="108">
        <f t="shared" si="7"/>
        <v>0</v>
      </c>
      <c r="Y115" s="108">
        <f>AN_TME_BY[[#This Row],[TOTAL Non-Truncated Unadjusted Claims Expenses]]+AN_TME_BY[[#This Row],[TOTAL Non-Claims Expenses]]</f>
        <v>0</v>
      </c>
      <c r="Z115" s="108">
        <f>AN_TME_BY[[#This Row],[TOTAL Truncated Unadjusted Claims Expenses (A21 -A19)]]+AN_TME_BY[[#This Row],[TOTAL Non-Claims Expenses]]</f>
        <v>0</v>
      </c>
      <c r="AA115" s="235">
        <f>IFERROR(AN_TME_BY[[#This Row],[TOTAL Non-Truncated Unadjusted Expenses (A21 + A23)]]/AN_TME_BY[[#This Row],[Member Months]],0)</f>
        <v>0</v>
      </c>
      <c r="AB115" s="271">
        <f>IFERROR(AN_TME_BY[[#This Row],[TOTAL Truncated Unadjusted Expenses (A22 + A23)]]/AN_TME_BY[[#This Row],[Member Months]],0)</f>
        <v>0</v>
      </c>
      <c r="AC115" s="237">
        <f>IFERROR(AN_TME_BY[[#This Row],[Total Claims Excluded because of Truncation]]/AN_TME_BY[[#This Row],[Count of Members with Claims Truncated]], 0)</f>
        <v>0</v>
      </c>
      <c r="AD115" s="238">
        <f>IFERROR(AN_TME_BY[[#This Row],[Total Claims Excluded because of Truncation]]/AN_TME_BY[[#This Row],[TOTAL Non-Truncated Unadjusted Claims Expenses]], 0)</f>
        <v>0</v>
      </c>
    </row>
    <row r="116" spans="1:30" x14ac:dyDescent="0.25">
      <c r="A116" s="101"/>
      <c r="B116" s="104"/>
      <c r="C116" s="267"/>
      <c r="D116" s="294"/>
      <c r="E116" s="110"/>
      <c r="F116" s="110"/>
      <c r="G116" s="110"/>
      <c r="H116" s="110"/>
      <c r="I116" s="110"/>
      <c r="J116" s="110"/>
      <c r="K116" s="110"/>
      <c r="L116" s="110"/>
      <c r="M116" s="110"/>
      <c r="N116" s="110"/>
      <c r="O116" s="110"/>
      <c r="P116" s="110"/>
      <c r="Q116" s="110"/>
      <c r="R116" s="110"/>
      <c r="S116" s="110"/>
      <c r="T116" s="110"/>
      <c r="U116" s="263"/>
      <c r="V116" s="108">
        <f t="shared" si="6"/>
        <v>0</v>
      </c>
      <c r="W116" s="108">
        <f>AN_TME_BY[[#This Row],[TOTAL Non-Truncated Unadjusted Claims Expenses]]-AN_TME_BY[[#This Row],[Total Claims Excluded because of Truncation]]</f>
        <v>0</v>
      </c>
      <c r="X116" s="108">
        <f t="shared" si="7"/>
        <v>0</v>
      </c>
      <c r="Y116" s="108">
        <f>AN_TME_BY[[#This Row],[TOTAL Non-Truncated Unadjusted Claims Expenses]]+AN_TME_BY[[#This Row],[TOTAL Non-Claims Expenses]]</f>
        <v>0</v>
      </c>
      <c r="Z116" s="108">
        <f>AN_TME_BY[[#This Row],[TOTAL Truncated Unadjusted Claims Expenses (A21 -A19)]]+AN_TME_BY[[#This Row],[TOTAL Non-Claims Expenses]]</f>
        <v>0</v>
      </c>
      <c r="AA116" s="235">
        <f>IFERROR(AN_TME_BY[[#This Row],[TOTAL Non-Truncated Unadjusted Expenses (A21 + A23)]]/AN_TME_BY[[#This Row],[Member Months]],0)</f>
        <v>0</v>
      </c>
      <c r="AB116" s="271">
        <f>IFERROR(AN_TME_BY[[#This Row],[TOTAL Truncated Unadjusted Expenses (A22 + A23)]]/AN_TME_BY[[#This Row],[Member Months]],0)</f>
        <v>0</v>
      </c>
      <c r="AC116" s="237">
        <f>IFERROR(AN_TME_BY[[#This Row],[Total Claims Excluded because of Truncation]]/AN_TME_BY[[#This Row],[Count of Members with Claims Truncated]], 0)</f>
        <v>0</v>
      </c>
      <c r="AD116" s="238">
        <f>IFERROR(AN_TME_BY[[#This Row],[Total Claims Excluded because of Truncation]]/AN_TME_BY[[#This Row],[TOTAL Non-Truncated Unadjusted Claims Expenses]], 0)</f>
        <v>0</v>
      </c>
    </row>
    <row r="117" spans="1:30" x14ac:dyDescent="0.25">
      <c r="A117" s="101"/>
      <c r="B117" s="104"/>
      <c r="C117" s="270"/>
      <c r="D117" s="294"/>
      <c r="E117" s="110"/>
      <c r="F117" s="110"/>
      <c r="G117" s="110"/>
      <c r="H117" s="110"/>
      <c r="I117" s="110"/>
      <c r="J117" s="110"/>
      <c r="K117" s="110"/>
      <c r="L117" s="110"/>
      <c r="M117" s="110"/>
      <c r="N117" s="110"/>
      <c r="O117" s="110"/>
      <c r="P117" s="110"/>
      <c r="Q117" s="110"/>
      <c r="R117" s="110"/>
      <c r="S117" s="110"/>
      <c r="T117" s="110"/>
      <c r="U117" s="263"/>
      <c r="V117" s="108">
        <f t="shared" si="6"/>
        <v>0</v>
      </c>
      <c r="W117" s="108">
        <f>AN_TME_BY[[#This Row],[TOTAL Non-Truncated Unadjusted Claims Expenses]]-AN_TME_BY[[#This Row],[Total Claims Excluded because of Truncation]]</f>
        <v>0</v>
      </c>
      <c r="X117" s="108">
        <f t="shared" si="7"/>
        <v>0</v>
      </c>
      <c r="Y117" s="108">
        <f>AN_TME_BY[[#This Row],[TOTAL Non-Truncated Unadjusted Claims Expenses]]+AN_TME_BY[[#This Row],[TOTAL Non-Claims Expenses]]</f>
        <v>0</v>
      </c>
      <c r="Z117" s="108">
        <f>AN_TME_BY[[#This Row],[TOTAL Truncated Unadjusted Claims Expenses (A21 -A19)]]+AN_TME_BY[[#This Row],[TOTAL Non-Claims Expenses]]</f>
        <v>0</v>
      </c>
      <c r="AA117" s="235">
        <f>IFERROR(AN_TME_BY[[#This Row],[TOTAL Non-Truncated Unadjusted Expenses (A21 + A23)]]/AN_TME_BY[[#This Row],[Member Months]],0)</f>
        <v>0</v>
      </c>
      <c r="AB117" s="271">
        <f>IFERROR(AN_TME_BY[[#This Row],[TOTAL Truncated Unadjusted Expenses (A22 + A23)]]/AN_TME_BY[[#This Row],[Member Months]],0)</f>
        <v>0</v>
      </c>
      <c r="AC117" s="237">
        <f>IFERROR(AN_TME_BY[[#This Row],[Total Claims Excluded because of Truncation]]/AN_TME_BY[[#This Row],[Count of Members with Claims Truncated]], 0)</f>
        <v>0</v>
      </c>
      <c r="AD117" s="238">
        <f>IFERROR(AN_TME_BY[[#This Row],[Total Claims Excluded because of Truncation]]/AN_TME_BY[[#This Row],[TOTAL Non-Truncated Unadjusted Claims Expenses]], 0)</f>
        <v>0</v>
      </c>
    </row>
    <row r="118" spans="1:30" x14ac:dyDescent="0.25">
      <c r="A118" s="101"/>
      <c r="B118" s="104"/>
      <c r="C118" s="267"/>
      <c r="D118" s="294"/>
      <c r="E118" s="110"/>
      <c r="F118" s="110"/>
      <c r="G118" s="110"/>
      <c r="H118" s="110"/>
      <c r="I118" s="110"/>
      <c r="J118" s="110"/>
      <c r="K118" s="110"/>
      <c r="L118" s="110"/>
      <c r="M118" s="110"/>
      <c r="N118" s="110"/>
      <c r="O118" s="110"/>
      <c r="P118" s="110"/>
      <c r="Q118" s="110"/>
      <c r="R118" s="110"/>
      <c r="S118" s="110"/>
      <c r="T118" s="110"/>
      <c r="U118" s="263"/>
      <c r="V118" s="108">
        <f t="shared" si="6"/>
        <v>0</v>
      </c>
      <c r="W118" s="108">
        <f>AN_TME_BY[[#This Row],[TOTAL Non-Truncated Unadjusted Claims Expenses]]-AN_TME_BY[[#This Row],[Total Claims Excluded because of Truncation]]</f>
        <v>0</v>
      </c>
      <c r="X118" s="108">
        <f t="shared" si="7"/>
        <v>0</v>
      </c>
      <c r="Y118" s="108">
        <f>AN_TME_BY[[#This Row],[TOTAL Non-Truncated Unadjusted Claims Expenses]]+AN_TME_BY[[#This Row],[TOTAL Non-Claims Expenses]]</f>
        <v>0</v>
      </c>
      <c r="Z118" s="108">
        <f>AN_TME_BY[[#This Row],[TOTAL Truncated Unadjusted Claims Expenses (A21 -A19)]]+AN_TME_BY[[#This Row],[TOTAL Non-Claims Expenses]]</f>
        <v>0</v>
      </c>
      <c r="AA118" s="235">
        <f>IFERROR(AN_TME_BY[[#This Row],[TOTAL Non-Truncated Unadjusted Expenses (A21 + A23)]]/AN_TME_BY[[#This Row],[Member Months]],0)</f>
        <v>0</v>
      </c>
      <c r="AB118" s="271">
        <f>IFERROR(AN_TME_BY[[#This Row],[TOTAL Truncated Unadjusted Expenses (A22 + A23)]]/AN_TME_BY[[#This Row],[Member Months]],0)</f>
        <v>0</v>
      </c>
      <c r="AC118" s="237">
        <f>IFERROR(AN_TME_BY[[#This Row],[Total Claims Excluded because of Truncation]]/AN_TME_BY[[#This Row],[Count of Members with Claims Truncated]], 0)</f>
        <v>0</v>
      </c>
      <c r="AD118" s="238">
        <f>IFERROR(AN_TME_BY[[#This Row],[Total Claims Excluded because of Truncation]]/AN_TME_BY[[#This Row],[TOTAL Non-Truncated Unadjusted Claims Expenses]], 0)</f>
        <v>0</v>
      </c>
    </row>
    <row r="119" spans="1:30" x14ac:dyDescent="0.25">
      <c r="A119" s="101"/>
      <c r="B119" s="104"/>
      <c r="C119" s="270"/>
      <c r="D119" s="294"/>
      <c r="E119" s="110"/>
      <c r="F119" s="110"/>
      <c r="G119" s="110"/>
      <c r="H119" s="110"/>
      <c r="I119" s="110"/>
      <c r="J119" s="110"/>
      <c r="K119" s="110"/>
      <c r="L119" s="110"/>
      <c r="M119" s="110"/>
      <c r="N119" s="110"/>
      <c r="O119" s="110"/>
      <c r="P119" s="110"/>
      <c r="Q119" s="110"/>
      <c r="R119" s="110"/>
      <c r="S119" s="110"/>
      <c r="T119" s="110"/>
      <c r="U119" s="263"/>
      <c r="V119" s="108">
        <f t="shared" si="6"/>
        <v>0</v>
      </c>
      <c r="W119" s="108">
        <f>AN_TME_BY[[#This Row],[TOTAL Non-Truncated Unadjusted Claims Expenses]]-AN_TME_BY[[#This Row],[Total Claims Excluded because of Truncation]]</f>
        <v>0</v>
      </c>
      <c r="X119" s="108">
        <f t="shared" si="7"/>
        <v>0</v>
      </c>
      <c r="Y119" s="108">
        <f>AN_TME_BY[[#This Row],[TOTAL Non-Truncated Unadjusted Claims Expenses]]+AN_TME_BY[[#This Row],[TOTAL Non-Claims Expenses]]</f>
        <v>0</v>
      </c>
      <c r="Z119" s="108">
        <f>AN_TME_BY[[#This Row],[TOTAL Truncated Unadjusted Claims Expenses (A21 -A19)]]+AN_TME_BY[[#This Row],[TOTAL Non-Claims Expenses]]</f>
        <v>0</v>
      </c>
      <c r="AA119" s="235">
        <f>IFERROR(AN_TME_BY[[#This Row],[TOTAL Non-Truncated Unadjusted Expenses (A21 + A23)]]/AN_TME_BY[[#This Row],[Member Months]],0)</f>
        <v>0</v>
      </c>
      <c r="AB119" s="271">
        <f>IFERROR(AN_TME_BY[[#This Row],[TOTAL Truncated Unadjusted Expenses (A22 + A23)]]/AN_TME_BY[[#This Row],[Member Months]],0)</f>
        <v>0</v>
      </c>
      <c r="AC119" s="237">
        <f>IFERROR(AN_TME_BY[[#This Row],[Total Claims Excluded because of Truncation]]/AN_TME_BY[[#This Row],[Count of Members with Claims Truncated]], 0)</f>
        <v>0</v>
      </c>
      <c r="AD119" s="238">
        <f>IFERROR(AN_TME_BY[[#This Row],[Total Claims Excluded because of Truncation]]/AN_TME_BY[[#This Row],[TOTAL Non-Truncated Unadjusted Claims Expenses]], 0)</f>
        <v>0</v>
      </c>
    </row>
    <row r="120" spans="1:30" x14ac:dyDescent="0.25">
      <c r="A120" s="101"/>
      <c r="B120" s="104"/>
      <c r="C120" s="267"/>
      <c r="D120" s="294"/>
      <c r="E120" s="110"/>
      <c r="F120" s="110"/>
      <c r="G120" s="110"/>
      <c r="H120" s="110"/>
      <c r="I120" s="110"/>
      <c r="J120" s="110"/>
      <c r="K120" s="110"/>
      <c r="L120" s="110"/>
      <c r="M120" s="110"/>
      <c r="N120" s="110"/>
      <c r="O120" s="110"/>
      <c r="P120" s="110"/>
      <c r="Q120" s="110"/>
      <c r="R120" s="110"/>
      <c r="S120" s="110"/>
      <c r="T120" s="110"/>
      <c r="U120" s="263"/>
      <c r="V120" s="108">
        <f t="shared" si="6"/>
        <v>0</v>
      </c>
      <c r="W120" s="108">
        <f>AN_TME_BY[[#This Row],[TOTAL Non-Truncated Unadjusted Claims Expenses]]-AN_TME_BY[[#This Row],[Total Claims Excluded because of Truncation]]</f>
        <v>0</v>
      </c>
      <c r="X120" s="108">
        <f t="shared" si="7"/>
        <v>0</v>
      </c>
      <c r="Y120" s="108">
        <f>AN_TME_BY[[#This Row],[TOTAL Non-Truncated Unadjusted Claims Expenses]]+AN_TME_BY[[#This Row],[TOTAL Non-Claims Expenses]]</f>
        <v>0</v>
      </c>
      <c r="Z120" s="108">
        <f>AN_TME_BY[[#This Row],[TOTAL Truncated Unadjusted Claims Expenses (A21 -A19)]]+AN_TME_BY[[#This Row],[TOTAL Non-Claims Expenses]]</f>
        <v>0</v>
      </c>
      <c r="AA120" s="235">
        <f>IFERROR(AN_TME_BY[[#This Row],[TOTAL Non-Truncated Unadjusted Expenses (A21 + A23)]]/AN_TME_BY[[#This Row],[Member Months]],0)</f>
        <v>0</v>
      </c>
      <c r="AB120" s="271">
        <f>IFERROR(AN_TME_BY[[#This Row],[TOTAL Truncated Unadjusted Expenses (A22 + A23)]]/AN_TME_BY[[#This Row],[Member Months]],0)</f>
        <v>0</v>
      </c>
      <c r="AC120" s="237">
        <f>IFERROR(AN_TME_BY[[#This Row],[Total Claims Excluded because of Truncation]]/AN_TME_BY[[#This Row],[Count of Members with Claims Truncated]], 0)</f>
        <v>0</v>
      </c>
      <c r="AD120" s="238">
        <f>IFERROR(AN_TME_BY[[#This Row],[Total Claims Excluded because of Truncation]]/AN_TME_BY[[#This Row],[TOTAL Non-Truncated Unadjusted Claims Expenses]], 0)</f>
        <v>0</v>
      </c>
    </row>
    <row r="121" spans="1:30" x14ac:dyDescent="0.25">
      <c r="A121" s="101"/>
      <c r="B121" s="104"/>
      <c r="C121" s="270"/>
      <c r="D121" s="294"/>
      <c r="E121" s="110"/>
      <c r="F121" s="110"/>
      <c r="G121" s="110"/>
      <c r="H121" s="110"/>
      <c r="I121" s="110"/>
      <c r="J121" s="110"/>
      <c r="K121" s="110"/>
      <c r="L121" s="110"/>
      <c r="M121" s="110"/>
      <c r="N121" s="110"/>
      <c r="O121" s="110"/>
      <c r="P121" s="110"/>
      <c r="Q121" s="110"/>
      <c r="R121" s="110"/>
      <c r="S121" s="110"/>
      <c r="T121" s="110"/>
      <c r="U121" s="263"/>
      <c r="V121" s="108">
        <f t="shared" si="6"/>
        <v>0</v>
      </c>
      <c r="W121" s="108">
        <f>AN_TME_BY[[#This Row],[TOTAL Non-Truncated Unadjusted Claims Expenses]]-AN_TME_BY[[#This Row],[Total Claims Excluded because of Truncation]]</f>
        <v>0</v>
      </c>
      <c r="X121" s="108">
        <f t="shared" si="7"/>
        <v>0</v>
      </c>
      <c r="Y121" s="108">
        <f>AN_TME_BY[[#This Row],[TOTAL Non-Truncated Unadjusted Claims Expenses]]+AN_TME_BY[[#This Row],[TOTAL Non-Claims Expenses]]</f>
        <v>0</v>
      </c>
      <c r="Z121" s="108">
        <f>AN_TME_BY[[#This Row],[TOTAL Truncated Unadjusted Claims Expenses (A21 -A19)]]+AN_TME_BY[[#This Row],[TOTAL Non-Claims Expenses]]</f>
        <v>0</v>
      </c>
      <c r="AA121" s="235">
        <f>IFERROR(AN_TME_BY[[#This Row],[TOTAL Non-Truncated Unadjusted Expenses (A21 + A23)]]/AN_TME_BY[[#This Row],[Member Months]],0)</f>
        <v>0</v>
      </c>
      <c r="AB121" s="271">
        <f>IFERROR(AN_TME_BY[[#This Row],[TOTAL Truncated Unadjusted Expenses (A22 + A23)]]/AN_TME_BY[[#This Row],[Member Months]],0)</f>
        <v>0</v>
      </c>
      <c r="AC121" s="237">
        <f>IFERROR(AN_TME_BY[[#This Row],[Total Claims Excluded because of Truncation]]/AN_TME_BY[[#This Row],[Count of Members with Claims Truncated]], 0)</f>
        <v>0</v>
      </c>
      <c r="AD121" s="238">
        <f>IFERROR(AN_TME_BY[[#This Row],[Total Claims Excluded because of Truncation]]/AN_TME_BY[[#This Row],[TOTAL Non-Truncated Unadjusted Claims Expenses]], 0)</f>
        <v>0</v>
      </c>
    </row>
    <row r="122" spans="1:30" x14ac:dyDescent="0.25">
      <c r="A122" s="101"/>
      <c r="B122" s="104"/>
      <c r="C122" s="267"/>
      <c r="D122" s="294"/>
      <c r="E122" s="110"/>
      <c r="F122" s="110"/>
      <c r="G122" s="110"/>
      <c r="H122" s="110"/>
      <c r="I122" s="110"/>
      <c r="J122" s="110"/>
      <c r="K122" s="110"/>
      <c r="L122" s="110"/>
      <c r="M122" s="110"/>
      <c r="N122" s="110"/>
      <c r="O122" s="110"/>
      <c r="P122" s="110"/>
      <c r="Q122" s="110"/>
      <c r="R122" s="110"/>
      <c r="S122" s="110"/>
      <c r="T122" s="110"/>
      <c r="U122" s="263"/>
      <c r="V122" s="108">
        <f t="shared" si="6"/>
        <v>0</v>
      </c>
      <c r="W122" s="108">
        <f>AN_TME_BY[[#This Row],[TOTAL Non-Truncated Unadjusted Claims Expenses]]-AN_TME_BY[[#This Row],[Total Claims Excluded because of Truncation]]</f>
        <v>0</v>
      </c>
      <c r="X122" s="108">
        <f t="shared" si="7"/>
        <v>0</v>
      </c>
      <c r="Y122" s="108">
        <f>AN_TME_BY[[#This Row],[TOTAL Non-Truncated Unadjusted Claims Expenses]]+AN_TME_BY[[#This Row],[TOTAL Non-Claims Expenses]]</f>
        <v>0</v>
      </c>
      <c r="Z122" s="108">
        <f>AN_TME_BY[[#This Row],[TOTAL Truncated Unadjusted Claims Expenses (A21 -A19)]]+AN_TME_BY[[#This Row],[TOTAL Non-Claims Expenses]]</f>
        <v>0</v>
      </c>
      <c r="AA122" s="235">
        <f>IFERROR(AN_TME_BY[[#This Row],[TOTAL Non-Truncated Unadjusted Expenses (A21 + A23)]]/AN_TME_BY[[#This Row],[Member Months]],0)</f>
        <v>0</v>
      </c>
      <c r="AB122" s="271">
        <f>IFERROR(AN_TME_BY[[#This Row],[TOTAL Truncated Unadjusted Expenses (A22 + A23)]]/AN_TME_BY[[#This Row],[Member Months]],0)</f>
        <v>0</v>
      </c>
      <c r="AC122" s="237">
        <f>IFERROR(AN_TME_BY[[#This Row],[Total Claims Excluded because of Truncation]]/AN_TME_BY[[#This Row],[Count of Members with Claims Truncated]], 0)</f>
        <v>0</v>
      </c>
      <c r="AD122" s="238">
        <f>IFERROR(AN_TME_BY[[#This Row],[Total Claims Excluded because of Truncation]]/AN_TME_BY[[#This Row],[TOTAL Non-Truncated Unadjusted Claims Expenses]], 0)</f>
        <v>0</v>
      </c>
    </row>
    <row r="123" spans="1:30" x14ac:dyDescent="0.25">
      <c r="A123" s="101"/>
      <c r="B123" s="104"/>
      <c r="C123" s="270"/>
      <c r="D123" s="294"/>
      <c r="E123" s="110"/>
      <c r="F123" s="110"/>
      <c r="G123" s="110"/>
      <c r="H123" s="110"/>
      <c r="I123" s="110"/>
      <c r="J123" s="110"/>
      <c r="K123" s="110"/>
      <c r="L123" s="110"/>
      <c r="M123" s="110"/>
      <c r="N123" s="110"/>
      <c r="O123" s="110"/>
      <c r="P123" s="110"/>
      <c r="Q123" s="110"/>
      <c r="R123" s="110"/>
      <c r="S123" s="110"/>
      <c r="T123" s="110"/>
      <c r="U123" s="263"/>
      <c r="V123" s="108">
        <f t="shared" si="6"/>
        <v>0</v>
      </c>
      <c r="W123" s="108">
        <f>AN_TME_BY[[#This Row],[TOTAL Non-Truncated Unadjusted Claims Expenses]]-AN_TME_BY[[#This Row],[Total Claims Excluded because of Truncation]]</f>
        <v>0</v>
      </c>
      <c r="X123" s="108">
        <f t="shared" si="7"/>
        <v>0</v>
      </c>
      <c r="Y123" s="108">
        <f>AN_TME_BY[[#This Row],[TOTAL Non-Truncated Unadjusted Claims Expenses]]+AN_TME_BY[[#This Row],[TOTAL Non-Claims Expenses]]</f>
        <v>0</v>
      </c>
      <c r="Z123" s="108">
        <f>AN_TME_BY[[#This Row],[TOTAL Truncated Unadjusted Claims Expenses (A21 -A19)]]+AN_TME_BY[[#This Row],[TOTAL Non-Claims Expenses]]</f>
        <v>0</v>
      </c>
      <c r="AA123" s="235">
        <f>IFERROR(AN_TME_BY[[#This Row],[TOTAL Non-Truncated Unadjusted Expenses (A21 + A23)]]/AN_TME_BY[[#This Row],[Member Months]],0)</f>
        <v>0</v>
      </c>
      <c r="AB123" s="271">
        <f>IFERROR(AN_TME_BY[[#This Row],[TOTAL Truncated Unadjusted Expenses (A22 + A23)]]/AN_TME_BY[[#This Row],[Member Months]],0)</f>
        <v>0</v>
      </c>
      <c r="AC123" s="237">
        <f>IFERROR(AN_TME_BY[[#This Row],[Total Claims Excluded because of Truncation]]/AN_TME_BY[[#This Row],[Count of Members with Claims Truncated]], 0)</f>
        <v>0</v>
      </c>
      <c r="AD123" s="238">
        <f>IFERROR(AN_TME_BY[[#This Row],[Total Claims Excluded because of Truncation]]/AN_TME_BY[[#This Row],[TOTAL Non-Truncated Unadjusted Claims Expenses]], 0)</f>
        <v>0</v>
      </c>
    </row>
    <row r="124" spans="1:30" x14ac:dyDescent="0.25">
      <c r="A124" s="101"/>
      <c r="B124" s="104"/>
      <c r="C124" s="267"/>
      <c r="D124" s="294"/>
      <c r="E124" s="110"/>
      <c r="F124" s="110"/>
      <c r="G124" s="110"/>
      <c r="H124" s="110"/>
      <c r="I124" s="110"/>
      <c r="J124" s="110"/>
      <c r="K124" s="110"/>
      <c r="L124" s="110"/>
      <c r="M124" s="110"/>
      <c r="N124" s="110"/>
      <c r="O124" s="110"/>
      <c r="P124" s="110"/>
      <c r="Q124" s="110"/>
      <c r="R124" s="110"/>
      <c r="S124" s="110"/>
      <c r="T124" s="110"/>
      <c r="U124" s="263"/>
      <c r="V124" s="108">
        <f t="shared" si="6"/>
        <v>0</v>
      </c>
      <c r="W124" s="108">
        <f>AN_TME_BY[[#This Row],[TOTAL Non-Truncated Unadjusted Claims Expenses]]-AN_TME_BY[[#This Row],[Total Claims Excluded because of Truncation]]</f>
        <v>0</v>
      </c>
      <c r="X124" s="108">
        <f t="shared" si="7"/>
        <v>0</v>
      </c>
      <c r="Y124" s="108">
        <f>AN_TME_BY[[#This Row],[TOTAL Non-Truncated Unadjusted Claims Expenses]]+AN_TME_BY[[#This Row],[TOTAL Non-Claims Expenses]]</f>
        <v>0</v>
      </c>
      <c r="Z124" s="108">
        <f>AN_TME_BY[[#This Row],[TOTAL Truncated Unadjusted Claims Expenses (A21 -A19)]]+AN_TME_BY[[#This Row],[TOTAL Non-Claims Expenses]]</f>
        <v>0</v>
      </c>
      <c r="AA124" s="235">
        <f>IFERROR(AN_TME_BY[[#This Row],[TOTAL Non-Truncated Unadjusted Expenses (A21 + A23)]]/AN_TME_BY[[#This Row],[Member Months]],0)</f>
        <v>0</v>
      </c>
      <c r="AB124" s="271">
        <f>IFERROR(AN_TME_BY[[#This Row],[TOTAL Truncated Unadjusted Expenses (A22 + A23)]]/AN_TME_BY[[#This Row],[Member Months]],0)</f>
        <v>0</v>
      </c>
      <c r="AC124" s="237">
        <f>IFERROR(AN_TME_BY[[#This Row],[Total Claims Excluded because of Truncation]]/AN_TME_BY[[#This Row],[Count of Members with Claims Truncated]], 0)</f>
        <v>0</v>
      </c>
      <c r="AD124" s="238">
        <f>IFERROR(AN_TME_BY[[#This Row],[Total Claims Excluded because of Truncation]]/AN_TME_BY[[#This Row],[TOTAL Non-Truncated Unadjusted Claims Expenses]], 0)</f>
        <v>0</v>
      </c>
    </row>
    <row r="125" spans="1:30" x14ac:dyDescent="0.25">
      <c r="A125" s="101"/>
      <c r="B125" s="104"/>
      <c r="C125" s="270"/>
      <c r="D125" s="294"/>
      <c r="E125" s="110"/>
      <c r="F125" s="110"/>
      <c r="G125" s="110"/>
      <c r="H125" s="110"/>
      <c r="I125" s="110"/>
      <c r="J125" s="110"/>
      <c r="K125" s="110"/>
      <c r="L125" s="110"/>
      <c r="M125" s="110"/>
      <c r="N125" s="110"/>
      <c r="O125" s="110"/>
      <c r="P125" s="110"/>
      <c r="Q125" s="110"/>
      <c r="R125" s="110"/>
      <c r="S125" s="110"/>
      <c r="T125" s="110"/>
      <c r="U125" s="263"/>
      <c r="V125" s="108">
        <f t="shared" si="6"/>
        <v>0</v>
      </c>
      <c r="W125" s="108">
        <f>AN_TME_BY[[#This Row],[TOTAL Non-Truncated Unadjusted Claims Expenses]]-AN_TME_BY[[#This Row],[Total Claims Excluded because of Truncation]]</f>
        <v>0</v>
      </c>
      <c r="X125" s="108">
        <f t="shared" si="7"/>
        <v>0</v>
      </c>
      <c r="Y125" s="108">
        <f>AN_TME_BY[[#This Row],[TOTAL Non-Truncated Unadjusted Claims Expenses]]+AN_TME_BY[[#This Row],[TOTAL Non-Claims Expenses]]</f>
        <v>0</v>
      </c>
      <c r="Z125" s="108">
        <f>AN_TME_BY[[#This Row],[TOTAL Truncated Unadjusted Claims Expenses (A21 -A19)]]+AN_TME_BY[[#This Row],[TOTAL Non-Claims Expenses]]</f>
        <v>0</v>
      </c>
      <c r="AA125" s="235">
        <f>IFERROR(AN_TME_BY[[#This Row],[TOTAL Non-Truncated Unadjusted Expenses (A21 + A23)]]/AN_TME_BY[[#This Row],[Member Months]],0)</f>
        <v>0</v>
      </c>
      <c r="AB125" s="271">
        <f>IFERROR(AN_TME_BY[[#This Row],[TOTAL Truncated Unadjusted Expenses (A22 + A23)]]/AN_TME_BY[[#This Row],[Member Months]],0)</f>
        <v>0</v>
      </c>
      <c r="AC125" s="237">
        <f>IFERROR(AN_TME_BY[[#This Row],[Total Claims Excluded because of Truncation]]/AN_TME_BY[[#This Row],[Count of Members with Claims Truncated]], 0)</f>
        <v>0</v>
      </c>
      <c r="AD125" s="238">
        <f>IFERROR(AN_TME_BY[[#This Row],[Total Claims Excluded because of Truncation]]/AN_TME_BY[[#This Row],[TOTAL Non-Truncated Unadjusted Claims Expenses]], 0)</f>
        <v>0</v>
      </c>
    </row>
    <row r="126" spans="1:30" x14ac:dyDescent="0.25">
      <c r="A126" s="101"/>
      <c r="B126" s="104"/>
      <c r="C126" s="267"/>
      <c r="D126" s="294"/>
      <c r="E126" s="110"/>
      <c r="F126" s="110"/>
      <c r="G126" s="110"/>
      <c r="H126" s="110"/>
      <c r="I126" s="110"/>
      <c r="J126" s="110"/>
      <c r="K126" s="110"/>
      <c r="L126" s="110"/>
      <c r="M126" s="110"/>
      <c r="N126" s="110"/>
      <c r="O126" s="110"/>
      <c r="P126" s="110"/>
      <c r="Q126" s="110"/>
      <c r="R126" s="110"/>
      <c r="S126" s="110"/>
      <c r="T126" s="110"/>
      <c r="U126" s="263"/>
      <c r="V126" s="108">
        <f t="shared" si="6"/>
        <v>0</v>
      </c>
      <c r="W126" s="108">
        <f>AN_TME_BY[[#This Row],[TOTAL Non-Truncated Unadjusted Claims Expenses]]-AN_TME_BY[[#This Row],[Total Claims Excluded because of Truncation]]</f>
        <v>0</v>
      </c>
      <c r="X126" s="108">
        <f t="shared" si="7"/>
        <v>0</v>
      </c>
      <c r="Y126" s="108">
        <f>AN_TME_BY[[#This Row],[TOTAL Non-Truncated Unadjusted Claims Expenses]]+AN_TME_BY[[#This Row],[TOTAL Non-Claims Expenses]]</f>
        <v>0</v>
      </c>
      <c r="Z126" s="108">
        <f>AN_TME_BY[[#This Row],[TOTAL Truncated Unadjusted Claims Expenses (A21 -A19)]]+AN_TME_BY[[#This Row],[TOTAL Non-Claims Expenses]]</f>
        <v>0</v>
      </c>
      <c r="AA126" s="235">
        <f>IFERROR(AN_TME_BY[[#This Row],[TOTAL Non-Truncated Unadjusted Expenses (A21 + A23)]]/AN_TME_BY[[#This Row],[Member Months]],0)</f>
        <v>0</v>
      </c>
      <c r="AB126" s="271">
        <f>IFERROR(AN_TME_BY[[#This Row],[TOTAL Truncated Unadjusted Expenses (A22 + A23)]]/AN_TME_BY[[#This Row],[Member Months]],0)</f>
        <v>0</v>
      </c>
      <c r="AC126" s="237">
        <f>IFERROR(AN_TME_BY[[#This Row],[Total Claims Excluded because of Truncation]]/AN_TME_BY[[#This Row],[Count of Members with Claims Truncated]], 0)</f>
        <v>0</v>
      </c>
      <c r="AD126" s="238">
        <f>IFERROR(AN_TME_BY[[#This Row],[Total Claims Excluded because of Truncation]]/AN_TME_BY[[#This Row],[TOTAL Non-Truncated Unadjusted Claims Expenses]], 0)</f>
        <v>0</v>
      </c>
    </row>
    <row r="127" spans="1:30" x14ac:dyDescent="0.25">
      <c r="A127" s="101"/>
      <c r="B127" s="104"/>
      <c r="C127" s="270"/>
      <c r="D127" s="294"/>
      <c r="E127" s="110"/>
      <c r="F127" s="110"/>
      <c r="G127" s="110"/>
      <c r="H127" s="110"/>
      <c r="I127" s="110"/>
      <c r="J127" s="110"/>
      <c r="K127" s="110"/>
      <c r="L127" s="110"/>
      <c r="M127" s="110"/>
      <c r="N127" s="110"/>
      <c r="O127" s="110"/>
      <c r="P127" s="110"/>
      <c r="Q127" s="110"/>
      <c r="R127" s="110"/>
      <c r="S127" s="110"/>
      <c r="T127" s="110"/>
      <c r="U127" s="263"/>
      <c r="V127" s="108">
        <f t="shared" si="6"/>
        <v>0</v>
      </c>
      <c r="W127" s="108">
        <f>AN_TME_BY[[#This Row],[TOTAL Non-Truncated Unadjusted Claims Expenses]]-AN_TME_BY[[#This Row],[Total Claims Excluded because of Truncation]]</f>
        <v>0</v>
      </c>
      <c r="X127" s="108">
        <f t="shared" si="7"/>
        <v>0</v>
      </c>
      <c r="Y127" s="108">
        <f>AN_TME_BY[[#This Row],[TOTAL Non-Truncated Unadjusted Claims Expenses]]+AN_TME_BY[[#This Row],[TOTAL Non-Claims Expenses]]</f>
        <v>0</v>
      </c>
      <c r="Z127" s="108">
        <f>AN_TME_BY[[#This Row],[TOTAL Truncated Unadjusted Claims Expenses (A21 -A19)]]+AN_TME_BY[[#This Row],[TOTAL Non-Claims Expenses]]</f>
        <v>0</v>
      </c>
      <c r="AA127" s="235">
        <f>IFERROR(AN_TME_BY[[#This Row],[TOTAL Non-Truncated Unadjusted Expenses (A21 + A23)]]/AN_TME_BY[[#This Row],[Member Months]],0)</f>
        <v>0</v>
      </c>
      <c r="AB127" s="271">
        <f>IFERROR(AN_TME_BY[[#This Row],[TOTAL Truncated Unadjusted Expenses (A22 + A23)]]/AN_TME_BY[[#This Row],[Member Months]],0)</f>
        <v>0</v>
      </c>
      <c r="AC127" s="237">
        <f>IFERROR(AN_TME_BY[[#This Row],[Total Claims Excluded because of Truncation]]/AN_TME_BY[[#This Row],[Count of Members with Claims Truncated]], 0)</f>
        <v>0</v>
      </c>
      <c r="AD127" s="238">
        <f>IFERROR(AN_TME_BY[[#This Row],[Total Claims Excluded because of Truncation]]/AN_TME_BY[[#This Row],[TOTAL Non-Truncated Unadjusted Claims Expenses]], 0)</f>
        <v>0</v>
      </c>
    </row>
    <row r="128" spans="1:30" x14ac:dyDescent="0.25">
      <c r="A128" s="101"/>
      <c r="B128" s="104"/>
      <c r="C128" s="267"/>
      <c r="D128" s="294"/>
      <c r="E128" s="110"/>
      <c r="F128" s="110"/>
      <c r="G128" s="110"/>
      <c r="H128" s="110"/>
      <c r="I128" s="110"/>
      <c r="J128" s="110"/>
      <c r="K128" s="110"/>
      <c r="L128" s="110"/>
      <c r="M128" s="110"/>
      <c r="N128" s="110"/>
      <c r="O128" s="110"/>
      <c r="P128" s="110"/>
      <c r="Q128" s="110"/>
      <c r="R128" s="110"/>
      <c r="S128" s="110"/>
      <c r="T128" s="110"/>
      <c r="U128" s="263"/>
      <c r="V128" s="108">
        <f t="shared" si="6"/>
        <v>0</v>
      </c>
      <c r="W128" s="108">
        <f>AN_TME_BY[[#This Row],[TOTAL Non-Truncated Unadjusted Claims Expenses]]-AN_TME_BY[[#This Row],[Total Claims Excluded because of Truncation]]</f>
        <v>0</v>
      </c>
      <c r="X128" s="108">
        <f t="shared" si="7"/>
        <v>0</v>
      </c>
      <c r="Y128" s="108">
        <f>AN_TME_BY[[#This Row],[TOTAL Non-Truncated Unadjusted Claims Expenses]]+AN_TME_BY[[#This Row],[TOTAL Non-Claims Expenses]]</f>
        <v>0</v>
      </c>
      <c r="Z128" s="108">
        <f>AN_TME_BY[[#This Row],[TOTAL Truncated Unadjusted Claims Expenses (A21 -A19)]]+AN_TME_BY[[#This Row],[TOTAL Non-Claims Expenses]]</f>
        <v>0</v>
      </c>
      <c r="AA128" s="235">
        <f>IFERROR(AN_TME_BY[[#This Row],[TOTAL Non-Truncated Unadjusted Expenses (A21 + A23)]]/AN_TME_BY[[#This Row],[Member Months]],0)</f>
        <v>0</v>
      </c>
      <c r="AB128" s="271">
        <f>IFERROR(AN_TME_BY[[#This Row],[TOTAL Truncated Unadjusted Expenses (A22 + A23)]]/AN_TME_BY[[#This Row],[Member Months]],0)</f>
        <v>0</v>
      </c>
      <c r="AC128" s="237">
        <f>IFERROR(AN_TME_BY[[#This Row],[Total Claims Excluded because of Truncation]]/AN_TME_BY[[#This Row],[Count of Members with Claims Truncated]], 0)</f>
        <v>0</v>
      </c>
      <c r="AD128" s="238">
        <f>IFERROR(AN_TME_BY[[#This Row],[Total Claims Excluded because of Truncation]]/AN_TME_BY[[#This Row],[TOTAL Non-Truncated Unadjusted Claims Expenses]], 0)</f>
        <v>0</v>
      </c>
    </row>
    <row r="129" spans="1:30" x14ac:dyDescent="0.25">
      <c r="A129" s="101"/>
      <c r="B129" s="104"/>
      <c r="C129" s="270"/>
      <c r="D129" s="294"/>
      <c r="E129" s="110"/>
      <c r="F129" s="110"/>
      <c r="G129" s="110"/>
      <c r="H129" s="110"/>
      <c r="I129" s="110"/>
      <c r="J129" s="110"/>
      <c r="K129" s="110"/>
      <c r="L129" s="110"/>
      <c r="M129" s="110"/>
      <c r="N129" s="110"/>
      <c r="O129" s="110"/>
      <c r="P129" s="110"/>
      <c r="Q129" s="110"/>
      <c r="R129" s="110"/>
      <c r="S129" s="110"/>
      <c r="T129" s="110"/>
      <c r="U129" s="263"/>
      <c r="V129" s="108">
        <f t="shared" si="6"/>
        <v>0</v>
      </c>
      <c r="W129" s="108">
        <f>AN_TME_BY[[#This Row],[TOTAL Non-Truncated Unadjusted Claims Expenses]]-AN_TME_BY[[#This Row],[Total Claims Excluded because of Truncation]]</f>
        <v>0</v>
      </c>
      <c r="X129" s="108">
        <f t="shared" si="7"/>
        <v>0</v>
      </c>
      <c r="Y129" s="108">
        <f>AN_TME_BY[[#This Row],[TOTAL Non-Truncated Unadjusted Claims Expenses]]+AN_TME_BY[[#This Row],[TOTAL Non-Claims Expenses]]</f>
        <v>0</v>
      </c>
      <c r="Z129" s="108">
        <f>AN_TME_BY[[#This Row],[TOTAL Truncated Unadjusted Claims Expenses (A21 -A19)]]+AN_TME_BY[[#This Row],[TOTAL Non-Claims Expenses]]</f>
        <v>0</v>
      </c>
      <c r="AA129" s="235">
        <f>IFERROR(AN_TME_BY[[#This Row],[TOTAL Non-Truncated Unadjusted Expenses (A21 + A23)]]/AN_TME_BY[[#This Row],[Member Months]],0)</f>
        <v>0</v>
      </c>
      <c r="AB129" s="271">
        <f>IFERROR(AN_TME_BY[[#This Row],[TOTAL Truncated Unadjusted Expenses (A22 + A23)]]/AN_TME_BY[[#This Row],[Member Months]],0)</f>
        <v>0</v>
      </c>
      <c r="AC129" s="237">
        <f>IFERROR(AN_TME_BY[[#This Row],[Total Claims Excluded because of Truncation]]/AN_TME_BY[[#This Row],[Count of Members with Claims Truncated]], 0)</f>
        <v>0</v>
      </c>
      <c r="AD129" s="238">
        <f>IFERROR(AN_TME_BY[[#This Row],[Total Claims Excluded because of Truncation]]/AN_TME_BY[[#This Row],[TOTAL Non-Truncated Unadjusted Claims Expenses]], 0)</f>
        <v>0</v>
      </c>
    </row>
    <row r="130" spans="1:30" x14ac:dyDescent="0.25">
      <c r="A130" s="101"/>
      <c r="B130" s="104"/>
      <c r="C130" s="267"/>
      <c r="D130" s="294"/>
      <c r="E130" s="110"/>
      <c r="F130" s="110"/>
      <c r="G130" s="110"/>
      <c r="H130" s="110"/>
      <c r="I130" s="110"/>
      <c r="J130" s="110"/>
      <c r="K130" s="110"/>
      <c r="L130" s="110"/>
      <c r="M130" s="110"/>
      <c r="N130" s="110"/>
      <c r="O130" s="110"/>
      <c r="P130" s="110"/>
      <c r="Q130" s="110"/>
      <c r="R130" s="110"/>
      <c r="S130" s="110"/>
      <c r="T130" s="110"/>
      <c r="U130" s="263"/>
      <c r="V130" s="108">
        <f t="shared" si="6"/>
        <v>0</v>
      </c>
      <c r="W130" s="108">
        <f>AN_TME_BY[[#This Row],[TOTAL Non-Truncated Unadjusted Claims Expenses]]-AN_TME_BY[[#This Row],[Total Claims Excluded because of Truncation]]</f>
        <v>0</v>
      </c>
      <c r="X130" s="108">
        <f t="shared" si="7"/>
        <v>0</v>
      </c>
      <c r="Y130" s="108">
        <f>AN_TME_BY[[#This Row],[TOTAL Non-Truncated Unadjusted Claims Expenses]]+AN_TME_BY[[#This Row],[TOTAL Non-Claims Expenses]]</f>
        <v>0</v>
      </c>
      <c r="Z130" s="108">
        <f>AN_TME_BY[[#This Row],[TOTAL Truncated Unadjusted Claims Expenses (A21 -A19)]]+AN_TME_BY[[#This Row],[TOTAL Non-Claims Expenses]]</f>
        <v>0</v>
      </c>
      <c r="AA130" s="235">
        <f>IFERROR(AN_TME_BY[[#This Row],[TOTAL Non-Truncated Unadjusted Expenses (A21 + A23)]]/AN_TME_BY[[#This Row],[Member Months]],0)</f>
        <v>0</v>
      </c>
      <c r="AB130" s="271">
        <f>IFERROR(AN_TME_BY[[#This Row],[TOTAL Truncated Unadjusted Expenses (A22 + A23)]]/AN_TME_BY[[#This Row],[Member Months]],0)</f>
        <v>0</v>
      </c>
      <c r="AC130" s="237">
        <f>IFERROR(AN_TME_BY[[#This Row],[Total Claims Excluded because of Truncation]]/AN_TME_BY[[#This Row],[Count of Members with Claims Truncated]], 0)</f>
        <v>0</v>
      </c>
      <c r="AD130" s="238">
        <f>IFERROR(AN_TME_BY[[#This Row],[Total Claims Excluded because of Truncation]]/AN_TME_BY[[#This Row],[TOTAL Non-Truncated Unadjusted Claims Expenses]], 0)</f>
        <v>0</v>
      </c>
    </row>
    <row r="131" spans="1:30" x14ac:dyDescent="0.25">
      <c r="A131" s="101"/>
      <c r="B131" s="104"/>
      <c r="C131" s="270"/>
      <c r="D131" s="294"/>
      <c r="E131" s="110"/>
      <c r="F131" s="110"/>
      <c r="G131" s="110"/>
      <c r="H131" s="110"/>
      <c r="I131" s="110"/>
      <c r="J131" s="110"/>
      <c r="K131" s="110"/>
      <c r="L131" s="110"/>
      <c r="M131" s="110"/>
      <c r="N131" s="110"/>
      <c r="O131" s="110"/>
      <c r="P131" s="110"/>
      <c r="Q131" s="110"/>
      <c r="R131" s="110"/>
      <c r="S131" s="110"/>
      <c r="T131" s="110"/>
      <c r="U131" s="263"/>
      <c r="V131" s="108">
        <f t="shared" si="6"/>
        <v>0</v>
      </c>
      <c r="W131" s="108">
        <f>AN_TME_BY[[#This Row],[TOTAL Non-Truncated Unadjusted Claims Expenses]]-AN_TME_BY[[#This Row],[Total Claims Excluded because of Truncation]]</f>
        <v>0</v>
      </c>
      <c r="X131" s="108">
        <f t="shared" si="7"/>
        <v>0</v>
      </c>
      <c r="Y131" s="108">
        <f>AN_TME_BY[[#This Row],[TOTAL Non-Truncated Unadjusted Claims Expenses]]+AN_TME_BY[[#This Row],[TOTAL Non-Claims Expenses]]</f>
        <v>0</v>
      </c>
      <c r="Z131" s="108">
        <f>AN_TME_BY[[#This Row],[TOTAL Truncated Unadjusted Claims Expenses (A21 -A19)]]+AN_TME_BY[[#This Row],[TOTAL Non-Claims Expenses]]</f>
        <v>0</v>
      </c>
      <c r="AA131" s="235">
        <f>IFERROR(AN_TME_BY[[#This Row],[TOTAL Non-Truncated Unadjusted Expenses (A21 + A23)]]/AN_TME_BY[[#This Row],[Member Months]],0)</f>
        <v>0</v>
      </c>
      <c r="AB131" s="271">
        <f>IFERROR(AN_TME_BY[[#This Row],[TOTAL Truncated Unadjusted Expenses (A22 + A23)]]/AN_TME_BY[[#This Row],[Member Months]],0)</f>
        <v>0</v>
      </c>
      <c r="AC131" s="237">
        <f>IFERROR(AN_TME_BY[[#This Row],[Total Claims Excluded because of Truncation]]/AN_TME_BY[[#This Row],[Count of Members with Claims Truncated]], 0)</f>
        <v>0</v>
      </c>
      <c r="AD131" s="238">
        <f>IFERROR(AN_TME_BY[[#This Row],[Total Claims Excluded because of Truncation]]/AN_TME_BY[[#This Row],[TOTAL Non-Truncated Unadjusted Claims Expenses]], 0)</f>
        <v>0</v>
      </c>
    </row>
    <row r="132" spans="1:30" x14ac:dyDescent="0.25">
      <c r="A132" s="101"/>
      <c r="B132" s="104"/>
      <c r="C132" s="267"/>
      <c r="D132" s="294"/>
      <c r="E132" s="110"/>
      <c r="F132" s="110"/>
      <c r="G132" s="110"/>
      <c r="H132" s="110"/>
      <c r="I132" s="110"/>
      <c r="J132" s="110"/>
      <c r="K132" s="110"/>
      <c r="L132" s="110"/>
      <c r="M132" s="110"/>
      <c r="N132" s="110"/>
      <c r="O132" s="110"/>
      <c r="P132" s="110"/>
      <c r="Q132" s="110"/>
      <c r="R132" s="110"/>
      <c r="S132" s="110"/>
      <c r="T132" s="110"/>
      <c r="U132" s="263"/>
      <c r="V132" s="108">
        <f t="shared" si="6"/>
        <v>0</v>
      </c>
      <c r="W132" s="108">
        <f>AN_TME_BY[[#This Row],[TOTAL Non-Truncated Unadjusted Claims Expenses]]-AN_TME_BY[[#This Row],[Total Claims Excluded because of Truncation]]</f>
        <v>0</v>
      </c>
      <c r="X132" s="108">
        <f t="shared" si="7"/>
        <v>0</v>
      </c>
      <c r="Y132" s="108">
        <f>AN_TME_BY[[#This Row],[TOTAL Non-Truncated Unadjusted Claims Expenses]]+AN_TME_BY[[#This Row],[TOTAL Non-Claims Expenses]]</f>
        <v>0</v>
      </c>
      <c r="Z132" s="108">
        <f>AN_TME_BY[[#This Row],[TOTAL Truncated Unadjusted Claims Expenses (A21 -A19)]]+AN_TME_BY[[#This Row],[TOTAL Non-Claims Expenses]]</f>
        <v>0</v>
      </c>
      <c r="AA132" s="235">
        <f>IFERROR(AN_TME_BY[[#This Row],[TOTAL Non-Truncated Unadjusted Expenses (A21 + A23)]]/AN_TME_BY[[#This Row],[Member Months]],0)</f>
        <v>0</v>
      </c>
      <c r="AB132" s="271">
        <f>IFERROR(AN_TME_BY[[#This Row],[TOTAL Truncated Unadjusted Expenses (A22 + A23)]]/AN_TME_BY[[#This Row],[Member Months]],0)</f>
        <v>0</v>
      </c>
      <c r="AC132" s="237">
        <f>IFERROR(AN_TME_BY[[#This Row],[Total Claims Excluded because of Truncation]]/AN_TME_BY[[#This Row],[Count of Members with Claims Truncated]], 0)</f>
        <v>0</v>
      </c>
      <c r="AD132" s="238">
        <f>IFERROR(AN_TME_BY[[#This Row],[Total Claims Excluded because of Truncation]]/AN_TME_BY[[#This Row],[TOTAL Non-Truncated Unadjusted Claims Expenses]], 0)</f>
        <v>0</v>
      </c>
    </row>
    <row r="133" spans="1:30" x14ac:dyDescent="0.25">
      <c r="A133" s="101"/>
      <c r="B133" s="104"/>
      <c r="C133" s="270"/>
      <c r="D133" s="294"/>
      <c r="E133" s="110"/>
      <c r="F133" s="110"/>
      <c r="G133" s="110"/>
      <c r="H133" s="110"/>
      <c r="I133" s="110"/>
      <c r="J133" s="110"/>
      <c r="K133" s="110"/>
      <c r="L133" s="110"/>
      <c r="M133" s="110"/>
      <c r="N133" s="110"/>
      <c r="O133" s="110"/>
      <c r="P133" s="110"/>
      <c r="Q133" s="110"/>
      <c r="R133" s="110"/>
      <c r="S133" s="110"/>
      <c r="T133" s="110"/>
      <c r="U133" s="263"/>
      <c r="V133" s="108">
        <f t="shared" si="6"/>
        <v>0</v>
      </c>
      <c r="W133" s="108">
        <f>AN_TME_BY[[#This Row],[TOTAL Non-Truncated Unadjusted Claims Expenses]]-AN_TME_BY[[#This Row],[Total Claims Excluded because of Truncation]]</f>
        <v>0</v>
      </c>
      <c r="X133" s="108">
        <f t="shared" si="7"/>
        <v>0</v>
      </c>
      <c r="Y133" s="108">
        <f>AN_TME_BY[[#This Row],[TOTAL Non-Truncated Unadjusted Claims Expenses]]+AN_TME_BY[[#This Row],[TOTAL Non-Claims Expenses]]</f>
        <v>0</v>
      </c>
      <c r="Z133" s="108">
        <f>AN_TME_BY[[#This Row],[TOTAL Truncated Unadjusted Claims Expenses (A21 -A19)]]+AN_TME_BY[[#This Row],[TOTAL Non-Claims Expenses]]</f>
        <v>0</v>
      </c>
      <c r="AA133" s="235">
        <f>IFERROR(AN_TME_BY[[#This Row],[TOTAL Non-Truncated Unadjusted Expenses (A21 + A23)]]/AN_TME_BY[[#This Row],[Member Months]],0)</f>
        <v>0</v>
      </c>
      <c r="AB133" s="271">
        <f>IFERROR(AN_TME_BY[[#This Row],[TOTAL Truncated Unadjusted Expenses (A22 + A23)]]/AN_TME_BY[[#This Row],[Member Months]],0)</f>
        <v>0</v>
      </c>
      <c r="AC133" s="237">
        <f>IFERROR(AN_TME_BY[[#This Row],[Total Claims Excluded because of Truncation]]/AN_TME_BY[[#This Row],[Count of Members with Claims Truncated]], 0)</f>
        <v>0</v>
      </c>
      <c r="AD133" s="238">
        <f>IFERROR(AN_TME_BY[[#This Row],[Total Claims Excluded because of Truncation]]/AN_TME_BY[[#This Row],[TOTAL Non-Truncated Unadjusted Claims Expenses]], 0)</f>
        <v>0</v>
      </c>
    </row>
    <row r="134" spans="1:30" x14ac:dyDescent="0.25">
      <c r="A134" s="101"/>
      <c r="B134" s="104"/>
      <c r="C134" s="267"/>
      <c r="D134" s="294"/>
      <c r="E134" s="110"/>
      <c r="F134" s="110"/>
      <c r="G134" s="110"/>
      <c r="H134" s="110"/>
      <c r="I134" s="110"/>
      <c r="J134" s="110"/>
      <c r="K134" s="110"/>
      <c r="L134" s="110"/>
      <c r="M134" s="110"/>
      <c r="N134" s="110"/>
      <c r="O134" s="110"/>
      <c r="P134" s="110"/>
      <c r="Q134" s="110"/>
      <c r="R134" s="110"/>
      <c r="S134" s="110"/>
      <c r="T134" s="110"/>
      <c r="U134" s="263"/>
      <c r="V134" s="108">
        <f t="shared" si="6"/>
        <v>0</v>
      </c>
      <c r="W134" s="108">
        <f>AN_TME_BY[[#This Row],[TOTAL Non-Truncated Unadjusted Claims Expenses]]-AN_TME_BY[[#This Row],[Total Claims Excluded because of Truncation]]</f>
        <v>0</v>
      </c>
      <c r="X134" s="108">
        <f t="shared" si="7"/>
        <v>0</v>
      </c>
      <c r="Y134" s="108">
        <f>AN_TME_BY[[#This Row],[TOTAL Non-Truncated Unadjusted Claims Expenses]]+AN_TME_BY[[#This Row],[TOTAL Non-Claims Expenses]]</f>
        <v>0</v>
      </c>
      <c r="Z134" s="108">
        <f>AN_TME_BY[[#This Row],[TOTAL Truncated Unadjusted Claims Expenses (A21 -A19)]]+AN_TME_BY[[#This Row],[TOTAL Non-Claims Expenses]]</f>
        <v>0</v>
      </c>
      <c r="AA134" s="235">
        <f>IFERROR(AN_TME_BY[[#This Row],[TOTAL Non-Truncated Unadjusted Expenses (A21 + A23)]]/AN_TME_BY[[#This Row],[Member Months]],0)</f>
        <v>0</v>
      </c>
      <c r="AB134" s="271">
        <f>IFERROR(AN_TME_BY[[#This Row],[TOTAL Truncated Unadjusted Expenses (A22 + A23)]]/AN_TME_BY[[#This Row],[Member Months]],0)</f>
        <v>0</v>
      </c>
      <c r="AC134" s="237">
        <f>IFERROR(AN_TME_BY[[#This Row],[Total Claims Excluded because of Truncation]]/AN_TME_BY[[#This Row],[Count of Members with Claims Truncated]], 0)</f>
        <v>0</v>
      </c>
      <c r="AD134" s="238">
        <f>IFERROR(AN_TME_BY[[#This Row],[Total Claims Excluded because of Truncation]]/AN_TME_BY[[#This Row],[TOTAL Non-Truncated Unadjusted Claims Expenses]], 0)</f>
        <v>0</v>
      </c>
    </row>
    <row r="135" spans="1:30" x14ac:dyDescent="0.25">
      <c r="A135" s="101"/>
      <c r="B135" s="104"/>
      <c r="C135" s="270"/>
      <c r="D135" s="294"/>
      <c r="E135" s="110"/>
      <c r="F135" s="110"/>
      <c r="G135" s="110"/>
      <c r="H135" s="110"/>
      <c r="I135" s="110"/>
      <c r="J135" s="110"/>
      <c r="K135" s="110"/>
      <c r="L135" s="110"/>
      <c r="M135" s="110"/>
      <c r="N135" s="110"/>
      <c r="O135" s="110"/>
      <c r="P135" s="110"/>
      <c r="Q135" s="110"/>
      <c r="R135" s="110"/>
      <c r="S135" s="110"/>
      <c r="T135" s="110"/>
      <c r="U135" s="263"/>
      <c r="V135" s="108">
        <f t="shared" si="6"/>
        <v>0</v>
      </c>
      <c r="W135" s="108">
        <f>AN_TME_BY[[#This Row],[TOTAL Non-Truncated Unadjusted Claims Expenses]]-AN_TME_BY[[#This Row],[Total Claims Excluded because of Truncation]]</f>
        <v>0</v>
      </c>
      <c r="X135" s="108">
        <f t="shared" si="7"/>
        <v>0</v>
      </c>
      <c r="Y135" s="108">
        <f>AN_TME_BY[[#This Row],[TOTAL Non-Truncated Unadjusted Claims Expenses]]+AN_TME_BY[[#This Row],[TOTAL Non-Claims Expenses]]</f>
        <v>0</v>
      </c>
      <c r="Z135" s="108">
        <f>AN_TME_BY[[#This Row],[TOTAL Truncated Unadjusted Claims Expenses (A21 -A19)]]+AN_TME_BY[[#This Row],[TOTAL Non-Claims Expenses]]</f>
        <v>0</v>
      </c>
      <c r="AA135" s="235">
        <f>IFERROR(AN_TME_BY[[#This Row],[TOTAL Non-Truncated Unadjusted Expenses (A21 + A23)]]/AN_TME_BY[[#This Row],[Member Months]],0)</f>
        <v>0</v>
      </c>
      <c r="AB135" s="271">
        <f>IFERROR(AN_TME_BY[[#This Row],[TOTAL Truncated Unadjusted Expenses (A22 + A23)]]/AN_TME_BY[[#This Row],[Member Months]],0)</f>
        <v>0</v>
      </c>
      <c r="AC135" s="237">
        <f>IFERROR(AN_TME_BY[[#This Row],[Total Claims Excluded because of Truncation]]/AN_TME_BY[[#This Row],[Count of Members with Claims Truncated]], 0)</f>
        <v>0</v>
      </c>
      <c r="AD135" s="238">
        <f>IFERROR(AN_TME_BY[[#This Row],[Total Claims Excluded because of Truncation]]/AN_TME_BY[[#This Row],[TOTAL Non-Truncated Unadjusted Claims Expenses]], 0)</f>
        <v>0</v>
      </c>
    </row>
    <row r="136" spans="1:30" x14ac:dyDescent="0.25">
      <c r="A136" s="101"/>
      <c r="B136" s="104"/>
      <c r="C136" s="267"/>
      <c r="D136" s="294"/>
      <c r="E136" s="110"/>
      <c r="F136" s="110"/>
      <c r="G136" s="110"/>
      <c r="H136" s="110"/>
      <c r="I136" s="110"/>
      <c r="J136" s="110"/>
      <c r="K136" s="110"/>
      <c r="L136" s="110"/>
      <c r="M136" s="110"/>
      <c r="N136" s="110"/>
      <c r="O136" s="110"/>
      <c r="P136" s="110"/>
      <c r="Q136" s="110"/>
      <c r="R136" s="110"/>
      <c r="S136" s="110"/>
      <c r="T136" s="110"/>
      <c r="U136" s="263"/>
      <c r="V136" s="108">
        <f t="shared" si="6"/>
        <v>0</v>
      </c>
      <c r="W136" s="108">
        <f>AN_TME_BY[[#This Row],[TOTAL Non-Truncated Unadjusted Claims Expenses]]-AN_TME_BY[[#This Row],[Total Claims Excluded because of Truncation]]</f>
        <v>0</v>
      </c>
      <c r="X136" s="108">
        <f t="shared" si="7"/>
        <v>0</v>
      </c>
      <c r="Y136" s="108">
        <f>AN_TME_BY[[#This Row],[TOTAL Non-Truncated Unadjusted Claims Expenses]]+AN_TME_BY[[#This Row],[TOTAL Non-Claims Expenses]]</f>
        <v>0</v>
      </c>
      <c r="Z136" s="108">
        <f>AN_TME_BY[[#This Row],[TOTAL Truncated Unadjusted Claims Expenses (A21 -A19)]]+AN_TME_BY[[#This Row],[TOTAL Non-Claims Expenses]]</f>
        <v>0</v>
      </c>
      <c r="AA136" s="235">
        <f>IFERROR(AN_TME_BY[[#This Row],[TOTAL Non-Truncated Unadjusted Expenses (A21 + A23)]]/AN_TME_BY[[#This Row],[Member Months]],0)</f>
        <v>0</v>
      </c>
      <c r="AB136" s="271">
        <f>IFERROR(AN_TME_BY[[#This Row],[TOTAL Truncated Unadjusted Expenses (A22 + A23)]]/AN_TME_BY[[#This Row],[Member Months]],0)</f>
        <v>0</v>
      </c>
      <c r="AC136" s="237">
        <f>IFERROR(AN_TME_BY[[#This Row],[Total Claims Excluded because of Truncation]]/AN_TME_BY[[#This Row],[Count of Members with Claims Truncated]], 0)</f>
        <v>0</v>
      </c>
      <c r="AD136" s="238">
        <f>IFERROR(AN_TME_BY[[#This Row],[Total Claims Excluded because of Truncation]]/AN_TME_BY[[#This Row],[TOTAL Non-Truncated Unadjusted Claims Expenses]], 0)</f>
        <v>0</v>
      </c>
    </row>
    <row r="137" spans="1:30" x14ac:dyDescent="0.25">
      <c r="A137" s="101"/>
      <c r="B137" s="104"/>
      <c r="C137" s="270"/>
      <c r="D137" s="294"/>
      <c r="E137" s="110"/>
      <c r="F137" s="110"/>
      <c r="G137" s="110"/>
      <c r="H137" s="110"/>
      <c r="I137" s="110"/>
      <c r="J137" s="110"/>
      <c r="K137" s="110"/>
      <c r="L137" s="110"/>
      <c r="M137" s="110"/>
      <c r="N137" s="110"/>
      <c r="O137" s="110"/>
      <c r="P137" s="110"/>
      <c r="Q137" s="110"/>
      <c r="R137" s="110"/>
      <c r="S137" s="110"/>
      <c r="T137" s="110"/>
      <c r="U137" s="263"/>
      <c r="V137" s="108">
        <f t="shared" si="6"/>
        <v>0</v>
      </c>
      <c r="W137" s="108">
        <f>AN_TME_BY[[#This Row],[TOTAL Non-Truncated Unadjusted Claims Expenses]]-AN_TME_BY[[#This Row],[Total Claims Excluded because of Truncation]]</f>
        <v>0</v>
      </c>
      <c r="X137" s="108">
        <f t="shared" si="7"/>
        <v>0</v>
      </c>
      <c r="Y137" s="108">
        <f>AN_TME_BY[[#This Row],[TOTAL Non-Truncated Unadjusted Claims Expenses]]+AN_TME_BY[[#This Row],[TOTAL Non-Claims Expenses]]</f>
        <v>0</v>
      </c>
      <c r="Z137" s="108">
        <f>AN_TME_BY[[#This Row],[TOTAL Truncated Unadjusted Claims Expenses (A21 -A19)]]+AN_TME_BY[[#This Row],[TOTAL Non-Claims Expenses]]</f>
        <v>0</v>
      </c>
      <c r="AA137" s="235">
        <f>IFERROR(AN_TME_BY[[#This Row],[TOTAL Non-Truncated Unadjusted Expenses (A21 + A23)]]/AN_TME_BY[[#This Row],[Member Months]],0)</f>
        <v>0</v>
      </c>
      <c r="AB137" s="271">
        <f>IFERROR(AN_TME_BY[[#This Row],[TOTAL Truncated Unadjusted Expenses (A22 + A23)]]/AN_TME_BY[[#This Row],[Member Months]],0)</f>
        <v>0</v>
      </c>
      <c r="AC137" s="237">
        <f>IFERROR(AN_TME_BY[[#This Row],[Total Claims Excluded because of Truncation]]/AN_TME_BY[[#This Row],[Count of Members with Claims Truncated]], 0)</f>
        <v>0</v>
      </c>
      <c r="AD137" s="238">
        <f>IFERROR(AN_TME_BY[[#This Row],[Total Claims Excluded because of Truncation]]/AN_TME_BY[[#This Row],[TOTAL Non-Truncated Unadjusted Claims Expenses]], 0)</f>
        <v>0</v>
      </c>
    </row>
    <row r="138" spans="1:30" x14ac:dyDescent="0.25">
      <c r="A138" s="101"/>
      <c r="B138" s="104"/>
      <c r="C138" s="267"/>
      <c r="D138" s="294"/>
      <c r="E138" s="110"/>
      <c r="F138" s="110"/>
      <c r="G138" s="110"/>
      <c r="H138" s="110"/>
      <c r="I138" s="110"/>
      <c r="J138" s="110"/>
      <c r="K138" s="110"/>
      <c r="L138" s="110"/>
      <c r="M138" s="110"/>
      <c r="N138" s="110"/>
      <c r="O138" s="110"/>
      <c r="P138" s="110"/>
      <c r="Q138" s="110"/>
      <c r="R138" s="110"/>
      <c r="S138" s="110"/>
      <c r="T138" s="110"/>
      <c r="U138" s="263"/>
      <c r="V138" s="108">
        <f t="shared" si="6"/>
        <v>0</v>
      </c>
      <c r="W138" s="108">
        <f>AN_TME_BY[[#This Row],[TOTAL Non-Truncated Unadjusted Claims Expenses]]-AN_TME_BY[[#This Row],[Total Claims Excluded because of Truncation]]</f>
        <v>0</v>
      </c>
      <c r="X138" s="108">
        <f t="shared" si="7"/>
        <v>0</v>
      </c>
      <c r="Y138" s="108">
        <f>AN_TME_BY[[#This Row],[TOTAL Non-Truncated Unadjusted Claims Expenses]]+AN_TME_BY[[#This Row],[TOTAL Non-Claims Expenses]]</f>
        <v>0</v>
      </c>
      <c r="Z138" s="108">
        <f>AN_TME_BY[[#This Row],[TOTAL Truncated Unadjusted Claims Expenses (A21 -A19)]]+AN_TME_BY[[#This Row],[TOTAL Non-Claims Expenses]]</f>
        <v>0</v>
      </c>
      <c r="AA138" s="235">
        <f>IFERROR(AN_TME_BY[[#This Row],[TOTAL Non-Truncated Unadjusted Expenses (A21 + A23)]]/AN_TME_BY[[#This Row],[Member Months]],0)</f>
        <v>0</v>
      </c>
      <c r="AB138" s="271">
        <f>IFERROR(AN_TME_BY[[#This Row],[TOTAL Truncated Unadjusted Expenses (A22 + A23)]]/AN_TME_BY[[#This Row],[Member Months]],0)</f>
        <v>0</v>
      </c>
      <c r="AC138" s="237">
        <f>IFERROR(AN_TME_BY[[#This Row],[Total Claims Excluded because of Truncation]]/AN_TME_BY[[#This Row],[Count of Members with Claims Truncated]], 0)</f>
        <v>0</v>
      </c>
      <c r="AD138" s="238">
        <f>IFERROR(AN_TME_BY[[#This Row],[Total Claims Excluded because of Truncation]]/AN_TME_BY[[#This Row],[TOTAL Non-Truncated Unadjusted Claims Expenses]], 0)</f>
        <v>0</v>
      </c>
    </row>
    <row r="139" spans="1:30" x14ac:dyDescent="0.25">
      <c r="A139" s="101"/>
      <c r="B139" s="104"/>
      <c r="C139" s="270"/>
      <c r="D139" s="294"/>
      <c r="E139" s="110"/>
      <c r="F139" s="110"/>
      <c r="G139" s="110"/>
      <c r="H139" s="110"/>
      <c r="I139" s="110"/>
      <c r="J139" s="110"/>
      <c r="K139" s="110"/>
      <c r="L139" s="110"/>
      <c r="M139" s="110"/>
      <c r="N139" s="110"/>
      <c r="O139" s="110"/>
      <c r="P139" s="110"/>
      <c r="Q139" s="110"/>
      <c r="R139" s="110"/>
      <c r="S139" s="110"/>
      <c r="T139" s="110"/>
      <c r="U139" s="263"/>
      <c r="V139" s="108">
        <f t="shared" ref="V139:V170" si="8">SUM(E139:G139)+SUM(I139:M139)</f>
        <v>0</v>
      </c>
      <c r="W139" s="108">
        <f>AN_TME_BY[[#This Row],[TOTAL Non-Truncated Unadjusted Claims Expenses]]-AN_TME_BY[[#This Row],[Total Claims Excluded because of Truncation]]</f>
        <v>0</v>
      </c>
      <c r="X139" s="108">
        <f t="shared" ref="X139:X170" si="9">SUM(N139:R139)</f>
        <v>0</v>
      </c>
      <c r="Y139" s="108">
        <f>AN_TME_BY[[#This Row],[TOTAL Non-Truncated Unadjusted Claims Expenses]]+AN_TME_BY[[#This Row],[TOTAL Non-Claims Expenses]]</f>
        <v>0</v>
      </c>
      <c r="Z139" s="108">
        <f>AN_TME_BY[[#This Row],[TOTAL Truncated Unadjusted Claims Expenses (A21 -A19)]]+AN_TME_BY[[#This Row],[TOTAL Non-Claims Expenses]]</f>
        <v>0</v>
      </c>
      <c r="AA139" s="235">
        <f>IFERROR(AN_TME_BY[[#This Row],[TOTAL Non-Truncated Unadjusted Expenses (A21 + A23)]]/AN_TME_BY[[#This Row],[Member Months]],0)</f>
        <v>0</v>
      </c>
      <c r="AB139" s="271">
        <f>IFERROR(AN_TME_BY[[#This Row],[TOTAL Truncated Unadjusted Expenses (A22 + A23)]]/AN_TME_BY[[#This Row],[Member Months]],0)</f>
        <v>0</v>
      </c>
      <c r="AC139" s="237">
        <f>IFERROR(AN_TME_BY[[#This Row],[Total Claims Excluded because of Truncation]]/AN_TME_BY[[#This Row],[Count of Members with Claims Truncated]], 0)</f>
        <v>0</v>
      </c>
      <c r="AD139" s="238">
        <f>IFERROR(AN_TME_BY[[#This Row],[Total Claims Excluded because of Truncation]]/AN_TME_BY[[#This Row],[TOTAL Non-Truncated Unadjusted Claims Expenses]], 0)</f>
        <v>0</v>
      </c>
    </row>
    <row r="140" spans="1:30" x14ac:dyDescent="0.25">
      <c r="A140" s="101"/>
      <c r="B140" s="104"/>
      <c r="C140" s="267"/>
      <c r="D140" s="294"/>
      <c r="E140" s="110"/>
      <c r="F140" s="110"/>
      <c r="G140" s="110"/>
      <c r="H140" s="110"/>
      <c r="I140" s="110"/>
      <c r="J140" s="110"/>
      <c r="K140" s="110"/>
      <c r="L140" s="110"/>
      <c r="M140" s="110"/>
      <c r="N140" s="110"/>
      <c r="O140" s="110"/>
      <c r="P140" s="110"/>
      <c r="Q140" s="110"/>
      <c r="R140" s="110"/>
      <c r="S140" s="110"/>
      <c r="T140" s="110"/>
      <c r="U140" s="263"/>
      <c r="V140" s="108">
        <f t="shared" si="8"/>
        <v>0</v>
      </c>
      <c r="W140" s="108">
        <f>AN_TME_BY[[#This Row],[TOTAL Non-Truncated Unadjusted Claims Expenses]]-AN_TME_BY[[#This Row],[Total Claims Excluded because of Truncation]]</f>
        <v>0</v>
      </c>
      <c r="X140" s="108">
        <f t="shared" si="9"/>
        <v>0</v>
      </c>
      <c r="Y140" s="108">
        <f>AN_TME_BY[[#This Row],[TOTAL Non-Truncated Unadjusted Claims Expenses]]+AN_TME_BY[[#This Row],[TOTAL Non-Claims Expenses]]</f>
        <v>0</v>
      </c>
      <c r="Z140" s="108">
        <f>AN_TME_BY[[#This Row],[TOTAL Truncated Unadjusted Claims Expenses (A21 -A19)]]+AN_TME_BY[[#This Row],[TOTAL Non-Claims Expenses]]</f>
        <v>0</v>
      </c>
      <c r="AA140" s="235">
        <f>IFERROR(AN_TME_BY[[#This Row],[TOTAL Non-Truncated Unadjusted Expenses (A21 + A23)]]/AN_TME_BY[[#This Row],[Member Months]],0)</f>
        <v>0</v>
      </c>
      <c r="AB140" s="271">
        <f>IFERROR(AN_TME_BY[[#This Row],[TOTAL Truncated Unadjusted Expenses (A22 + A23)]]/AN_TME_BY[[#This Row],[Member Months]],0)</f>
        <v>0</v>
      </c>
      <c r="AC140" s="237">
        <f>IFERROR(AN_TME_BY[[#This Row],[Total Claims Excluded because of Truncation]]/AN_TME_BY[[#This Row],[Count of Members with Claims Truncated]], 0)</f>
        <v>0</v>
      </c>
      <c r="AD140" s="238">
        <f>IFERROR(AN_TME_BY[[#This Row],[Total Claims Excluded because of Truncation]]/AN_TME_BY[[#This Row],[TOTAL Non-Truncated Unadjusted Claims Expenses]], 0)</f>
        <v>0</v>
      </c>
    </row>
    <row r="141" spans="1:30" x14ac:dyDescent="0.25">
      <c r="A141" s="101"/>
      <c r="B141" s="104"/>
      <c r="C141" s="270"/>
      <c r="D141" s="294"/>
      <c r="E141" s="110"/>
      <c r="F141" s="110"/>
      <c r="G141" s="110"/>
      <c r="H141" s="110"/>
      <c r="I141" s="110"/>
      <c r="J141" s="110"/>
      <c r="K141" s="110"/>
      <c r="L141" s="110"/>
      <c r="M141" s="110"/>
      <c r="N141" s="110"/>
      <c r="O141" s="110"/>
      <c r="P141" s="110"/>
      <c r="Q141" s="110"/>
      <c r="R141" s="110"/>
      <c r="S141" s="110"/>
      <c r="T141" s="110"/>
      <c r="U141" s="263"/>
      <c r="V141" s="108">
        <f t="shared" si="8"/>
        <v>0</v>
      </c>
      <c r="W141" s="108">
        <f>AN_TME_BY[[#This Row],[TOTAL Non-Truncated Unadjusted Claims Expenses]]-AN_TME_BY[[#This Row],[Total Claims Excluded because of Truncation]]</f>
        <v>0</v>
      </c>
      <c r="X141" s="108">
        <f t="shared" si="9"/>
        <v>0</v>
      </c>
      <c r="Y141" s="108">
        <f>AN_TME_BY[[#This Row],[TOTAL Non-Truncated Unadjusted Claims Expenses]]+AN_TME_BY[[#This Row],[TOTAL Non-Claims Expenses]]</f>
        <v>0</v>
      </c>
      <c r="Z141" s="108">
        <f>AN_TME_BY[[#This Row],[TOTAL Truncated Unadjusted Claims Expenses (A21 -A19)]]+AN_TME_BY[[#This Row],[TOTAL Non-Claims Expenses]]</f>
        <v>0</v>
      </c>
      <c r="AA141" s="235">
        <f>IFERROR(AN_TME_BY[[#This Row],[TOTAL Non-Truncated Unadjusted Expenses (A21 + A23)]]/AN_TME_BY[[#This Row],[Member Months]],0)</f>
        <v>0</v>
      </c>
      <c r="AB141" s="271">
        <f>IFERROR(AN_TME_BY[[#This Row],[TOTAL Truncated Unadjusted Expenses (A22 + A23)]]/AN_TME_BY[[#This Row],[Member Months]],0)</f>
        <v>0</v>
      </c>
      <c r="AC141" s="237">
        <f>IFERROR(AN_TME_BY[[#This Row],[Total Claims Excluded because of Truncation]]/AN_TME_BY[[#This Row],[Count of Members with Claims Truncated]], 0)</f>
        <v>0</v>
      </c>
      <c r="AD141" s="238">
        <f>IFERROR(AN_TME_BY[[#This Row],[Total Claims Excluded because of Truncation]]/AN_TME_BY[[#This Row],[TOTAL Non-Truncated Unadjusted Claims Expenses]], 0)</f>
        <v>0</v>
      </c>
    </row>
    <row r="142" spans="1:30" x14ac:dyDescent="0.25">
      <c r="A142" s="101"/>
      <c r="B142" s="104"/>
      <c r="C142" s="267"/>
      <c r="D142" s="294"/>
      <c r="E142" s="110"/>
      <c r="F142" s="110"/>
      <c r="G142" s="110"/>
      <c r="H142" s="110"/>
      <c r="I142" s="110"/>
      <c r="J142" s="110"/>
      <c r="K142" s="110"/>
      <c r="L142" s="110"/>
      <c r="M142" s="110"/>
      <c r="N142" s="110"/>
      <c r="O142" s="110"/>
      <c r="P142" s="110"/>
      <c r="Q142" s="110"/>
      <c r="R142" s="110"/>
      <c r="S142" s="110"/>
      <c r="T142" s="110"/>
      <c r="U142" s="263"/>
      <c r="V142" s="108">
        <f t="shared" si="8"/>
        <v>0</v>
      </c>
      <c r="W142" s="108">
        <f>AN_TME_BY[[#This Row],[TOTAL Non-Truncated Unadjusted Claims Expenses]]-AN_TME_BY[[#This Row],[Total Claims Excluded because of Truncation]]</f>
        <v>0</v>
      </c>
      <c r="X142" s="108">
        <f t="shared" si="9"/>
        <v>0</v>
      </c>
      <c r="Y142" s="108">
        <f>AN_TME_BY[[#This Row],[TOTAL Non-Truncated Unadjusted Claims Expenses]]+AN_TME_BY[[#This Row],[TOTAL Non-Claims Expenses]]</f>
        <v>0</v>
      </c>
      <c r="Z142" s="108">
        <f>AN_TME_BY[[#This Row],[TOTAL Truncated Unadjusted Claims Expenses (A21 -A19)]]+AN_TME_BY[[#This Row],[TOTAL Non-Claims Expenses]]</f>
        <v>0</v>
      </c>
      <c r="AA142" s="235">
        <f>IFERROR(AN_TME_BY[[#This Row],[TOTAL Non-Truncated Unadjusted Expenses (A21 + A23)]]/AN_TME_BY[[#This Row],[Member Months]],0)</f>
        <v>0</v>
      </c>
      <c r="AB142" s="271">
        <f>IFERROR(AN_TME_BY[[#This Row],[TOTAL Truncated Unadjusted Expenses (A22 + A23)]]/AN_TME_BY[[#This Row],[Member Months]],0)</f>
        <v>0</v>
      </c>
      <c r="AC142" s="237">
        <f>IFERROR(AN_TME_BY[[#This Row],[Total Claims Excluded because of Truncation]]/AN_TME_BY[[#This Row],[Count of Members with Claims Truncated]], 0)</f>
        <v>0</v>
      </c>
      <c r="AD142" s="238">
        <f>IFERROR(AN_TME_BY[[#This Row],[Total Claims Excluded because of Truncation]]/AN_TME_BY[[#This Row],[TOTAL Non-Truncated Unadjusted Claims Expenses]], 0)</f>
        <v>0</v>
      </c>
    </row>
    <row r="143" spans="1:30" x14ac:dyDescent="0.25">
      <c r="A143" s="101"/>
      <c r="B143" s="104"/>
      <c r="C143" s="270"/>
      <c r="D143" s="294"/>
      <c r="E143" s="110"/>
      <c r="F143" s="110"/>
      <c r="G143" s="110"/>
      <c r="H143" s="110"/>
      <c r="I143" s="110"/>
      <c r="J143" s="110"/>
      <c r="K143" s="110"/>
      <c r="L143" s="110"/>
      <c r="M143" s="110"/>
      <c r="N143" s="110"/>
      <c r="O143" s="110"/>
      <c r="P143" s="110"/>
      <c r="Q143" s="110"/>
      <c r="R143" s="110"/>
      <c r="S143" s="110"/>
      <c r="T143" s="110"/>
      <c r="U143" s="263"/>
      <c r="V143" s="108">
        <f t="shared" si="8"/>
        <v>0</v>
      </c>
      <c r="W143" s="108">
        <f>AN_TME_BY[[#This Row],[TOTAL Non-Truncated Unadjusted Claims Expenses]]-AN_TME_BY[[#This Row],[Total Claims Excluded because of Truncation]]</f>
        <v>0</v>
      </c>
      <c r="X143" s="108">
        <f t="shared" si="9"/>
        <v>0</v>
      </c>
      <c r="Y143" s="108">
        <f>AN_TME_BY[[#This Row],[TOTAL Non-Truncated Unadjusted Claims Expenses]]+AN_TME_BY[[#This Row],[TOTAL Non-Claims Expenses]]</f>
        <v>0</v>
      </c>
      <c r="Z143" s="108">
        <f>AN_TME_BY[[#This Row],[TOTAL Truncated Unadjusted Claims Expenses (A21 -A19)]]+AN_TME_BY[[#This Row],[TOTAL Non-Claims Expenses]]</f>
        <v>0</v>
      </c>
      <c r="AA143" s="235">
        <f>IFERROR(AN_TME_BY[[#This Row],[TOTAL Non-Truncated Unadjusted Expenses (A21 + A23)]]/AN_TME_BY[[#This Row],[Member Months]],0)</f>
        <v>0</v>
      </c>
      <c r="AB143" s="271">
        <f>IFERROR(AN_TME_BY[[#This Row],[TOTAL Truncated Unadjusted Expenses (A22 + A23)]]/AN_TME_BY[[#This Row],[Member Months]],0)</f>
        <v>0</v>
      </c>
      <c r="AC143" s="237">
        <f>IFERROR(AN_TME_BY[[#This Row],[Total Claims Excluded because of Truncation]]/AN_TME_BY[[#This Row],[Count of Members with Claims Truncated]], 0)</f>
        <v>0</v>
      </c>
      <c r="AD143" s="238">
        <f>IFERROR(AN_TME_BY[[#This Row],[Total Claims Excluded because of Truncation]]/AN_TME_BY[[#This Row],[TOTAL Non-Truncated Unadjusted Claims Expenses]], 0)</f>
        <v>0</v>
      </c>
    </row>
    <row r="144" spans="1:30" x14ac:dyDescent="0.25">
      <c r="A144" s="101"/>
      <c r="B144" s="104"/>
      <c r="C144" s="267"/>
      <c r="D144" s="294"/>
      <c r="E144" s="110"/>
      <c r="F144" s="110"/>
      <c r="G144" s="110"/>
      <c r="H144" s="110"/>
      <c r="I144" s="110"/>
      <c r="J144" s="110"/>
      <c r="K144" s="110"/>
      <c r="L144" s="110"/>
      <c r="M144" s="110"/>
      <c r="N144" s="110"/>
      <c r="O144" s="110"/>
      <c r="P144" s="110"/>
      <c r="Q144" s="110"/>
      <c r="R144" s="110"/>
      <c r="S144" s="110"/>
      <c r="T144" s="110"/>
      <c r="U144" s="263"/>
      <c r="V144" s="108">
        <f t="shared" si="8"/>
        <v>0</v>
      </c>
      <c r="W144" s="108">
        <f>AN_TME_BY[[#This Row],[TOTAL Non-Truncated Unadjusted Claims Expenses]]-AN_TME_BY[[#This Row],[Total Claims Excluded because of Truncation]]</f>
        <v>0</v>
      </c>
      <c r="X144" s="108">
        <f t="shared" si="9"/>
        <v>0</v>
      </c>
      <c r="Y144" s="108">
        <f>AN_TME_BY[[#This Row],[TOTAL Non-Truncated Unadjusted Claims Expenses]]+AN_TME_BY[[#This Row],[TOTAL Non-Claims Expenses]]</f>
        <v>0</v>
      </c>
      <c r="Z144" s="108">
        <f>AN_TME_BY[[#This Row],[TOTAL Truncated Unadjusted Claims Expenses (A21 -A19)]]+AN_TME_BY[[#This Row],[TOTAL Non-Claims Expenses]]</f>
        <v>0</v>
      </c>
      <c r="AA144" s="235">
        <f>IFERROR(AN_TME_BY[[#This Row],[TOTAL Non-Truncated Unadjusted Expenses (A21 + A23)]]/AN_TME_BY[[#This Row],[Member Months]],0)</f>
        <v>0</v>
      </c>
      <c r="AB144" s="271">
        <f>IFERROR(AN_TME_BY[[#This Row],[TOTAL Truncated Unadjusted Expenses (A22 + A23)]]/AN_TME_BY[[#This Row],[Member Months]],0)</f>
        <v>0</v>
      </c>
      <c r="AC144" s="237">
        <f>IFERROR(AN_TME_BY[[#This Row],[Total Claims Excluded because of Truncation]]/AN_TME_BY[[#This Row],[Count of Members with Claims Truncated]], 0)</f>
        <v>0</v>
      </c>
      <c r="AD144" s="238">
        <f>IFERROR(AN_TME_BY[[#This Row],[Total Claims Excluded because of Truncation]]/AN_TME_BY[[#This Row],[TOTAL Non-Truncated Unadjusted Claims Expenses]], 0)</f>
        <v>0</v>
      </c>
    </row>
    <row r="145" spans="1:30" x14ac:dyDescent="0.25">
      <c r="A145" s="101"/>
      <c r="B145" s="104"/>
      <c r="C145" s="270"/>
      <c r="D145" s="294"/>
      <c r="E145" s="110"/>
      <c r="F145" s="110"/>
      <c r="G145" s="110"/>
      <c r="H145" s="110"/>
      <c r="I145" s="110"/>
      <c r="J145" s="110"/>
      <c r="K145" s="110"/>
      <c r="L145" s="110"/>
      <c r="M145" s="110"/>
      <c r="N145" s="110"/>
      <c r="O145" s="110"/>
      <c r="P145" s="110"/>
      <c r="Q145" s="110"/>
      <c r="R145" s="110"/>
      <c r="S145" s="110"/>
      <c r="T145" s="110"/>
      <c r="U145" s="263"/>
      <c r="V145" s="108">
        <f t="shared" si="8"/>
        <v>0</v>
      </c>
      <c r="W145" s="108">
        <f>AN_TME_BY[[#This Row],[TOTAL Non-Truncated Unadjusted Claims Expenses]]-AN_TME_BY[[#This Row],[Total Claims Excluded because of Truncation]]</f>
        <v>0</v>
      </c>
      <c r="X145" s="108">
        <f t="shared" si="9"/>
        <v>0</v>
      </c>
      <c r="Y145" s="108">
        <f>AN_TME_BY[[#This Row],[TOTAL Non-Truncated Unadjusted Claims Expenses]]+AN_TME_BY[[#This Row],[TOTAL Non-Claims Expenses]]</f>
        <v>0</v>
      </c>
      <c r="Z145" s="108">
        <f>AN_TME_BY[[#This Row],[TOTAL Truncated Unadjusted Claims Expenses (A21 -A19)]]+AN_TME_BY[[#This Row],[TOTAL Non-Claims Expenses]]</f>
        <v>0</v>
      </c>
      <c r="AA145" s="235">
        <f>IFERROR(AN_TME_BY[[#This Row],[TOTAL Non-Truncated Unadjusted Expenses (A21 + A23)]]/AN_TME_BY[[#This Row],[Member Months]],0)</f>
        <v>0</v>
      </c>
      <c r="AB145" s="271">
        <f>IFERROR(AN_TME_BY[[#This Row],[TOTAL Truncated Unadjusted Expenses (A22 + A23)]]/AN_TME_BY[[#This Row],[Member Months]],0)</f>
        <v>0</v>
      </c>
      <c r="AC145" s="237">
        <f>IFERROR(AN_TME_BY[[#This Row],[Total Claims Excluded because of Truncation]]/AN_TME_BY[[#This Row],[Count of Members with Claims Truncated]], 0)</f>
        <v>0</v>
      </c>
      <c r="AD145" s="238">
        <f>IFERROR(AN_TME_BY[[#This Row],[Total Claims Excluded because of Truncation]]/AN_TME_BY[[#This Row],[TOTAL Non-Truncated Unadjusted Claims Expenses]], 0)</f>
        <v>0</v>
      </c>
    </row>
    <row r="146" spans="1:30" x14ac:dyDescent="0.25">
      <c r="A146" s="101"/>
      <c r="B146" s="104"/>
      <c r="C146" s="267"/>
      <c r="D146" s="294"/>
      <c r="E146" s="110"/>
      <c r="F146" s="110"/>
      <c r="G146" s="110"/>
      <c r="H146" s="110"/>
      <c r="I146" s="110"/>
      <c r="J146" s="110"/>
      <c r="K146" s="110"/>
      <c r="L146" s="110"/>
      <c r="M146" s="110"/>
      <c r="N146" s="110"/>
      <c r="O146" s="110"/>
      <c r="P146" s="110"/>
      <c r="Q146" s="110"/>
      <c r="R146" s="110"/>
      <c r="S146" s="110"/>
      <c r="T146" s="110"/>
      <c r="U146" s="263"/>
      <c r="V146" s="108">
        <f t="shared" si="8"/>
        <v>0</v>
      </c>
      <c r="W146" s="108">
        <f>AN_TME_BY[[#This Row],[TOTAL Non-Truncated Unadjusted Claims Expenses]]-AN_TME_BY[[#This Row],[Total Claims Excluded because of Truncation]]</f>
        <v>0</v>
      </c>
      <c r="X146" s="108">
        <f t="shared" si="9"/>
        <v>0</v>
      </c>
      <c r="Y146" s="108">
        <f>AN_TME_BY[[#This Row],[TOTAL Non-Truncated Unadjusted Claims Expenses]]+AN_TME_BY[[#This Row],[TOTAL Non-Claims Expenses]]</f>
        <v>0</v>
      </c>
      <c r="Z146" s="108">
        <f>AN_TME_BY[[#This Row],[TOTAL Truncated Unadjusted Claims Expenses (A21 -A19)]]+AN_TME_BY[[#This Row],[TOTAL Non-Claims Expenses]]</f>
        <v>0</v>
      </c>
      <c r="AA146" s="235">
        <f>IFERROR(AN_TME_BY[[#This Row],[TOTAL Non-Truncated Unadjusted Expenses (A21 + A23)]]/AN_TME_BY[[#This Row],[Member Months]],0)</f>
        <v>0</v>
      </c>
      <c r="AB146" s="271">
        <f>IFERROR(AN_TME_BY[[#This Row],[TOTAL Truncated Unadjusted Expenses (A22 + A23)]]/AN_TME_BY[[#This Row],[Member Months]],0)</f>
        <v>0</v>
      </c>
      <c r="AC146" s="237">
        <f>IFERROR(AN_TME_BY[[#This Row],[Total Claims Excluded because of Truncation]]/AN_TME_BY[[#This Row],[Count of Members with Claims Truncated]], 0)</f>
        <v>0</v>
      </c>
      <c r="AD146" s="238">
        <f>IFERROR(AN_TME_BY[[#This Row],[Total Claims Excluded because of Truncation]]/AN_TME_BY[[#This Row],[TOTAL Non-Truncated Unadjusted Claims Expenses]], 0)</f>
        <v>0</v>
      </c>
    </row>
    <row r="147" spans="1:30" x14ac:dyDescent="0.25">
      <c r="A147" s="101"/>
      <c r="B147" s="104"/>
      <c r="C147" s="270"/>
      <c r="D147" s="294"/>
      <c r="E147" s="110"/>
      <c r="F147" s="110"/>
      <c r="G147" s="110"/>
      <c r="H147" s="110"/>
      <c r="I147" s="110"/>
      <c r="J147" s="110"/>
      <c r="K147" s="110"/>
      <c r="L147" s="110"/>
      <c r="M147" s="110"/>
      <c r="N147" s="110"/>
      <c r="O147" s="110"/>
      <c r="P147" s="110"/>
      <c r="Q147" s="110"/>
      <c r="R147" s="110"/>
      <c r="S147" s="110"/>
      <c r="T147" s="110"/>
      <c r="U147" s="263"/>
      <c r="V147" s="108">
        <f t="shared" si="8"/>
        <v>0</v>
      </c>
      <c r="W147" s="108">
        <f>AN_TME_BY[[#This Row],[TOTAL Non-Truncated Unadjusted Claims Expenses]]-AN_TME_BY[[#This Row],[Total Claims Excluded because of Truncation]]</f>
        <v>0</v>
      </c>
      <c r="X147" s="108">
        <f t="shared" si="9"/>
        <v>0</v>
      </c>
      <c r="Y147" s="108">
        <f>AN_TME_BY[[#This Row],[TOTAL Non-Truncated Unadjusted Claims Expenses]]+AN_TME_BY[[#This Row],[TOTAL Non-Claims Expenses]]</f>
        <v>0</v>
      </c>
      <c r="Z147" s="108">
        <f>AN_TME_BY[[#This Row],[TOTAL Truncated Unadjusted Claims Expenses (A21 -A19)]]+AN_TME_BY[[#This Row],[TOTAL Non-Claims Expenses]]</f>
        <v>0</v>
      </c>
      <c r="AA147" s="235">
        <f>IFERROR(AN_TME_BY[[#This Row],[TOTAL Non-Truncated Unadjusted Expenses (A21 + A23)]]/AN_TME_BY[[#This Row],[Member Months]],0)</f>
        <v>0</v>
      </c>
      <c r="AB147" s="271">
        <f>IFERROR(AN_TME_BY[[#This Row],[TOTAL Truncated Unadjusted Expenses (A22 + A23)]]/AN_TME_BY[[#This Row],[Member Months]],0)</f>
        <v>0</v>
      </c>
      <c r="AC147" s="237">
        <f>IFERROR(AN_TME_BY[[#This Row],[Total Claims Excluded because of Truncation]]/AN_TME_BY[[#This Row],[Count of Members with Claims Truncated]], 0)</f>
        <v>0</v>
      </c>
      <c r="AD147" s="238">
        <f>IFERROR(AN_TME_BY[[#This Row],[Total Claims Excluded because of Truncation]]/AN_TME_BY[[#This Row],[TOTAL Non-Truncated Unadjusted Claims Expenses]], 0)</f>
        <v>0</v>
      </c>
    </row>
    <row r="148" spans="1:30" x14ac:dyDescent="0.25">
      <c r="A148" s="101"/>
      <c r="B148" s="104"/>
      <c r="C148" s="267"/>
      <c r="D148" s="294"/>
      <c r="E148" s="110"/>
      <c r="F148" s="110"/>
      <c r="G148" s="110"/>
      <c r="H148" s="110"/>
      <c r="I148" s="110"/>
      <c r="J148" s="110"/>
      <c r="K148" s="110"/>
      <c r="L148" s="110"/>
      <c r="M148" s="110"/>
      <c r="N148" s="110"/>
      <c r="O148" s="110"/>
      <c r="P148" s="110"/>
      <c r="Q148" s="110"/>
      <c r="R148" s="110"/>
      <c r="S148" s="110"/>
      <c r="T148" s="110"/>
      <c r="U148" s="263"/>
      <c r="V148" s="108">
        <f t="shared" si="8"/>
        <v>0</v>
      </c>
      <c r="W148" s="108">
        <f>AN_TME_BY[[#This Row],[TOTAL Non-Truncated Unadjusted Claims Expenses]]-AN_TME_BY[[#This Row],[Total Claims Excluded because of Truncation]]</f>
        <v>0</v>
      </c>
      <c r="X148" s="108">
        <f t="shared" si="9"/>
        <v>0</v>
      </c>
      <c r="Y148" s="108">
        <f>AN_TME_BY[[#This Row],[TOTAL Non-Truncated Unadjusted Claims Expenses]]+AN_TME_BY[[#This Row],[TOTAL Non-Claims Expenses]]</f>
        <v>0</v>
      </c>
      <c r="Z148" s="108">
        <f>AN_TME_BY[[#This Row],[TOTAL Truncated Unadjusted Claims Expenses (A21 -A19)]]+AN_TME_BY[[#This Row],[TOTAL Non-Claims Expenses]]</f>
        <v>0</v>
      </c>
      <c r="AA148" s="235">
        <f>IFERROR(AN_TME_BY[[#This Row],[TOTAL Non-Truncated Unadjusted Expenses (A21 + A23)]]/AN_TME_BY[[#This Row],[Member Months]],0)</f>
        <v>0</v>
      </c>
      <c r="AB148" s="271">
        <f>IFERROR(AN_TME_BY[[#This Row],[TOTAL Truncated Unadjusted Expenses (A22 + A23)]]/AN_TME_BY[[#This Row],[Member Months]],0)</f>
        <v>0</v>
      </c>
      <c r="AC148" s="237">
        <f>IFERROR(AN_TME_BY[[#This Row],[Total Claims Excluded because of Truncation]]/AN_TME_BY[[#This Row],[Count of Members with Claims Truncated]], 0)</f>
        <v>0</v>
      </c>
      <c r="AD148" s="238">
        <f>IFERROR(AN_TME_BY[[#This Row],[Total Claims Excluded because of Truncation]]/AN_TME_BY[[#This Row],[TOTAL Non-Truncated Unadjusted Claims Expenses]], 0)</f>
        <v>0</v>
      </c>
    </row>
    <row r="149" spans="1:30" x14ac:dyDescent="0.25">
      <c r="A149" s="101"/>
      <c r="B149" s="104"/>
      <c r="C149" s="270"/>
      <c r="D149" s="294"/>
      <c r="E149" s="110"/>
      <c r="F149" s="110"/>
      <c r="G149" s="110"/>
      <c r="H149" s="110"/>
      <c r="I149" s="110"/>
      <c r="J149" s="110"/>
      <c r="K149" s="110"/>
      <c r="L149" s="110"/>
      <c r="M149" s="110"/>
      <c r="N149" s="110"/>
      <c r="O149" s="110"/>
      <c r="P149" s="110"/>
      <c r="Q149" s="110"/>
      <c r="R149" s="110"/>
      <c r="S149" s="110"/>
      <c r="T149" s="110"/>
      <c r="U149" s="263"/>
      <c r="V149" s="108">
        <f t="shared" si="8"/>
        <v>0</v>
      </c>
      <c r="W149" s="108">
        <f>AN_TME_BY[[#This Row],[TOTAL Non-Truncated Unadjusted Claims Expenses]]-AN_TME_BY[[#This Row],[Total Claims Excluded because of Truncation]]</f>
        <v>0</v>
      </c>
      <c r="X149" s="108">
        <f t="shared" si="9"/>
        <v>0</v>
      </c>
      <c r="Y149" s="108">
        <f>AN_TME_BY[[#This Row],[TOTAL Non-Truncated Unadjusted Claims Expenses]]+AN_TME_BY[[#This Row],[TOTAL Non-Claims Expenses]]</f>
        <v>0</v>
      </c>
      <c r="Z149" s="108">
        <f>AN_TME_BY[[#This Row],[TOTAL Truncated Unadjusted Claims Expenses (A21 -A19)]]+AN_TME_BY[[#This Row],[TOTAL Non-Claims Expenses]]</f>
        <v>0</v>
      </c>
      <c r="AA149" s="235">
        <f>IFERROR(AN_TME_BY[[#This Row],[TOTAL Non-Truncated Unadjusted Expenses (A21 + A23)]]/AN_TME_BY[[#This Row],[Member Months]],0)</f>
        <v>0</v>
      </c>
      <c r="AB149" s="271">
        <f>IFERROR(AN_TME_BY[[#This Row],[TOTAL Truncated Unadjusted Expenses (A22 + A23)]]/AN_TME_BY[[#This Row],[Member Months]],0)</f>
        <v>0</v>
      </c>
      <c r="AC149" s="237">
        <f>IFERROR(AN_TME_BY[[#This Row],[Total Claims Excluded because of Truncation]]/AN_TME_BY[[#This Row],[Count of Members with Claims Truncated]], 0)</f>
        <v>0</v>
      </c>
      <c r="AD149" s="238">
        <f>IFERROR(AN_TME_BY[[#This Row],[Total Claims Excluded because of Truncation]]/AN_TME_BY[[#This Row],[TOTAL Non-Truncated Unadjusted Claims Expenses]], 0)</f>
        <v>0</v>
      </c>
    </row>
    <row r="150" spans="1:30" x14ac:dyDescent="0.25">
      <c r="A150" s="101"/>
      <c r="B150" s="104"/>
      <c r="C150" s="267"/>
      <c r="D150" s="294"/>
      <c r="E150" s="110"/>
      <c r="F150" s="110"/>
      <c r="G150" s="110"/>
      <c r="H150" s="110"/>
      <c r="I150" s="110"/>
      <c r="J150" s="110"/>
      <c r="K150" s="110"/>
      <c r="L150" s="110"/>
      <c r="M150" s="110"/>
      <c r="N150" s="110"/>
      <c r="O150" s="110"/>
      <c r="P150" s="110"/>
      <c r="Q150" s="110"/>
      <c r="R150" s="110"/>
      <c r="S150" s="110"/>
      <c r="T150" s="110"/>
      <c r="U150" s="263"/>
      <c r="V150" s="108">
        <f t="shared" si="8"/>
        <v>0</v>
      </c>
      <c r="W150" s="108">
        <f>AN_TME_BY[[#This Row],[TOTAL Non-Truncated Unadjusted Claims Expenses]]-AN_TME_BY[[#This Row],[Total Claims Excluded because of Truncation]]</f>
        <v>0</v>
      </c>
      <c r="X150" s="108">
        <f t="shared" si="9"/>
        <v>0</v>
      </c>
      <c r="Y150" s="108">
        <f>AN_TME_BY[[#This Row],[TOTAL Non-Truncated Unadjusted Claims Expenses]]+AN_TME_BY[[#This Row],[TOTAL Non-Claims Expenses]]</f>
        <v>0</v>
      </c>
      <c r="Z150" s="108">
        <f>AN_TME_BY[[#This Row],[TOTAL Truncated Unadjusted Claims Expenses (A21 -A19)]]+AN_TME_BY[[#This Row],[TOTAL Non-Claims Expenses]]</f>
        <v>0</v>
      </c>
      <c r="AA150" s="235">
        <f>IFERROR(AN_TME_BY[[#This Row],[TOTAL Non-Truncated Unadjusted Expenses (A21 + A23)]]/AN_TME_BY[[#This Row],[Member Months]],0)</f>
        <v>0</v>
      </c>
      <c r="AB150" s="271">
        <f>IFERROR(AN_TME_BY[[#This Row],[TOTAL Truncated Unadjusted Expenses (A22 + A23)]]/AN_TME_BY[[#This Row],[Member Months]],0)</f>
        <v>0</v>
      </c>
      <c r="AC150" s="237">
        <f>IFERROR(AN_TME_BY[[#This Row],[Total Claims Excluded because of Truncation]]/AN_TME_BY[[#This Row],[Count of Members with Claims Truncated]], 0)</f>
        <v>0</v>
      </c>
      <c r="AD150" s="238">
        <f>IFERROR(AN_TME_BY[[#This Row],[Total Claims Excluded because of Truncation]]/AN_TME_BY[[#This Row],[TOTAL Non-Truncated Unadjusted Claims Expenses]], 0)</f>
        <v>0</v>
      </c>
    </row>
    <row r="151" spans="1:30" x14ac:dyDescent="0.25">
      <c r="A151" s="101"/>
      <c r="B151" s="104"/>
      <c r="C151" s="270"/>
      <c r="D151" s="294"/>
      <c r="E151" s="110"/>
      <c r="F151" s="110"/>
      <c r="G151" s="110"/>
      <c r="H151" s="110"/>
      <c r="I151" s="110"/>
      <c r="J151" s="110"/>
      <c r="K151" s="110"/>
      <c r="L151" s="110"/>
      <c r="M151" s="110"/>
      <c r="N151" s="110"/>
      <c r="O151" s="110"/>
      <c r="P151" s="110"/>
      <c r="Q151" s="110"/>
      <c r="R151" s="110"/>
      <c r="S151" s="110"/>
      <c r="T151" s="110"/>
      <c r="U151" s="263"/>
      <c r="V151" s="108">
        <f t="shared" si="8"/>
        <v>0</v>
      </c>
      <c r="W151" s="108">
        <f>AN_TME_BY[[#This Row],[TOTAL Non-Truncated Unadjusted Claims Expenses]]-AN_TME_BY[[#This Row],[Total Claims Excluded because of Truncation]]</f>
        <v>0</v>
      </c>
      <c r="X151" s="108">
        <f t="shared" si="9"/>
        <v>0</v>
      </c>
      <c r="Y151" s="108">
        <f>AN_TME_BY[[#This Row],[TOTAL Non-Truncated Unadjusted Claims Expenses]]+AN_TME_BY[[#This Row],[TOTAL Non-Claims Expenses]]</f>
        <v>0</v>
      </c>
      <c r="Z151" s="108">
        <f>AN_TME_BY[[#This Row],[TOTAL Truncated Unadjusted Claims Expenses (A21 -A19)]]+AN_TME_BY[[#This Row],[TOTAL Non-Claims Expenses]]</f>
        <v>0</v>
      </c>
      <c r="AA151" s="235">
        <f>IFERROR(AN_TME_BY[[#This Row],[TOTAL Non-Truncated Unadjusted Expenses (A21 + A23)]]/AN_TME_BY[[#This Row],[Member Months]],0)</f>
        <v>0</v>
      </c>
      <c r="AB151" s="271">
        <f>IFERROR(AN_TME_BY[[#This Row],[TOTAL Truncated Unadjusted Expenses (A22 + A23)]]/AN_TME_BY[[#This Row],[Member Months]],0)</f>
        <v>0</v>
      </c>
      <c r="AC151" s="237">
        <f>IFERROR(AN_TME_BY[[#This Row],[Total Claims Excluded because of Truncation]]/AN_TME_BY[[#This Row],[Count of Members with Claims Truncated]], 0)</f>
        <v>0</v>
      </c>
      <c r="AD151" s="238">
        <f>IFERROR(AN_TME_BY[[#This Row],[Total Claims Excluded because of Truncation]]/AN_TME_BY[[#This Row],[TOTAL Non-Truncated Unadjusted Claims Expenses]], 0)</f>
        <v>0</v>
      </c>
    </row>
    <row r="152" spans="1:30" x14ac:dyDescent="0.25">
      <c r="A152" s="101"/>
      <c r="B152" s="104"/>
      <c r="C152" s="267"/>
      <c r="D152" s="294"/>
      <c r="E152" s="110"/>
      <c r="F152" s="110"/>
      <c r="G152" s="110"/>
      <c r="H152" s="110"/>
      <c r="I152" s="110"/>
      <c r="J152" s="110"/>
      <c r="K152" s="110"/>
      <c r="L152" s="110"/>
      <c r="M152" s="110"/>
      <c r="N152" s="110"/>
      <c r="O152" s="110"/>
      <c r="P152" s="110"/>
      <c r="Q152" s="110"/>
      <c r="R152" s="110"/>
      <c r="S152" s="110"/>
      <c r="T152" s="110"/>
      <c r="U152" s="263"/>
      <c r="V152" s="108">
        <f t="shared" si="8"/>
        <v>0</v>
      </c>
      <c r="W152" s="108">
        <f>AN_TME_BY[[#This Row],[TOTAL Non-Truncated Unadjusted Claims Expenses]]-AN_TME_BY[[#This Row],[Total Claims Excluded because of Truncation]]</f>
        <v>0</v>
      </c>
      <c r="X152" s="108">
        <f t="shared" si="9"/>
        <v>0</v>
      </c>
      <c r="Y152" s="108">
        <f>AN_TME_BY[[#This Row],[TOTAL Non-Truncated Unadjusted Claims Expenses]]+AN_TME_BY[[#This Row],[TOTAL Non-Claims Expenses]]</f>
        <v>0</v>
      </c>
      <c r="Z152" s="108">
        <f>AN_TME_BY[[#This Row],[TOTAL Truncated Unadjusted Claims Expenses (A21 -A19)]]+AN_TME_BY[[#This Row],[TOTAL Non-Claims Expenses]]</f>
        <v>0</v>
      </c>
      <c r="AA152" s="235">
        <f>IFERROR(AN_TME_BY[[#This Row],[TOTAL Non-Truncated Unadjusted Expenses (A21 + A23)]]/AN_TME_BY[[#This Row],[Member Months]],0)</f>
        <v>0</v>
      </c>
      <c r="AB152" s="271">
        <f>IFERROR(AN_TME_BY[[#This Row],[TOTAL Truncated Unadjusted Expenses (A22 + A23)]]/AN_TME_BY[[#This Row],[Member Months]],0)</f>
        <v>0</v>
      </c>
      <c r="AC152" s="237">
        <f>IFERROR(AN_TME_BY[[#This Row],[Total Claims Excluded because of Truncation]]/AN_TME_BY[[#This Row],[Count of Members with Claims Truncated]], 0)</f>
        <v>0</v>
      </c>
      <c r="AD152" s="238">
        <f>IFERROR(AN_TME_BY[[#This Row],[Total Claims Excluded because of Truncation]]/AN_TME_BY[[#This Row],[TOTAL Non-Truncated Unadjusted Claims Expenses]], 0)</f>
        <v>0</v>
      </c>
    </row>
    <row r="153" spans="1:30" x14ac:dyDescent="0.25">
      <c r="A153" s="101"/>
      <c r="B153" s="104"/>
      <c r="C153" s="270"/>
      <c r="D153" s="294"/>
      <c r="E153" s="110"/>
      <c r="F153" s="110"/>
      <c r="G153" s="110"/>
      <c r="H153" s="110"/>
      <c r="I153" s="110"/>
      <c r="J153" s="110"/>
      <c r="K153" s="110"/>
      <c r="L153" s="110"/>
      <c r="M153" s="110"/>
      <c r="N153" s="110"/>
      <c r="O153" s="110"/>
      <c r="P153" s="110"/>
      <c r="Q153" s="110"/>
      <c r="R153" s="110"/>
      <c r="S153" s="110"/>
      <c r="T153" s="110"/>
      <c r="U153" s="263"/>
      <c r="V153" s="108">
        <f t="shared" si="8"/>
        <v>0</v>
      </c>
      <c r="W153" s="108">
        <f>AN_TME_BY[[#This Row],[TOTAL Non-Truncated Unadjusted Claims Expenses]]-AN_TME_BY[[#This Row],[Total Claims Excluded because of Truncation]]</f>
        <v>0</v>
      </c>
      <c r="X153" s="108">
        <f t="shared" si="9"/>
        <v>0</v>
      </c>
      <c r="Y153" s="108">
        <f>AN_TME_BY[[#This Row],[TOTAL Non-Truncated Unadjusted Claims Expenses]]+AN_TME_BY[[#This Row],[TOTAL Non-Claims Expenses]]</f>
        <v>0</v>
      </c>
      <c r="Z153" s="108">
        <f>AN_TME_BY[[#This Row],[TOTAL Truncated Unadjusted Claims Expenses (A21 -A19)]]+AN_TME_BY[[#This Row],[TOTAL Non-Claims Expenses]]</f>
        <v>0</v>
      </c>
      <c r="AA153" s="235">
        <f>IFERROR(AN_TME_BY[[#This Row],[TOTAL Non-Truncated Unadjusted Expenses (A21 + A23)]]/AN_TME_BY[[#This Row],[Member Months]],0)</f>
        <v>0</v>
      </c>
      <c r="AB153" s="271">
        <f>IFERROR(AN_TME_BY[[#This Row],[TOTAL Truncated Unadjusted Expenses (A22 + A23)]]/AN_TME_BY[[#This Row],[Member Months]],0)</f>
        <v>0</v>
      </c>
      <c r="AC153" s="237">
        <f>IFERROR(AN_TME_BY[[#This Row],[Total Claims Excluded because of Truncation]]/AN_TME_BY[[#This Row],[Count of Members with Claims Truncated]], 0)</f>
        <v>0</v>
      </c>
      <c r="AD153" s="238">
        <f>IFERROR(AN_TME_BY[[#This Row],[Total Claims Excluded because of Truncation]]/AN_TME_BY[[#This Row],[TOTAL Non-Truncated Unadjusted Claims Expenses]], 0)</f>
        <v>0</v>
      </c>
    </row>
    <row r="154" spans="1:30" x14ac:dyDescent="0.25">
      <c r="A154" s="101"/>
      <c r="B154" s="104"/>
      <c r="C154" s="267"/>
      <c r="D154" s="294"/>
      <c r="E154" s="110"/>
      <c r="F154" s="110"/>
      <c r="G154" s="110"/>
      <c r="H154" s="110"/>
      <c r="I154" s="110"/>
      <c r="J154" s="110"/>
      <c r="K154" s="110"/>
      <c r="L154" s="110"/>
      <c r="M154" s="110"/>
      <c r="N154" s="110"/>
      <c r="O154" s="110"/>
      <c r="P154" s="110"/>
      <c r="Q154" s="110"/>
      <c r="R154" s="110"/>
      <c r="S154" s="110"/>
      <c r="T154" s="110"/>
      <c r="U154" s="263"/>
      <c r="V154" s="108">
        <f t="shared" si="8"/>
        <v>0</v>
      </c>
      <c r="W154" s="108">
        <f>AN_TME_BY[[#This Row],[TOTAL Non-Truncated Unadjusted Claims Expenses]]-AN_TME_BY[[#This Row],[Total Claims Excluded because of Truncation]]</f>
        <v>0</v>
      </c>
      <c r="X154" s="108">
        <f t="shared" si="9"/>
        <v>0</v>
      </c>
      <c r="Y154" s="108">
        <f>AN_TME_BY[[#This Row],[TOTAL Non-Truncated Unadjusted Claims Expenses]]+AN_TME_BY[[#This Row],[TOTAL Non-Claims Expenses]]</f>
        <v>0</v>
      </c>
      <c r="Z154" s="108">
        <f>AN_TME_BY[[#This Row],[TOTAL Truncated Unadjusted Claims Expenses (A21 -A19)]]+AN_TME_BY[[#This Row],[TOTAL Non-Claims Expenses]]</f>
        <v>0</v>
      </c>
      <c r="AA154" s="235">
        <f>IFERROR(AN_TME_BY[[#This Row],[TOTAL Non-Truncated Unadjusted Expenses (A21 + A23)]]/AN_TME_BY[[#This Row],[Member Months]],0)</f>
        <v>0</v>
      </c>
      <c r="AB154" s="271">
        <f>IFERROR(AN_TME_BY[[#This Row],[TOTAL Truncated Unadjusted Expenses (A22 + A23)]]/AN_TME_BY[[#This Row],[Member Months]],0)</f>
        <v>0</v>
      </c>
      <c r="AC154" s="237">
        <f>IFERROR(AN_TME_BY[[#This Row],[Total Claims Excluded because of Truncation]]/AN_TME_BY[[#This Row],[Count of Members with Claims Truncated]], 0)</f>
        <v>0</v>
      </c>
      <c r="AD154" s="238">
        <f>IFERROR(AN_TME_BY[[#This Row],[Total Claims Excluded because of Truncation]]/AN_TME_BY[[#This Row],[TOTAL Non-Truncated Unadjusted Claims Expenses]], 0)</f>
        <v>0</v>
      </c>
    </row>
    <row r="155" spans="1:30" x14ac:dyDescent="0.25">
      <c r="A155" s="101"/>
      <c r="B155" s="104"/>
      <c r="C155" s="270"/>
      <c r="D155" s="294"/>
      <c r="E155" s="110"/>
      <c r="F155" s="110"/>
      <c r="G155" s="110"/>
      <c r="H155" s="110"/>
      <c r="I155" s="110"/>
      <c r="J155" s="110"/>
      <c r="K155" s="110"/>
      <c r="L155" s="110"/>
      <c r="M155" s="110"/>
      <c r="N155" s="110"/>
      <c r="O155" s="110"/>
      <c r="P155" s="110"/>
      <c r="Q155" s="110"/>
      <c r="R155" s="110"/>
      <c r="S155" s="110"/>
      <c r="T155" s="110"/>
      <c r="U155" s="263"/>
      <c r="V155" s="108">
        <f t="shared" si="8"/>
        <v>0</v>
      </c>
      <c r="W155" s="108">
        <f>AN_TME_BY[[#This Row],[TOTAL Non-Truncated Unadjusted Claims Expenses]]-AN_TME_BY[[#This Row],[Total Claims Excluded because of Truncation]]</f>
        <v>0</v>
      </c>
      <c r="X155" s="108">
        <f t="shared" si="9"/>
        <v>0</v>
      </c>
      <c r="Y155" s="108">
        <f>AN_TME_BY[[#This Row],[TOTAL Non-Truncated Unadjusted Claims Expenses]]+AN_TME_BY[[#This Row],[TOTAL Non-Claims Expenses]]</f>
        <v>0</v>
      </c>
      <c r="Z155" s="108">
        <f>AN_TME_BY[[#This Row],[TOTAL Truncated Unadjusted Claims Expenses (A21 -A19)]]+AN_TME_BY[[#This Row],[TOTAL Non-Claims Expenses]]</f>
        <v>0</v>
      </c>
      <c r="AA155" s="235">
        <f>IFERROR(AN_TME_BY[[#This Row],[TOTAL Non-Truncated Unadjusted Expenses (A21 + A23)]]/AN_TME_BY[[#This Row],[Member Months]],0)</f>
        <v>0</v>
      </c>
      <c r="AB155" s="271">
        <f>IFERROR(AN_TME_BY[[#This Row],[TOTAL Truncated Unadjusted Expenses (A22 + A23)]]/AN_TME_BY[[#This Row],[Member Months]],0)</f>
        <v>0</v>
      </c>
      <c r="AC155" s="237">
        <f>IFERROR(AN_TME_BY[[#This Row],[Total Claims Excluded because of Truncation]]/AN_TME_BY[[#This Row],[Count of Members with Claims Truncated]], 0)</f>
        <v>0</v>
      </c>
      <c r="AD155" s="238">
        <f>IFERROR(AN_TME_BY[[#This Row],[Total Claims Excluded because of Truncation]]/AN_TME_BY[[#This Row],[TOTAL Non-Truncated Unadjusted Claims Expenses]], 0)</f>
        <v>0</v>
      </c>
    </row>
    <row r="156" spans="1:30" x14ac:dyDescent="0.25">
      <c r="A156" s="101"/>
      <c r="B156" s="104"/>
      <c r="C156" s="267"/>
      <c r="D156" s="294"/>
      <c r="E156" s="110"/>
      <c r="F156" s="110"/>
      <c r="G156" s="110"/>
      <c r="H156" s="110"/>
      <c r="I156" s="110"/>
      <c r="J156" s="110"/>
      <c r="K156" s="110"/>
      <c r="L156" s="110"/>
      <c r="M156" s="110"/>
      <c r="N156" s="110"/>
      <c r="O156" s="110"/>
      <c r="P156" s="110"/>
      <c r="Q156" s="110"/>
      <c r="R156" s="110"/>
      <c r="S156" s="110"/>
      <c r="T156" s="110"/>
      <c r="U156" s="263"/>
      <c r="V156" s="108">
        <f t="shared" si="8"/>
        <v>0</v>
      </c>
      <c r="W156" s="108">
        <f>AN_TME_BY[[#This Row],[TOTAL Non-Truncated Unadjusted Claims Expenses]]-AN_TME_BY[[#This Row],[Total Claims Excluded because of Truncation]]</f>
        <v>0</v>
      </c>
      <c r="X156" s="108">
        <f t="shared" si="9"/>
        <v>0</v>
      </c>
      <c r="Y156" s="108">
        <f>AN_TME_BY[[#This Row],[TOTAL Non-Truncated Unadjusted Claims Expenses]]+AN_TME_BY[[#This Row],[TOTAL Non-Claims Expenses]]</f>
        <v>0</v>
      </c>
      <c r="Z156" s="108">
        <f>AN_TME_BY[[#This Row],[TOTAL Truncated Unadjusted Claims Expenses (A21 -A19)]]+AN_TME_BY[[#This Row],[TOTAL Non-Claims Expenses]]</f>
        <v>0</v>
      </c>
      <c r="AA156" s="235">
        <f>IFERROR(AN_TME_BY[[#This Row],[TOTAL Non-Truncated Unadjusted Expenses (A21 + A23)]]/AN_TME_BY[[#This Row],[Member Months]],0)</f>
        <v>0</v>
      </c>
      <c r="AB156" s="271">
        <f>IFERROR(AN_TME_BY[[#This Row],[TOTAL Truncated Unadjusted Expenses (A22 + A23)]]/AN_TME_BY[[#This Row],[Member Months]],0)</f>
        <v>0</v>
      </c>
      <c r="AC156" s="237">
        <f>IFERROR(AN_TME_BY[[#This Row],[Total Claims Excluded because of Truncation]]/AN_TME_BY[[#This Row],[Count of Members with Claims Truncated]], 0)</f>
        <v>0</v>
      </c>
      <c r="AD156" s="238">
        <f>IFERROR(AN_TME_BY[[#This Row],[Total Claims Excluded because of Truncation]]/AN_TME_BY[[#This Row],[TOTAL Non-Truncated Unadjusted Claims Expenses]], 0)</f>
        <v>0</v>
      </c>
    </row>
    <row r="157" spans="1:30" x14ac:dyDescent="0.25">
      <c r="A157" s="101"/>
      <c r="B157" s="104"/>
      <c r="C157" s="270"/>
      <c r="D157" s="294"/>
      <c r="E157" s="110"/>
      <c r="F157" s="110"/>
      <c r="G157" s="110"/>
      <c r="H157" s="110"/>
      <c r="I157" s="110"/>
      <c r="J157" s="110"/>
      <c r="K157" s="110"/>
      <c r="L157" s="110"/>
      <c r="M157" s="110"/>
      <c r="N157" s="110"/>
      <c r="O157" s="110"/>
      <c r="P157" s="110"/>
      <c r="Q157" s="110"/>
      <c r="R157" s="110"/>
      <c r="S157" s="110"/>
      <c r="T157" s="110"/>
      <c r="U157" s="263"/>
      <c r="V157" s="108">
        <f t="shared" si="8"/>
        <v>0</v>
      </c>
      <c r="W157" s="108">
        <f>AN_TME_BY[[#This Row],[TOTAL Non-Truncated Unadjusted Claims Expenses]]-AN_TME_BY[[#This Row],[Total Claims Excluded because of Truncation]]</f>
        <v>0</v>
      </c>
      <c r="X157" s="108">
        <f t="shared" si="9"/>
        <v>0</v>
      </c>
      <c r="Y157" s="108">
        <f>AN_TME_BY[[#This Row],[TOTAL Non-Truncated Unadjusted Claims Expenses]]+AN_TME_BY[[#This Row],[TOTAL Non-Claims Expenses]]</f>
        <v>0</v>
      </c>
      <c r="Z157" s="108">
        <f>AN_TME_BY[[#This Row],[TOTAL Truncated Unadjusted Claims Expenses (A21 -A19)]]+AN_TME_BY[[#This Row],[TOTAL Non-Claims Expenses]]</f>
        <v>0</v>
      </c>
      <c r="AA157" s="235">
        <f>IFERROR(AN_TME_BY[[#This Row],[TOTAL Non-Truncated Unadjusted Expenses (A21 + A23)]]/AN_TME_BY[[#This Row],[Member Months]],0)</f>
        <v>0</v>
      </c>
      <c r="AB157" s="271">
        <f>IFERROR(AN_TME_BY[[#This Row],[TOTAL Truncated Unadjusted Expenses (A22 + A23)]]/AN_TME_BY[[#This Row],[Member Months]],0)</f>
        <v>0</v>
      </c>
      <c r="AC157" s="237">
        <f>IFERROR(AN_TME_BY[[#This Row],[Total Claims Excluded because of Truncation]]/AN_TME_BY[[#This Row],[Count of Members with Claims Truncated]], 0)</f>
        <v>0</v>
      </c>
      <c r="AD157" s="238">
        <f>IFERROR(AN_TME_BY[[#This Row],[Total Claims Excluded because of Truncation]]/AN_TME_BY[[#This Row],[TOTAL Non-Truncated Unadjusted Claims Expenses]], 0)</f>
        <v>0</v>
      </c>
    </row>
    <row r="158" spans="1:30" x14ac:dyDescent="0.25">
      <c r="A158" s="101"/>
      <c r="B158" s="104"/>
      <c r="C158" s="267"/>
      <c r="D158" s="294"/>
      <c r="E158" s="110"/>
      <c r="F158" s="110"/>
      <c r="G158" s="110"/>
      <c r="H158" s="110"/>
      <c r="I158" s="110"/>
      <c r="J158" s="110"/>
      <c r="K158" s="110"/>
      <c r="L158" s="110"/>
      <c r="M158" s="110"/>
      <c r="N158" s="110"/>
      <c r="O158" s="110"/>
      <c r="P158" s="110"/>
      <c r="Q158" s="110"/>
      <c r="R158" s="110"/>
      <c r="S158" s="110"/>
      <c r="T158" s="110"/>
      <c r="U158" s="263"/>
      <c r="V158" s="108">
        <f t="shared" si="8"/>
        <v>0</v>
      </c>
      <c r="W158" s="108">
        <f>AN_TME_BY[[#This Row],[TOTAL Non-Truncated Unadjusted Claims Expenses]]-AN_TME_BY[[#This Row],[Total Claims Excluded because of Truncation]]</f>
        <v>0</v>
      </c>
      <c r="X158" s="108">
        <f t="shared" si="9"/>
        <v>0</v>
      </c>
      <c r="Y158" s="108">
        <f>AN_TME_BY[[#This Row],[TOTAL Non-Truncated Unadjusted Claims Expenses]]+AN_TME_BY[[#This Row],[TOTAL Non-Claims Expenses]]</f>
        <v>0</v>
      </c>
      <c r="Z158" s="108">
        <f>AN_TME_BY[[#This Row],[TOTAL Truncated Unadjusted Claims Expenses (A21 -A19)]]+AN_TME_BY[[#This Row],[TOTAL Non-Claims Expenses]]</f>
        <v>0</v>
      </c>
      <c r="AA158" s="235">
        <f>IFERROR(AN_TME_BY[[#This Row],[TOTAL Non-Truncated Unadjusted Expenses (A21 + A23)]]/AN_TME_BY[[#This Row],[Member Months]],0)</f>
        <v>0</v>
      </c>
      <c r="AB158" s="271">
        <f>IFERROR(AN_TME_BY[[#This Row],[TOTAL Truncated Unadjusted Expenses (A22 + A23)]]/AN_TME_BY[[#This Row],[Member Months]],0)</f>
        <v>0</v>
      </c>
      <c r="AC158" s="237">
        <f>IFERROR(AN_TME_BY[[#This Row],[Total Claims Excluded because of Truncation]]/AN_TME_BY[[#This Row],[Count of Members with Claims Truncated]], 0)</f>
        <v>0</v>
      </c>
      <c r="AD158" s="238">
        <f>IFERROR(AN_TME_BY[[#This Row],[Total Claims Excluded because of Truncation]]/AN_TME_BY[[#This Row],[TOTAL Non-Truncated Unadjusted Claims Expenses]], 0)</f>
        <v>0</v>
      </c>
    </row>
    <row r="159" spans="1:30" x14ac:dyDescent="0.25">
      <c r="A159" s="101"/>
      <c r="B159" s="104"/>
      <c r="C159" s="270"/>
      <c r="D159" s="294"/>
      <c r="E159" s="110"/>
      <c r="F159" s="110"/>
      <c r="G159" s="110"/>
      <c r="H159" s="110"/>
      <c r="I159" s="110"/>
      <c r="J159" s="110"/>
      <c r="K159" s="110"/>
      <c r="L159" s="110"/>
      <c r="M159" s="110"/>
      <c r="N159" s="110"/>
      <c r="O159" s="110"/>
      <c r="P159" s="110"/>
      <c r="Q159" s="110"/>
      <c r="R159" s="110"/>
      <c r="S159" s="110"/>
      <c r="T159" s="110"/>
      <c r="U159" s="263"/>
      <c r="V159" s="108">
        <f t="shared" si="8"/>
        <v>0</v>
      </c>
      <c r="W159" s="108">
        <f>AN_TME_BY[[#This Row],[TOTAL Non-Truncated Unadjusted Claims Expenses]]-AN_TME_BY[[#This Row],[Total Claims Excluded because of Truncation]]</f>
        <v>0</v>
      </c>
      <c r="X159" s="108">
        <f t="shared" si="9"/>
        <v>0</v>
      </c>
      <c r="Y159" s="108">
        <f>AN_TME_BY[[#This Row],[TOTAL Non-Truncated Unadjusted Claims Expenses]]+AN_TME_BY[[#This Row],[TOTAL Non-Claims Expenses]]</f>
        <v>0</v>
      </c>
      <c r="Z159" s="108">
        <f>AN_TME_BY[[#This Row],[TOTAL Truncated Unadjusted Claims Expenses (A21 -A19)]]+AN_TME_BY[[#This Row],[TOTAL Non-Claims Expenses]]</f>
        <v>0</v>
      </c>
      <c r="AA159" s="235">
        <f>IFERROR(AN_TME_BY[[#This Row],[TOTAL Non-Truncated Unadjusted Expenses (A21 + A23)]]/AN_TME_BY[[#This Row],[Member Months]],0)</f>
        <v>0</v>
      </c>
      <c r="AB159" s="271">
        <f>IFERROR(AN_TME_BY[[#This Row],[TOTAL Truncated Unadjusted Expenses (A22 + A23)]]/AN_TME_BY[[#This Row],[Member Months]],0)</f>
        <v>0</v>
      </c>
      <c r="AC159" s="237">
        <f>IFERROR(AN_TME_BY[[#This Row],[Total Claims Excluded because of Truncation]]/AN_TME_BY[[#This Row],[Count of Members with Claims Truncated]], 0)</f>
        <v>0</v>
      </c>
      <c r="AD159" s="238">
        <f>IFERROR(AN_TME_BY[[#This Row],[Total Claims Excluded because of Truncation]]/AN_TME_BY[[#This Row],[TOTAL Non-Truncated Unadjusted Claims Expenses]], 0)</f>
        <v>0</v>
      </c>
    </row>
    <row r="160" spans="1:30" x14ac:dyDescent="0.25">
      <c r="A160" s="101"/>
      <c r="B160" s="104"/>
      <c r="C160" s="267"/>
      <c r="D160" s="294"/>
      <c r="E160" s="110"/>
      <c r="F160" s="110"/>
      <c r="G160" s="110"/>
      <c r="H160" s="110"/>
      <c r="I160" s="110"/>
      <c r="J160" s="110"/>
      <c r="K160" s="110"/>
      <c r="L160" s="110"/>
      <c r="M160" s="110"/>
      <c r="N160" s="110"/>
      <c r="O160" s="110"/>
      <c r="P160" s="110"/>
      <c r="Q160" s="110"/>
      <c r="R160" s="110"/>
      <c r="S160" s="110"/>
      <c r="T160" s="110"/>
      <c r="U160" s="263"/>
      <c r="V160" s="108">
        <f t="shared" si="8"/>
        <v>0</v>
      </c>
      <c r="W160" s="108">
        <f>AN_TME_BY[[#This Row],[TOTAL Non-Truncated Unadjusted Claims Expenses]]-AN_TME_BY[[#This Row],[Total Claims Excluded because of Truncation]]</f>
        <v>0</v>
      </c>
      <c r="X160" s="108">
        <f t="shared" si="9"/>
        <v>0</v>
      </c>
      <c r="Y160" s="108">
        <f>AN_TME_BY[[#This Row],[TOTAL Non-Truncated Unadjusted Claims Expenses]]+AN_TME_BY[[#This Row],[TOTAL Non-Claims Expenses]]</f>
        <v>0</v>
      </c>
      <c r="Z160" s="108">
        <f>AN_TME_BY[[#This Row],[TOTAL Truncated Unadjusted Claims Expenses (A21 -A19)]]+AN_TME_BY[[#This Row],[TOTAL Non-Claims Expenses]]</f>
        <v>0</v>
      </c>
      <c r="AA160" s="235">
        <f>IFERROR(AN_TME_BY[[#This Row],[TOTAL Non-Truncated Unadjusted Expenses (A21 + A23)]]/AN_TME_BY[[#This Row],[Member Months]],0)</f>
        <v>0</v>
      </c>
      <c r="AB160" s="271">
        <f>IFERROR(AN_TME_BY[[#This Row],[TOTAL Truncated Unadjusted Expenses (A22 + A23)]]/AN_TME_BY[[#This Row],[Member Months]],0)</f>
        <v>0</v>
      </c>
      <c r="AC160" s="237">
        <f>IFERROR(AN_TME_BY[[#This Row],[Total Claims Excluded because of Truncation]]/AN_TME_BY[[#This Row],[Count of Members with Claims Truncated]], 0)</f>
        <v>0</v>
      </c>
      <c r="AD160" s="238">
        <f>IFERROR(AN_TME_BY[[#This Row],[Total Claims Excluded because of Truncation]]/AN_TME_BY[[#This Row],[TOTAL Non-Truncated Unadjusted Claims Expenses]], 0)</f>
        <v>0</v>
      </c>
    </row>
    <row r="161" spans="1:30" x14ac:dyDescent="0.25">
      <c r="A161" s="101"/>
      <c r="B161" s="104"/>
      <c r="C161" s="270"/>
      <c r="D161" s="294"/>
      <c r="E161" s="110"/>
      <c r="F161" s="110"/>
      <c r="G161" s="110"/>
      <c r="H161" s="110"/>
      <c r="I161" s="110"/>
      <c r="J161" s="110"/>
      <c r="K161" s="110"/>
      <c r="L161" s="110"/>
      <c r="M161" s="110"/>
      <c r="N161" s="110"/>
      <c r="O161" s="110"/>
      <c r="P161" s="110"/>
      <c r="Q161" s="110"/>
      <c r="R161" s="110"/>
      <c r="S161" s="110"/>
      <c r="T161" s="110"/>
      <c r="U161" s="263"/>
      <c r="V161" s="108">
        <f t="shared" si="8"/>
        <v>0</v>
      </c>
      <c r="W161" s="108">
        <f>AN_TME_BY[[#This Row],[TOTAL Non-Truncated Unadjusted Claims Expenses]]-AN_TME_BY[[#This Row],[Total Claims Excluded because of Truncation]]</f>
        <v>0</v>
      </c>
      <c r="X161" s="108">
        <f t="shared" si="9"/>
        <v>0</v>
      </c>
      <c r="Y161" s="108">
        <f>AN_TME_BY[[#This Row],[TOTAL Non-Truncated Unadjusted Claims Expenses]]+AN_TME_BY[[#This Row],[TOTAL Non-Claims Expenses]]</f>
        <v>0</v>
      </c>
      <c r="Z161" s="108">
        <f>AN_TME_BY[[#This Row],[TOTAL Truncated Unadjusted Claims Expenses (A21 -A19)]]+AN_TME_BY[[#This Row],[TOTAL Non-Claims Expenses]]</f>
        <v>0</v>
      </c>
      <c r="AA161" s="235">
        <f>IFERROR(AN_TME_BY[[#This Row],[TOTAL Non-Truncated Unadjusted Expenses (A21 + A23)]]/AN_TME_BY[[#This Row],[Member Months]],0)</f>
        <v>0</v>
      </c>
      <c r="AB161" s="271">
        <f>IFERROR(AN_TME_BY[[#This Row],[TOTAL Truncated Unadjusted Expenses (A22 + A23)]]/AN_TME_BY[[#This Row],[Member Months]],0)</f>
        <v>0</v>
      </c>
      <c r="AC161" s="237">
        <f>IFERROR(AN_TME_BY[[#This Row],[Total Claims Excluded because of Truncation]]/AN_TME_BY[[#This Row],[Count of Members with Claims Truncated]], 0)</f>
        <v>0</v>
      </c>
      <c r="AD161" s="238">
        <f>IFERROR(AN_TME_BY[[#This Row],[Total Claims Excluded because of Truncation]]/AN_TME_BY[[#This Row],[TOTAL Non-Truncated Unadjusted Claims Expenses]], 0)</f>
        <v>0</v>
      </c>
    </row>
    <row r="162" spans="1:30" x14ac:dyDescent="0.25">
      <c r="A162" s="101"/>
      <c r="B162" s="104"/>
      <c r="C162" s="267"/>
      <c r="D162" s="294"/>
      <c r="E162" s="110"/>
      <c r="F162" s="110"/>
      <c r="G162" s="110"/>
      <c r="H162" s="110"/>
      <c r="I162" s="110"/>
      <c r="J162" s="110"/>
      <c r="K162" s="110"/>
      <c r="L162" s="110"/>
      <c r="M162" s="110"/>
      <c r="N162" s="110"/>
      <c r="O162" s="110"/>
      <c r="P162" s="110"/>
      <c r="Q162" s="110"/>
      <c r="R162" s="110"/>
      <c r="S162" s="110"/>
      <c r="T162" s="110"/>
      <c r="U162" s="263"/>
      <c r="V162" s="108">
        <f t="shared" si="8"/>
        <v>0</v>
      </c>
      <c r="W162" s="108">
        <f>AN_TME_BY[[#This Row],[TOTAL Non-Truncated Unadjusted Claims Expenses]]-AN_TME_BY[[#This Row],[Total Claims Excluded because of Truncation]]</f>
        <v>0</v>
      </c>
      <c r="X162" s="108">
        <f t="shared" si="9"/>
        <v>0</v>
      </c>
      <c r="Y162" s="108">
        <f>AN_TME_BY[[#This Row],[TOTAL Non-Truncated Unadjusted Claims Expenses]]+AN_TME_BY[[#This Row],[TOTAL Non-Claims Expenses]]</f>
        <v>0</v>
      </c>
      <c r="Z162" s="108">
        <f>AN_TME_BY[[#This Row],[TOTAL Truncated Unadjusted Claims Expenses (A21 -A19)]]+AN_TME_BY[[#This Row],[TOTAL Non-Claims Expenses]]</f>
        <v>0</v>
      </c>
      <c r="AA162" s="235">
        <f>IFERROR(AN_TME_BY[[#This Row],[TOTAL Non-Truncated Unadjusted Expenses (A21 + A23)]]/AN_TME_BY[[#This Row],[Member Months]],0)</f>
        <v>0</v>
      </c>
      <c r="AB162" s="271">
        <f>IFERROR(AN_TME_BY[[#This Row],[TOTAL Truncated Unadjusted Expenses (A22 + A23)]]/AN_TME_BY[[#This Row],[Member Months]],0)</f>
        <v>0</v>
      </c>
      <c r="AC162" s="237">
        <f>IFERROR(AN_TME_BY[[#This Row],[Total Claims Excluded because of Truncation]]/AN_TME_BY[[#This Row],[Count of Members with Claims Truncated]], 0)</f>
        <v>0</v>
      </c>
      <c r="AD162" s="238">
        <f>IFERROR(AN_TME_BY[[#This Row],[Total Claims Excluded because of Truncation]]/AN_TME_BY[[#This Row],[TOTAL Non-Truncated Unadjusted Claims Expenses]], 0)</f>
        <v>0</v>
      </c>
    </row>
    <row r="163" spans="1:30" x14ac:dyDescent="0.25">
      <c r="A163" s="101"/>
      <c r="B163" s="104"/>
      <c r="C163" s="270"/>
      <c r="D163" s="294"/>
      <c r="E163" s="110"/>
      <c r="F163" s="110"/>
      <c r="G163" s="110"/>
      <c r="H163" s="110"/>
      <c r="I163" s="110"/>
      <c r="J163" s="110"/>
      <c r="K163" s="110"/>
      <c r="L163" s="110"/>
      <c r="M163" s="110"/>
      <c r="N163" s="110"/>
      <c r="O163" s="110"/>
      <c r="P163" s="110"/>
      <c r="Q163" s="110"/>
      <c r="R163" s="110"/>
      <c r="S163" s="110"/>
      <c r="T163" s="110"/>
      <c r="U163" s="263"/>
      <c r="V163" s="108">
        <f t="shared" si="8"/>
        <v>0</v>
      </c>
      <c r="W163" s="108">
        <f>AN_TME_BY[[#This Row],[TOTAL Non-Truncated Unadjusted Claims Expenses]]-AN_TME_BY[[#This Row],[Total Claims Excluded because of Truncation]]</f>
        <v>0</v>
      </c>
      <c r="X163" s="108">
        <f t="shared" si="9"/>
        <v>0</v>
      </c>
      <c r="Y163" s="108">
        <f>AN_TME_BY[[#This Row],[TOTAL Non-Truncated Unadjusted Claims Expenses]]+AN_TME_BY[[#This Row],[TOTAL Non-Claims Expenses]]</f>
        <v>0</v>
      </c>
      <c r="Z163" s="108">
        <f>AN_TME_BY[[#This Row],[TOTAL Truncated Unadjusted Claims Expenses (A21 -A19)]]+AN_TME_BY[[#This Row],[TOTAL Non-Claims Expenses]]</f>
        <v>0</v>
      </c>
      <c r="AA163" s="235">
        <f>IFERROR(AN_TME_BY[[#This Row],[TOTAL Non-Truncated Unadjusted Expenses (A21 + A23)]]/AN_TME_BY[[#This Row],[Member Months]],0)</f>
        <v>0</v>
      </c>
      <c r="AB163" s="271">
        <f>IFERROR(AN_TME_BY[[#This Row],[TOTAL Truncated Unadjusted Expenses (A22 + A23)]]/AN_TME_BY[[#This Row],[Member Months]],0)</f>
        <v>0</v>
      </c>
      <c r="AC163" s="237">
        <f>IFERROR(AN_TME_BY[[#This Row],[Total Claims Excluded because of Truncation]]/AN_TME_BY[[#This Row],[Count of Members with Claims Truncated]], 0)</f>
        <v>0</v>
      </c>
      <c r="AD163" s="238">
        <f>IFERROR(AN_TME_BY[[#This Row],[Total Claims Excluded because of Truncation]]/AN_TME_BY[[#This Row],[TOTAL Non-Truncated Unadjusted Claims Expenses]], 0)</f>
        <v>0</v>
      </c>
    </row>
    <row r="164" spans="1:30" x14ac:dyDescent="0.25">
      <c r="A164" s="101"/>
      <c r="B164" s="104"/>
      <c r="C164" s="267"/>
      <c r="D164" s="294"/>
      <c r="E164" s="110"/>
      <c r="F164" s="110"/>
      <c r="G164" s="110"/>
      <c r="H164" s="110"/>
      <c r="I164" s="110"/>
      <c r="J164" s="110"/>
      <c r="K164" s="110"/>
      <c r="L164" s="110"/>
      <c r="M164" s="110"/>
      <c r="N164" s="110"/>
      <c r="O164" s="110"/>
      <c r="P164" s="110"/>
      <c r="Q164" s="110"/>
      <c r="R164" s="110"/>
      <c r="S164" s="110"/>
      <c r="T164" s="110"/>
      <c r="U164" s="263"/>
      <c r="V164" s="108">
        <f t="shared" si="8"/>
        <v>0</v>
      </c>
      <c r="W164" s="108">
        <f>AN_TME_BY[[#This Row],[TOTAL Non-Truncated Unadjusted Claims Expenses]]-AN_TME_BY[[#This Row],[Total Claims Excluded because of Truncation]]</f>
        <v>0</v>
      </c>
      <c r="X164" s="108">
        <f t="shared" si="9"/>
        <v>0</v>
      </c>
      <c r="Y164" s="108">
        <f>AN_TME_BY[[#This Row],[TOTAL Non-Truncated Unadjusted Claims Expenses]]+AN_TME_BY[[#This Row],[TOTAL Non-Claims Expenses]]</f>
        <v>0</v>
      </c>
      <c r="Z164" s="108">
        <f>AN_TME_BY[[#This Row],[TOTAL Truncated Unadjusted Claims Expenses (A21 -A19)]]+AN_TME_BY[[#This Row],[TOTAL Non-Claims Expenses]]</f>
        <v>0</v>
      </c>
      <c r="AA164" s="235">
        <f>IFERROR(AN_TME_BY[[#This Row],[TOTAL Non-Truncated Unadjusted Expenses (A21 + A23)]]/AN_TME_BY[[#This Row],[Member Months]],0)</f>
        <v>0</v>
      </c>
      <c r="AB164" s="271">
        <f>IFERROR(AN_TME_BY[[#This Row],[TOTAL Truncated Unadjusted Expenses (A22 + A23)]]/AN_TME_BY[[#This Row],[Member Months]],0)</f>
        <v>0</v>
      </c>
      <c r="AC164" s="237">
        <f>IFERROR(AN_TME_BY[[#This Row],[Total Claims Excluded because of Truncation]]/AN_TME_BY[[#This Row],[Count of Members with Claims Truncated]], 0)</f>
        <v>0</v>
      </c>
      <c r="AD164" s="238">
        <f>IFERROR(AN_TME_BY[[#This Row],[Total Claims Excluded because of Truncation]]/AN_TME_BY[[#This Row],[TOTAL Non-Truncated Unadjusted Claims Expenses]], 0)</f>
        <v>0</v>
      </c>
    </row>
    <row r="165" spans="1:30" x14ac:dyDescent="0.25">
      <c r="A165" s="101"/>
      <c r="B165" s="104"/>
      <c r="C165" s="270"/>
      <c r="D165" s="294"/>
      <c r="E165" s="110"/>
      <c r="F165" s="110"/>
      <c r="G165" s="110"/>
      <c r="H165" s="110"/>
      <c r="I165" s="110"/>
      <c r="J165" s="110"/>
      <c r="K165" s="110"/>
      <c r="L165" s="110"/>
      <c r="M165" s="110"/>
      <c r="N165" s="110"/>
      <c r="O165" s="110"/>
      <c r="P165" s="110"/>
      <c r="Q165" s="110"/>
      <c r="R165" s="110"/>
      <c r="S165" s="110"/>
      <c r="T165" s="110"/>
      <c r="U165" s="263"/>
      <c r="V165" s="108">
        <f t="shared" si="8"/>
        <v>0</v>
      </c>
      <c r="W165" s="108">
        <f>AN_TME_BY[[#This Row],[TOTAL Non-Truncated Unadjusted Claims Expenses]]-AN_TME_BY[[#This Row],[Total Claims Excluded because of Truncation]]</f>
        <v>0</v>
      </c>
      <c r="X165" s="108">
        <f t="shared" si="9"/>
        <v>0</v>
      </c>
      <c r="Y165" s="108">
        <f>AN_TME_BY[[#This Row],[TOTAL Non-Truncated Unadjusted Claims Expenses]]+AN_TME_BY[[#This Row],[TOTAL Non-Claims Expenses]]</f>
        <v>0</v>
      </c>
      <c r="Z165" s="108">
        <f>AN_TME_BY[[#This Row],[TOTAL Truncated Unadjusted Claims Expenses (A21 -A19)]]+AN_TME_BY[[#This Row],[TOTAL Non-Claims Expenses]]</f>
        <v>0</v>
      </c>
      <c r="AA165" s="235">
        <f>IFERROR(AN_TME_BY[[#This Row],[TOTAL Non-Truncated Unadjusted Expenses (A21 + A23)]]/AN_TME_BY[[#This Row],[Member Months]],0)</f>
        <v>0</v>
      </c>
      <c r="AB165" s="271">
        <f>IFERROR(AN_TME_BY[[#This Row],[TOTAL Truncated Unadjusted Expenses (A22 + A23)]]/AN_TME_BY[[#This Row],[Member Months]],0)</f>
        <v>0</v>
      </c>
      <c r="AC165" s="237">
        <f>IFERROR(AN_TME_BY[[#This Row],[Total Claims Excluded because of Truncation]]/AN_TME_BY[[#This Row],[Count of Members with Claims Truncated]], 0)</f>
        <v>0</v>
      </c>
      <c r="AD165" s="238">
        <f>IFERROR(AN_TME_BY[[#This Row],[Total Claims Excluded because of Truncation]]/AN_TME_BY[[#This Row],[TOTAL Non-Truncated Unadjusted Claims Expenses]], 0)</f>
        <v>0</v>
      </c>
    </row>
    <row r="166" spans="1:30" x14ac:dyDescent="0.25">
      <c r="A166" s="101"/>
      <c r="B166" s="104"/>
      <c r="C166" s="267"/>
      <c r="D166" s="294"/>
      <c r="E166" s="110"/>
      <c r="F166" s="110"/>
      <c r="G166" s="110"/>
      <c r="H166" s="110"/>
      <c r="I166" s="110"/>
      <c r="J166" s="110"/>
      <c r="K166" s="110"/>
      <c r="L166" s="110"/>
      <c r="M166" s="110"/>
      <c r="N166" s="110"/>
      <c r="O166" s="110"/>
      <c r="P166" s="110"/>
      <c r="Q166" s="110"/>
      <c r="R166" s="110"/>
      <c r="S166" s="110"/>
      <c r="T166" s="110"/>
      <c r="U166" s="263"/>
      <c r="V166" s="108">
        <f t="shared" si="8"/>
        <v>0</v>
      </c>
      <c r="W166" s="108">
        <f>AN_TME_BY[[#This Row],[TOTAL Non-Truncated Unadjusted Claims Expenses]]-AN_TME_BY[[#This Row],[Total Claims Excluded because of Truncation]]</f>
        <v>0</v>
      </c>
      <c r="X166" s="108">
        <f t="shared" si="9"/>
        <v>0</v>
      </c>
      <c r="Y166" s="108">
        <f>AN_TME_BY[[#This Row],[TOTAL Non-Truncated Unadjusted Claims Expenses]]+AN_TME_BY[[#This Row],[TOTAL Non-Claims Expenses]]</f>
        <v>0</v>
      </c>
      <c r="Z166" s="108">
        <f>AN_TME_BY[[#This Row],[TOTAL Truncated Unadjusted Claims Expenses (A21 -A19)]]+AN_TME_BY[[#This Row],[TOTAL Non-Claims Expenses]]</f>
        <v>0</v>
      </c>
      <c r="AA166" s="235">
        <f>IFERROR(AN_TME_BY[[#This Row],[TOTAL Non-Truncated Unadjusted Expenses (A21 + A23)]]/AN_TME_BY[[#This Row],[Member Months]],0)</f>
        <v>0</v>
      </c>
      <c r="AB166" s="271">
        <f>IFERROR(AN_TME_BY[[#This Row],[TOTAL Truncated Unadjusted Expenses (A22 + A23)]]/AN_TME_BY[[#This Row],[Member Months]],0)</f>
        <v>0</v>
      </c>
      <c r="AC166" s="237">
        <f>IFERROR(AN_TME_BY[[#This Row],[Total Claims Excluded because of Truncation]]/AN_TME_BY[[#This Row],[Count of Members with Claims Truncated]], 0)</f>
        <v>0</v>
      </c>
      <c r="AD166" s="238">
        <f>IFERROR(AN_TME_BY[[#This Row],[Total Claims Excluded because of Truncation]]/AN_TME_BY[[#This Row],[TOTAL Non-Truncated Unadjusted Claims Expenses]], 0)</f>
        <v>0</v>
      </c>
    </row>
    <row r="167" spans="1:30" x14ac:dyDescent="0.25">
      <c r="A167" s="101"/>
      <c r="B167" s="104"/>
      <c r="C167" s="270"/>
      <c r="D167" s="294"/>
      <c r="E167" s="110"/>
      <c r="F167" s="110"/>
      <c r="G167" s="110"/>
      <c r="H167" s="110"/>
      <c r="I167" s="110"/>
      <c r="J167" s="110"/>
      <c r="K167" s="110"/>
      <c r="L167" s="110"/>
      <c r="M167" s="110"/>
      <c r="N167" s="110"/>
      <c r="O167" s="110"/>
      <c r="P167" s="110"/>
      <c r="Q167" s="110"/>
      <c r="R167" s="110"/>
      <c r="S167" s="110"/>
      <c r="T167" s="110"/>
      <c r="U167" s="263"/>
      <c r="V167" s="108">
        <f t="shared" si="8"/>
        <v>0</v>
      </c>
      <c r="W167" s="108">
        <f>AN_TME_BY[[#This Row],[TOTAL Non-Truncated Unadjusted Claims Expenses]]-AN_TME_BY[[#This Row],[Total Claims Excluded because of Truncation]]</f>
        <v>0</v>
      </c>
      <c r="X167" s="108">
        <f t="shared" si="9"/>
        <v>0</v>
      </c>
      <c r="Y167" s="108">
        <f>AN_TME_BY[[#This Row],[TOTAL Non-Truncated Unadjusted Claims Expenses]]+AN_TME_BY[[#This Row],[TOTAL Non-Claims Expenses]]</f>
        <v>0</v>
      </c>
      <c r="Z167" s="108">
        <f>AN_TME_BY[[#This Row],[TOTAL Truncated Unadjusted Claims Expenses (A21 -A19)]]+AN_TME_BY[[#This Row],[TOTAL Non-Claims Expenses]]</f>
        <v>0</v>
      </c>
      <c r="AA167" s="235">
        <f>IFERROR(AN_TME_BY[[#This Row],[TOTAL Non-Truncated Unadjusted Expenses (A21 + A23)]]/AN_TME_BY[[#This Row],[Member Months]],0)</f>
        <v>0</v>
      </c>
      <c r="AB167" s="271">
        <f>IFERROR(AN_TME_BY[[#This Row],[TOTAL Truncated Unadjusted Expenses (A22 + A23)]]/AN_TME_BY[[#This Row],[Member Months]],0)</f>
        <v>0</v>
      </c>
      <c r="AC167" s="237">
        <f>IFERROR(AN_TME_BY[[#This Row],[Total Claims Excluded because of Truncation]]/AN_TME_BY[[#This Row],[Count of Members with Claims Truncated]], 0)</f>
        <v>0</v>
      </c>
      <c r="AD167" s="238">
        <f>IFERROR(AN_TME_BY[[#This Row],[Total Claims Excluded because of Truncation]]/AN_TME_BY[[#This Row],[TOTAL Non-Truncated Unadjusted Claims Expenses]], 0)</f>
        <v>0</v>
      </c>
    </row>
    <row r="168" spans="1:30" x14ac:dyDescent="0.25">
      <c r="A168" s="101"/>
      <c r="B168" s="104"/>
      <c r="C168" s="267"/>
      <c r="D168" s="294"/>
      <c r="E168" s="110"/>
      <c r="F168" s="110"/>
      <c r="G168" s="110"/>
      <c r="H168" s="110"/>
      <c r="I168" s="110"/>
      <c r="J168" s="110"/>
      <c r="K168" s="110"/>
      <c r="L168" s="110"/>
      <c r="M168" s="110"/>
      <c r="N168" s="110"/>
      <c r="O168" s="110"/>
      <c r="P168" s="110"/>
      <c r="Q168" s="110"/>
      <c r="R168" s="110"/>
      <c r="S168" s="110"/>
      <c r="T168" s="110"/>
      <c r="U168" s="263"/>
      <c r="V168" s="108">
        <f t="shared" si="8"/>
        <v>0</v>
      </c>
      <c r="W168" s="108">
        <f>AN_TME_BY[[#This Row],[TOTAL Non-Truncated Unadjusted Claims Expenses]]-AN_TME_BY[[#This Row],[Total Claims Excluded because of Truncation]]</f>
        <v>0</v>
      </c>
      <c r="X168" s="108">
        <f t="shared" si="9"/>
        <v>0</v>
      </c>
      <c r="Y168" s="108">
        <f>AN_TME_BY[[#This Row],[TOTAL Non-Truncated Unadjusted Claims Expenses]]+AN_TME_BY[[#This Row],[TOTAL Non-Claims Expenses]]</f>
        <v>0</v>
      </c>
      <c r="Z168" s="108">
        <f>AN_TME_BY[[#This Row],[TOTAL Truncated Unadjusted Claims Expenses (A21 -A19)]]+AN_TME_BY[[#This Row],[TOTAL Non-Claims Expenses]]</f>
        <v>0</v>
      </c>
      <c r="AA168" s="235">
        <f>IFERROR(AN_TME_BY[[#This Row],[TOTAL Non-Truncated Unadjusted Expenses (A21 + A23)]]/AN_TME_BY[[#This Row],[Member Months]],0)</f>
        <v>0</v>
      </c>
      <c r="AB168" s="271">
        <f>IFERROR(AN_TME_BY[[#This Row],[TOTAL Truncated Unadjusted Expenses (A22 + A23)]]/AN_TME_BY[[#This Row],[Member Months]],0)</f>
        <v>0</v>
      </c>
      <c r="AC168" s="237">
        <f>IFERROR(AN_TME_BY[[#This Row],[Total Claims Excluded because of Truncation]]/AN_TME_BY[[#This Row],[Count of Members with Claims Truncated]], 0)</f>
        <v>0</v>
      </c>
      <c r="AD168" s="238">
        <f>IFERROR(AN_TME_BY[[#This Row],[Total Claims Excluded because of Truncation]]/AN_TME_BY[[#This Row],[TOTAL Non-Truncated Unadjusted Claims Expenses]], 0)</f>
        <v>0</v>
      </c>
    </row>
    <row r="169" spans="1:30" x14ac:dyDescent="0.25">
      <c r="A169" s="101"/>
      <c r="B169" s="104"/>
      <c r="C169" s="270"/>
      <c r="D169" s="294"/>
      <c r="E169" s="110"/>
      <c r="F169" s="110"/>
      <c r="G169" s="110"/>
      <c r="H169" s="110"/>
      <c r="I169" s="110"/>
      <c r="J169" s="110"/>
      <c r="K169" s="110"/>
      <c r="L169" s="110"/>
      <c r="M169" s="110"/>
      <c r="N169" s="110"/>
      <c r="O169" s="110"/>
      <c r="P169" s="110"/>
      <c r="Q169" s="110"/>
      <c r="R169" s="110"/>
      <c r="S169" s="110"/>
      <c r="T169" s="110"/>
      <c r="U169" s="263"/>
      <c r="V169" s="108">
        <f t="shared" si="8"/>
        <v>0</v>
      </c>
      <c r="W169" s="108">
        <f>AN_TME_BY[[#This Row],[TOTAL Non-Truncated Unadjusted Claims Expenses]]-AN_TME_BY[[#This Row],[Total Claims Excluded because of Truncation]]</f>
        <v>0</v>
      </c>
      <c r="X169" s="108">
        <f t="shared" si="9"/>
        <v>0</v>
      </c>
      <c r="Y169" s="108">
        <f>AN_TME_BY[[#This Row],[TOTAL Non-Truncated Unadjusted Claims Expenses]]+AN_TME_BY[[#This Row],[TOTAL Non-Claims Expenses]]</f>
        <v>0</v>
      </c>
      <c r="Z169" s="108">
        <f>AN_TME_BY[[#This Row],[TOTAL Truncated Unadjusted Claims Expenses (A21 -A19)]]+AN_TME_BY[[#This Row],[TOTAL Non-Claims Expenses]]</f>
        <v>0</v>
      </c>
      <c r="AA169" s="235">
        <f>IFERROR(AN_TME_BY[[#This Row],[TOTAL Non-Truncated Unadjusted Expenses (A21 + A23)]]/AN_TME_BY[[#This Row],[Member Months]],0)</f>
        <v>0</v>
      </c>
      <c r="AB169" s="271">
        <f>IFERROR(AN_TME_BY[[#This Row],[TOTAL Truncated Unadjusted Expenses (A22 + A23)]]/AN_TME_BY[[#This Row],[Member Months]],0)</f>
        <v>0</v>
      </c>
      <c r="AC169" s="237">
        <f>IFERROR(AN_TME_BY[[#This Row],[Total Claims Excluded because of Truncation]]/AN_TME_BY[[#This Row],[Count of Members with Claims Truncated]], 0)</f>
        <v>0</v>
      </c>
      <c r="AD169" s="238">
        <f>IFERROR(AN_TME_BY[[#This Row],[Total Claims Excluded because of Truncation]]/AN_TME_BY[[#This Row],[TOTAL Non-Truncated Unadjusted Claims Expenses]], 0)</f>
        <v>0</v>
      </c>
    </row>
    <row r="170" spans="1:30" x14ac:dyDescent="0.25">
      <c r="A170" s="101"/>
      <c r="B170" s="104"/>
      <c r="C170" s="267"/>
      <c r="D170" s="294"/>
      <c r="E170" s="110"/>
      <c r="F170" s="110"/>
      <c r="G170" s="110"/>
      <c r="H170" s="110"/>
      <c r="I170" s="110"/>
      <c r="J170" s="110"/>
      <c r="K170" s="110"/>
      <c r="L170" s="110"/>
      <c r="M170" s="110"/>
      <c r="N170" s="110"/>
      <c r="O170" s="110"/>
      <c r="P170" s="110"/>
      <c r="Q170" s="110"/>
      <c r="R170" s="110"/>
      <c r="S170" s="110"/>
      <c r="T170" s="110"/>
      <c r="U170" s="263"/>
      <c r="V170" s="108">
        <f t="shared" si="8"/>
        <v>0</v>
      </c>
      <c r="W170" s="108">
        <f>AN_TME_BY[[#This Row],[TOTAL Non-Truncated Unadjusted Claims Expenses]]-AN_TME_BY[[#This Row],[Total Claims Excluded because of Truncation]]</f>
        <v>0</v>
      </c>
      <c r="X170" s="108">
        <f t="shared" si="9"/>
        <v>0</v>
      </c>
      <c r="Y170" s="108">
        <f>AN_TME_BY[[#This Row],[TOTAL Non-Truncated Unadjusted Claims Expenses]]+AN_TME_BY[[#This Row],[TOTAL Non-Claims Expenses]]</f>
        <v>0</v>
      </c>
      <c r="Z170" s="108">
        <f>AN_TME_BY[[#This Row],[TOTAL Truncated Unadjusted Claims Expenses (A21 -A19)]]+AN_TME_BY[[#This Row],[TOTAL Non-Claims Expenses]]</f>
        <v>0</v>
      </c>
      <c r="AA170" s="235">
        <f>IFERROR(AN_TME_BY[[#This Row],[TOTAL Non-Truncated Unadjusted Expenses (A21 + A23)]]/AN_TME_BY[[#This Row],[Member Months]],0)</f>
        <v>0</v>
      </c>
      <c r="AB170" s="271">
        <f>IFERROR(AN_TME_BY[[#This Row],[TOTAL Truncated Unadjusted Expenses (A22 + A23)]]/AN_TME_BY[[#This Row],[Member Months]],0)</f>
        <v>0</v>
      </c>
      <c r="AC170" s="237">
        <f>IFERROR(AN_TME_BY[[#This Row],[Total Claims Excluded because of Truncation]]/AN_TME_BY[[#This Row],[Count of Members with Claims Truncated]], 0)</f>
        <v>0</v>
      </c>
      <c r="AD170" s="238">
        <f>IFERROR(AN_TME_BY[[#This Row],[Total Claims Excluded because of Truncation]]/AN_TME_BY[[#This Row],[TOTAL Non-Truncated Unadjusted Claims Expenses]], 0)</f>
        <v>0</v>
      </c>
    </row>
    <row r="171" spans="1:30" x14ac:dyDescent="0.25">
      <c r="A171" s="101"/>
      <c r="B171" s="104"/>
      <c r="C171" s="270"/>
      <c r="D171" s="294"/>
      <c r="E171" s="110"/>
      <c r="F171" s="110"/>
      <c r="G171" s="110"/>
      <c r="H171" s="110"/>
      <c r="I171" s="110"/>
      <c r="J171" s="110"/>
      <c r="K171" s="110"/>
      <c r="L171" s="110"/>
      <c r="M171" s="110"/>
      <c r="N171" s="110"/>
      <c r="O171" s="110"/>
      <c r="P171" s="110"/>
      <c r="Q171" s="110"/>
      <c r="R171" s="110"/>
      <c r="S171" s="110"/>
      <c r="T171" s="110"/>
      <c r="U171" s="263"/>
      <c r="V171" s="108">
        <f t="shared" ref="V171:V200" si="10">SUM(E171:G171)+SUM(I171:M171)</f>
        <v>0</v>
      </c>
      <c r="W171" s="108">
        <f>AN_TME_BY[[#This Row],[TOTAL Non-Truncated Unadjusted Claims Expenses]]-AN_TME_BY[[#This Row],[Total Claims Excluded because of Truncation]]</f>
        <v>0</v>
      </c>
      <c r="X171" s="108">
        <f t="shared" ref="X171:X200" si="11">SUM(N171:R171)</f>
        <v>0</v>
      </c>
      <c r="Y171" s="108">
        <f>AN_TME_BY[[#This Row],[TOTAL Non-Truncated Unadjusted Claims Expenses]]+AN_TME_BY[[#This Row],[TOTAL Non-Claims Expenses]]</f>
        <v>0</v>
      </c>
      <c r="Z171" s="108">
        <f>AN_TME_BY[[#This Row],[TOTAL Truncated Unadjusted Claims Expenses (A21 -A19)]]+AN_TME_BY[[#This Row],[TOTAL Non-Claims Expenses]]</f>
        <v>0</v>
      </c>
      <c r="AA171" s="235">
        <f>IFERROR(AN_TME_BY[[#This Row],[TOTAL Non-Truncated Unadjusted Expenses (A21 + A23)]]/AN_TME_BY[[#This Row],[Member Months]],0)</f>
        <v>0</v>
      </c>
      <c r="AB171" s="271">
        <f>IFERROR(AN_TME_BY[[#This Row],[TOTAL Truncated Unadjusted Expenses (A22 + A23)]]/AN_TME_BY[[#This Row],[Member Months]],0)</f>
        <v>0</v>
      </c>
      <c r="AC171" s="237">
        <f>IFERROR(AN_TME_BY[[#This Row],[Total Claims Excluded because of Truncation]]/AN_TME_BY[[#This Row],[Count of Members with Claims Truncated]], 0)</f>
        <v>0</v>
      </c>
      <c r="AD171" s="238">
        <f>IFERROR(AN_TME_BY[[#This Row],[Total Claims Excluded because of Truncation]]/AN_TME_BY[[#This Row],[TOTAL Non-Truncated Unadjusted Claims Expenses]], 0)</f>
        <v>0</v>
      </c>
    </row>
    <row r="172" spans="1:30" x14ac:dyDescent="0.25">
      <c r="A172" s="101"/>
      <c r="B172" s="104"/>
      <c r="C172" s="267"/>
      <c r="D172" s="294"/>
      <c r="E172" s="110"/>
      <c r="F172" s="110"/>
      <c r="G172" s="110"/>
      <c r="H172" s="110"/>
      <c r="I172" s="110"/>
      <c r="J172" s="110"/>
      <c r="K172" s="110"/>
      <c r="L172" s="110"/>
      <c r="M172" s="110"/>
      <c r="N172" s="110"/>
      <c r="O172" s="110"/>
      <c r="P172" s="110"/>
      <c r="Q172" s="110"/>
      <c r="R172" s="110"/>
      <c r="S172" s="110"/>
      <c r="T172" s="110"/>
      <c r="U172" s="263"/>
      <c r="V172" s="108">
        <f t="shared" si="10"/>
        <v>0</v>
      </c>
      <c r="W172" s="108">
        <f>AN_TME_BY[[#This Row],[TOTAL Non-Truncated Unadjusted Claims Expenses]]-AN_TME_BY[[#This Row],[Total Claims Excluded because of Truncation]]</f>
        <v>0</v>
      </c>
      <c r="X172" s="108">
        <f t="shared" si="11"/>
        <v>0</v>
      </c>
      <c r="Y172" s="108">
        <f>AN_TME_BY[[#This Row],[TOTAL Non-Truncated Unadjusted Claims Expenses]]+AN_TME_BY[[#This Row],[TOTAL Non-Claims Expenses]]</f>
        <v>0</v>
      </c>
      <c r="Z172" s="108">
        <f>AN_TME_BY[[#This Row],[TOTAL Truncated Unadjusted Claims Expenses (A21 -A19)]]+AN_TME_BY[[#This Row],[TOTAL Non-Claims Expenses]]</f>
        <v>0</v>
      </c>
      <c r="AA172" s="235">
        <f>IFERROR(AN_TME_BY[[#This Row],[TOTAL Non-Truncated Unadjusted Expenses (A21 + A23)]]/AN_TME_BY[[#This Row],[Member Months]],0)</f>
        <v>0</v>
      </c>
      <c r="AB172" s="271">
        <f>IFERROR(AN_TME_BY[[#This Row],[TOTAL Truncated Unadjusted Expenses (A22 + A23)]]/AN_TME_BY[[#This Row],[Member Months]],0)</f>
        <v>0</v>
      </c>
      <c r="AC172" s="237">
        <f>IFERROR(AN_TME_BY[[#This Row],[Total Claims Excluded because of Truncation]]/AN_TME_BY[[#This Row],[Count of Members with Claims Truncated]], 0)</f>
        <v>0</v>
      </c>
      <c r="AD172" s="238">
        <f>IFERROR(AN_TME_BY[[#This Row],[Total Claims Excluded because of Truncation]]/AN_TME_BY[[#This Row],[TOTAL Non-Truncated Unadjusted Claims Expenses]], 0)</f>
        <v>0</v>
      </c>
    </row>
    <row r="173" spans="1:30" x14ac:dyDescent="0.25">
      <c r="A173" s="101"/>
      <c r="B173" s="104"/>
      <c r="C173" s="270"/>
      <c r="D173" s="294"/>
      <c r="E173" s="110"/>
      <c r="F173" s="110"/>
      <c r="G173" s="110"/>
      <c r="H173" s="110"/>
      <c r="I173" s="110"/>
      <c r="J173" s="110"/>
      <c r="K173" s="110"/>
      <c r="L173" s="110"/>
      <c r="M173" s="110"/>
      <c r="N173" s="110"/>
      <c r="O173" s="110"/>
      <c r="P173" s="110"/>
      <c r="Q173" s="110"/>
      <c r="R173" s="110"/>
      <c r="S173" s="110"/>
      <c r="T173" s="110"/>
      <c r="U173" s="263"/>
      <c r="V173" s="108">
        <f t="shared" si="10"/>
        <v>0</v>
      </c>
      <c r="W173" s="108">
        <f>AN_TME_BY[[#This Row],[TOTAL Non-Truncated Unadjusted Claims Expenses]]-AN_TME_BY[[#This Row],[Total Claims Excluded because of Truncation]]</f>
        <v>0</v>
      </c>
      <c r="X173" s="108">
        <f t="shared" si="11"/>
        <v>0</v>
      </c>
      <c r="Y173" s="108">
        <f>AN_TME_BY[[#This Row],[TOTAL Non-Truncated Unadjusted Claims Expenses]]+AN_TME_BY[[#This Row],[TOTAL Non-Claims Expenses]]</f>
        <v>0</v>
      </c>
      <c r="Z173" s="108">
        <f>AN_TME_BY[[#This Row],[TOTAL Truncated Unadjusted Claims Expenses (A21 -A19)]]+AN_TME_BY[[#This Row],[TOTAL Non-Claims Expenses]]</f>
        <v>0</v>
      </c>
      <c r="AA173" s="235">
        <f>IFERROR(AN_TME_BY[[#This Row],[TOTAL Non-Truncated Unadjusted Expenses (A21 + A23)]]/AN_TME_BY[[#This Row],[Member Months]],0)</f>
        <v>0</v>
      </c>
      <c r="AB173" s="271">
        <f>IFERROR(AN_TME_BY[[#This Row],[TOTAL Truncated Unadjusted Expenses (A22 + A23)]]/AN_TME_BY[[#This Row],[Member Months]],0)</f>
        <v>0</v>
      </c>
      <c r="AC173" s="237">
        <f>IFERROR(AN_TME_BY[[#This Row],[Total Claims Excluded because of Truncation]]/AN_TME_BY[[#This Row],[Count of Members with Claims Truncated]], 0)</f>
        <v>0</v>
      </c>
      <c r="AD173" s="238">
        <f>IFERROR(AN_TME_BY[[#This Row],[Total Claims Excluded because of Truncation]]/AN_TME_BY[[#This Row],[TOTAL Non-Truncated Unadjusted Claims Expenses]], 0)</f>
        <v>0</v>
      </c>
    </row>
    <row r="174" spans="1:30" x14ac:dyDescent="0.25">
      <c r="A174" s="101"/>
      <c r="B174" s="104"/>
      <c r="C174" s="267"/>
      <c r="D174" s="294"/>
      <c r="E174" s="110"/>
      <c r="F174" s="110"/>
      <c r="G174" s="110"/>
      <c r="H174" s="110"/>
      <c r="I174" s="110"/>
      <c r="J174" s="110"/>
      <c r="K174" s="110"/>
      <c r="L174" s="110"/>
      <c r="M174" s="110"/>
      <c r="N174" s="110"/>
      <c r="O174" s="110"/>
      <c r="P174" s="110"/>
      <c r="Q174" s="110"/>
      <c r="R174" s="110"/>
      <c r="S174" s="110"/>
      <c r="T174" s="110"/>
      <c r="U174" s="263"/>
      <c r="V174" s="108">
        <f t="shared" si="10"/>
        <v>0</v>
      </c>
      <c r="W174" s="108">
        <f>AN_TME_BY[[#This Row],[TOTAL Non-Truncated Unadjusted Claims Expenses]]-AN_TME_BY[[#This Row],[Total Claims Excluded because of Truncation]]</f>
        <v>0</v>
      </c>
      <c r="X174" s="108">
        <f t="shared" si="11"/>
        <v>0</v>
      </c>
      <c r="Y174" s="108">
        <f>AN_TME_BY[[#This Row],[TOTAL Non-Truncated Unadjusted Claims Expenses]]+AN_TME_BY[[#This Row],[TOTAL Non-Claims Expenses]]</f>
        <v>0</v>
      </c>
      <c r="Z174" s="108">
        <f>AN_TME_BY[[#This Row],[TOTAL Truncated Unadjusted Claims Expenses (A21 -A19)]]+AN_TME_BY[[#This Row],[TOTAL Non-Claims Expenses]]</f>
        <v>0</v>
      </c>
      <c r="AA174" s="235">
        <f>IFERROR(AN_TME_BY[[#This Row],[TOTAL Non-Truncated Unadjusted Expenses (A21 + A23)]]/AN_TME_BY[[#This Row],[Member Months]],0)</f>
        <v>0</v>
      </c>
      <c r="AB174" s="271">
        <f>IFERROR(AN_TME_BY[[#This Row],[TOTAL Truncated Unadjusted Expenses (A22 + A23)]]/AN_TME_BY[[#This Row],[Member Months]],0)</f>
        <v>0</v>
      </c>
      <c r="AC174" s="237">
        <f>IFERROR(AN_TME_BY[[#This Row],[Total Claims Excluded because of Truncation]]/AN_TME_BY[[#This Row],[Count of Members with Claims Truncated]], 0)</f>
        <v>0</v>
      </c>
      <c r="AD174" s="238">
        <f>IFERROR(AN_TME_BY[[#This Row],[Total Claims Excluded because of Truncation]]/AN_TME_BY[[#This Row],[TOTAL Non-Truncated Unadjusted Claims Expenses]], 0)</f>
        <v>0</v>
      </c>
    </row>
    <row r="175" spans="1:30" x14ac:dyDescent="0.25">
      <c r="A175" s="101"/>
      <c r="B175" s="104"/>
      <c r="C175" s="270"/>
      <c r="D175" s="294"/>
      <c r="E175" s="110"/>
      <c r="F175" s="110"/>
      <c r="G175" s="110"/>
      <c r="H175" s="110"/>
      <c r="I175" s="110"/>
      <c r="J175" s="110"/>
      <c r="K175" s="110"/>
      <c r="L175" s="110"/>
      <c r="M175" s="110"/>
      <c r="N175" s="110"/>
      <c r="O175" s="110"/>
      <c r="P175" s="110"/>
      <c r="Q175" s="110"/>
      <c r="R175" s="110"/>
      <c r="S175" s="110"/>
      <c r="T175" s="110"/>
      <c r="U175" s="263"/>
      <c r="V175" s="108">
        <f t="shared" si="10"/>
        <v>0</v>
      </c>
      <c r="W175" s="108">
        <f>AN_TME_BY[[#This Row],[TOTAL Non-Truncated Unadjusted Claims Expenses]]-AN_TME_BY[[#This Row],[Total Claims Excluded because of Truncation]]</f>
        <v>0</v>
      </c>
      <c r="X175" s="108">
        <f t="shared" si="11"/>
        <v>0</v>
      </c>
      <c r="Y175" s="108">
        <f>AN_TME_BY[[#This Row],[TOTAL Non-Truncated Unadjusted Claims Expenses]]+AN_TME_BY[[#This Row],[TOTAL Non-Claims Expenses]]</f>
        <v>0</v>
      </c>
      <c r="Z175" s="108">
        <f>AN_TME_BY[[#This Row],[TOTAL Truncated Unadjusted Claims Expenses (A21 -A19)]]+AN_TME_BY[[#This Row],[TOTAL Non-Claims Expenses]]</f>
        <v>0</v>
      </c>
      <c r="AA175" s="235">
        <f>IFERROR(AN_TME_BY[[#This Row],[TOTAL Non-Truncated Unadjusted Expenses (A21 + A23)]]/AN_TME_BY[[#This Row],[Member Months]],0)</f>
        <v>0</v>
      </c>
      <c r="AB175" s="271">
        <f>IFERROR(AN_TME_BY[[#This Row],[TOTAL Truncated Unadjusted Expenses (A22 + A23)]]/AN_TME_BY[[#This Row],[Member Months]],0)</f>
        <v>0</v>
      </c>
      <c r="AC175" s="237">
        <f>IFERROR(AN_TME_BY[[#This Row],[Total Claims Excluded because of Truncation]]/AN_TME_BY[[#This Row],[Count of Members with Claims Truncated]], 0)</f>
        <v>0</v>
      </c>
      <c r="AD175" s="238">
        <f>IFERROR(AN_TME_BY[[#This Row],[Total Claims Excluded because of Truncation]]/AN_TME_BY[[#This Row],[TOTAL Non-Truncated Unadjusted Claims Expenses]], 0)</f>
        <v>0</v>
      </c>
    </row>
    <row r="176" spans="1:30" x14ac:dyDescent="0.25">
      <c r="A176" s="101"/>
      <c r="B176" s="104"/>
      <c r="C176" s="267"/>
      <c r="D176" s="294"/>
      <c r="E176" s="110"/>
      <c r="F176" s="110"/>
      <c r="G176" s="110"/>
      <c r="H176" s="110"/>
      <c r="I176" s="110"/>
      <c r="J176" s="110"/>
      <c r="K176" s="110"/>
      <c r="L176" s="110"/>
      <c r="M176" s="110"/>
      <c r="N176" s="110"/>
      <c r="O176" s="110"/>
      <c r="P176" s="110"/>
      <c r="Q176" s="110"/>
      <c r="R176" s="110"/>
      <c r="S176" s="110"/>
      <c r="T176" s="110"/>
      <c r="U176" s="263"/>
      <c r="V176" s="108">
        <f t="shared" si="10"/>
        <v>0</v>
      </c>
      <c r="W176" s="108">
        <f>AN_TME_BY[[#This Row],[TOTAL Non-Truncated Unadjusted Claims Expenses]]-AN_TME_BY[[#This Row],[Total Claims Excluded because of Truncation]]</f>
        <v>0</v>
      </c>
      <c r="X176" s="108">
        <f t="shared" si="11"/>
        <v>0</v>
      </c>
      <c r="Y176" s="108">
        <f>AN_TME_BY[[#This Row],[TOTAL Non-Truncated Unadjusted Claims Expenses]]+AN_TME_BY[[#This Row],[TOTAL Non-Claims Expenses]]</f>
        <v>0</v>
      </c>
      <c r="Z176" s="108">
        <f>AN_TME_BY[[#This Row],[TOTAL Truncated Unadjusted Claims Expenses (A21 -A19)]]+AN_TME_BY[[#This Row],[TOTAL Non-Claims Expenses]]</f>
        <v>0</v>
      </c>
      <c r="AA176" s="235">
        <f>IFERROR(AN_TME_BY[[#This Row],[TOTAL Non-Truncated Unadjusted Expenses (A21 + A23)]]/AN_TME_BY[[#This Row],[Member Months]],0)</f>
        <v>0</v>
      </c>
      <c r="AB176" s="271">
        <f>IFERROR(AN_TME_BY[[#This Row],[TOTAL Truncated Unadjusted Expenses (A22 + A23)]]/AN_TME_BY[[#This Row],[Member Months]],0)</f>
        <v>0</v>
      </c>
      <c r="AC176" s="237">
        <f>IFERROR(AN_TME_BY[[#This Row],[Total Claims Excluded because of Truncation]]/AN_TME_BY[[#This Row],[Count of Members with Claims Truncated]], 0)</f>
        <v>0</v>
      </c>
      <c r="AD176" s="238">
        <f>IFERROR(AN_TME_BY[[#This Row],[Total Claims Excluded because of Truncation]]/AN_TME_BY[[#This Row],[TOTAL Non-Truncated Unadjusted Claims Expenses]], 0)</f>
        <v>0</v>
      </c>
    </row>
    <row r="177" spans="1:30" x14ac:dyDescent="0.25">
      <c r="A177" s="101"/>
      <c r="B177" s="104"/>
      <c r="C177" s="270"/>
      <c r="D177" s="294"/>
      <c r="E177" s="110"/>
      <c r="F177" s="110"/>
      <c r="G177" s="110"/>
      <c r="H177" s="110"/>
      <c r="I177" s="110"/>
      <c r="J177" s="110"/>
      <c r="K177" s="110"/>
      <c r="L177" s="110"/>
      <c r="M177" s="110"/>
      <c r="N177" s="110"/>
      <c r="O177" s="110"/>
      <c r="P177" s="110"/>
      <c r="Q177" s="110"/>
      <c r="R177" s="110"/>
      <c r="S177" s="110"/>
      <c r="T177" s="110"/>
      <c r="U177" s="263"/>
      <c r="V177" s="108">
        <f t="shared" si="10"/>
        <v>0</v>
      </c>
      <c r="W177" s="108">
        <f>AN_TME_BY[[#This Row],[TOTAL Non-Truncated Unadjusted Claims Expenses]]-AN_TME_BY[[#This Row],[Total Claims Excluded because of Truncation]]</f>
        <v>0</v>
      </c>
      <c r="X177" s="108">
        <f t="shared" si="11"/>
        <v>0</v>
      </c>
      <c r="Y177" s="108">
        <f>AN_TME_BY[[#This Row],[TOTAL Non-Truncated Unadjusted Claims Expenses]]+AN_TME_BY[[#This Row],[TOTAL Non-Claims Expenses]]</f>
        <v>0</v>
      </c>
      <c r="Z177" s="108">
        <f>AN_TME_BY[[#This Row],[TOTAL Truncated Unadjusted Claims Expenses (A21 -A19)]]+AN_TME_BY[[#This Row],[TOTAL Non-Claims Expenses]]</f>
        <v>0</v>
      </c>
      <c r="AA177" s="235">
        <f>IFERROR(AN_TME_BY[[#This Row],[TOTAL Non-Truncated Unadjusted Expenses (A21 + A23)]]/AN_TME_BY[[#This Row],[Member Months]],0)</f>
        <v>0</v>
      </c>
      <c r="AB177" s="271">
        <f>IFERROR(AN_TME_BY[[#This Row],[TOTAL Truncated Unadjusted Expenses (A22 + A23)]]/AN_TME_BY[[#This Row],[Member Months]],0)</f>
        <v>0</v>
      </c>
      <c r="AC177" s="237">
        <f>IFERROR(AN_TME_BY[[#This Row],[Total Claims Excluded because of Truncation]]/AN_TME_BY[[#This Row],[Count of Members with Claims Truncated]], 0)</f>
        <v>0</v>
      </c>
      <c r="AD177" s="238">
        <f>IFERROR(AN_TME_BY[[#This Row],[Total Claims Excluded because of Truncation]]/AN_TME_BY[[#This Row],[TOTAL Non-Truncated Unadjusted Claims Expenses]], 0)</f>
        <v>0</v>
      </c>
    </row>
    <row r="178" spans="1:30" x14ac:dyDescent="0.25">
      <c r="A178" s="101"/>
      <c r="B178" s="104"/>
      <c r="C178" s="267"/>
      <c r="D178" s="294"/>
      <c r="E178" s="110"/>
      <c r="F178" s="110"/>
      <c r="G178" s="110"/>
      <c r="H178" s="110"/>
      <c r="I178" s="110"/>
      <c r="J178" s="110"/>
      <c r="K178" s="110"/>
      <c r="L178" s="110"/>
      <c r="M178" s="110"/>
      <c r="N178" s="110"/>
      <c r="O178" s="110"/>
      <c r="P178" s="110"/>
      <c r="Q178" s="110"/>
      <c r="R178" s="110"/>
      <c r="S178" s="110"/>
      <c r="T178" s="110"/>
      <c r="U178" s="263"/>
      <c r="V178" s="108">
        <f t="shared" si="10"/>
        <v>0</v>
      </c>
      <c r="W178" s="108">
        <f>AN_TME_BY[[#This Row],[TOTAL Non-Truncated Unadjusted Claims Expenses]]-AN_TME_BY[[#This Row],[Total Claims Excluded because of Truncation]]</f>
        <v>0</v>
      </c>
      <c r="X178" s="108">
        <f t="shared" si="11"/>
        <v>0</v>
      </c>
      <c r="Y178" s="108">
        <f>AN_TME_BY[[#This Row],[TOTAL Non-Truncated Unadjusted Claims Expenses]]+AN_TME_BY[[#This Row],[TOTAL Non-Claims Expenses]]</f>
        <v>0</v>
      </c>
      <c r="Z178" s="108">
        <f>AN_TME_BY[[#This Row],[TOTAL Truncated Unadjusted Claims Expenses (A21 -A19)]]+AN_TME_BY[[#This Row],[TOTAL Non-Claims Expenses]]</f>
        <v>0</v>
      </c>
      <c r="AA178" s="235">
        <f>IFERROR(AN_TME_BY[[#This Row],[TOTAL Non-Truncated Unadjusted Expenses (A21 + A23)]]/AN_TME_BY[[#This Row],[Member Months]],0)</f>
        <v>0</v>
      </c>
      <c r="AB178" s="271">
        <f>IFERROR(AN_TME_BY[[#This Row],[TOTAL Truncated Unadjusted Expenses (A22 + A23)]]/AN_TME_BY[[#This Row],[Member Months]],0)</f>
        <v>0</v>
      </c>
      <c r="AC178" s="237">
        <f>IFERROR(AN_TME_BY[[#This Row],[Total Claims Excluded because of Truncation]]/AN_TME_BY[[#This Row],[Count of Members with Claims Truncated]], 0)</f>
        <v>0</v>
      </c>
      <c r="AD178" s="238">
        <f>IFERROR(AN_TME_BY[[#This Row],[Total Claims Excluded because of Truncation]]/AN_TME_BY[[#This Row],[TOTAL Non-Truncated Unadjusted Claims Expenses]], 0)</f>
        <v>0</v>
      </c>
    </row>
    <row r="179" spans="1:30" x14ac:dyDescent="0.25">
      <c r="A179" s="101"/>
      <c r="B179" s="104"/>
      <c r="C179" s="270"/>
      <c r="D179" s="294"/>
      <c r="E179" s="110"/>
      <c r="F179" s="110"/>
      <c r="G179" s="110"/>
      <c r="H179" s="110"/>
      <c r="I179" s="110"/>
      <c r="J179" s="110"/>
      <c r="K179" s="110"/>
      <c r="L179" s="110"/>
      <c r="M179" s="110"/>
      <c r="N179" s="110"/>
      <c r="O179" s="110"/>
      <c r="P179" s="110"/>
      <c r="Q179" s="110"/>
      <c r="R179" s="110"/>
      <c r="S179" s="110"/>
      <c r="T179" s="110"/>
      <c r="U179" s="263"/>
      <c r="V179" s="108">
        <f t="shared" si="10"/>
        <v>0</v>
      </c>
      <c r="W179" s="108">
        <f>AN_TME_BY[[#This Row],[TOTAL Non-Truncated Unadjusted Claims Expenses]]-AN_TME_BY[[#This Row],[Total Claims Excluded because of Truncation]]</f>
        <v>0</v>
      </c>
      <c r="X179" s="108">
        <f t="shared" si="11"/>
        <v>0</v>
      </c>
      <c r="Y179" s="108">
        <f>AN_TME_BY[[#This Row],[TOTAL Non-Truncated Unadjusted Claims Expenses]]+AN_TME_BY[[#This Row],[TOTAL Non-Claims Expenses]]</f>
        <v>0</v>
      </c>
      <c r="Z179" s="108">
        <f>AN_TME_BY[[#This Row],[TOTAL Truncated Unadjusted Claims Expenses (A21 -A19)]]+AN_TME_BY[[#This Row],[TOTAL Non-Claims Expenses]]</f>
        <v>0</v>
      </c>
      <c r="AA179" s="235">
        <f>IFERROR(AN_TME_BY[[#This Row],[TOTAL Non-Truncated Unadjusted Expenses (A21 + A23)]]/AN_TME_BY[[#This Row],[Member Months]],0)</f>
        <v>0</v>
      </c>
      <c r="AB179" s="271">
        <f>IFERROR(AN_TME_BY[[#This Row],[TOTAL Truncated Unadjusted Expenses (A22 + A23)]]/AN_TME_BY[[#This Row],[Member Months]],0)</f>
        <v>0</v>
      </c>
      <c r="AC179" s="237">
        <f>IFERROR(AN_TME_BY[[#This Row],[Total Claims Excluded because of Truncation]]/AN_TME_BY[[#This Row],[Count of Members with Claims Truncated]], 0)</f>
        <v>0</v>
      </c>
      <c r="AD179" s="238">
        <f>IFERROR(AN_TME_BY[[#This Row],[Total Claims Excluded because of Truncation]]/AN_TME_BY[[#This Row],[TOTAL Non-Truncated Unadjusted Claims Expenses]], 0)</f>
        <v>0</v>
      </c>
    </row>
    <row r="180" spans="1:30" x14ac:dyDescent="0.25">
      <c r="A180" s="101"/>
      <c r="B180" s="104"/>
      <c r="C180" s="267"/>
      <c r="D180" s="294"/>
      <c r="E180" s="110"/>
      <c r="F180" s="110"/>
      <c r="G180" s="110"/>
      <c r="H180" s="110"/>
      <c r="I180" s="110"/>
      <c r="J180" s="110"/>
      <c r="K180" s="110"/>
      <c r="L180" s="110"/>
      <c r="M180" s="110"/>
      <c r="N180" s="110"/>
      <c r="O180" s="110"/>
      <c r="P180" s="110"/>
      <c r="Q180" s="110"/>
      <c r="R180" s="110"/>
      <c r="S180" s="110"/>
      <c r="T180" s="110"/>
      <c r="U180" s="263"/>
      <c r="V180" s="108">
        <f t="shared" si="10"/>
        <v>0</v>
      </c>
      <c r="W180" s="108">
        <f>AN_TME_BY[[#This Row],[TOTAL Non-Truncated Unadjusted Claims Expenses]]-AN_TME_BY[[#This Row],[Total Claims Excluded because of Truncation]]</f>
        <v>0</v>
      </c>
      <c r="X180" s="108">
        <f t="shared" si="11"/>
        <v>0</v>
      </c>
      <c r="Y180" s="108">
        <f>AN_TME_BY[[#This Row],[TOTAL Non-Truncated Unadjusted Claims Expenses]]+AN_TME_BY[[#This Row],[TOTAL Non-Claims Expenses]]</f>
        <v>0</v>
      </c>
      <c r="Z180" s="108">
        <f>AN_TME_BY[[#This Row],[TOTAL Truncated Unadjusted Claims Expenses (A21 -A19)]]+AN_TME_BY[[#This Row],[TOTAL Non-Claims Expenses]]</f>
        <v>0</v>
      </c>
      <c r="AA180" s="235">
        <f>IFERROR(AN_TME_BY[[#This Row],[TOTAL Non-Truncated Unadjusted Expenses (A21 + A23)]]/AN_TME_BY[[#This Row],[Member Months]],0)</f>
        <v>0</v>
      </c>
      <c r="AB180" s="271">
        <f>IFERROR(AN_TME_BY[[#This Row],[TOTAL Truncated Unadjusted Expenses (A22 + A23)]]/AN_TME_BY[[#This Row],[Member Months]],0)</f>
        <v>0</v>
      </c>
      <c r="AC180" s="237">
        <f>IFERROR(AN_TME_BY[[#This Row],[Total Claims Excluded because of Truncation]]/AN_TME_BY[[#This Row],[Count of Members with Claims Truncated]], 0)</f>
        <v>0</v>
      </c>
      <c r="AD180" s="238">
        <f>IFERROR(AN_TME_BY[[#This Row],[Total Claims Excluded because of Truncation]]/AN_TME_BY[[#This Row],[TOTAL Non-Truncated Unadjusted Claims Expenses]], 0)</f>
        <v>0</v>
      </c>
    </row>
    <row r="181" spans="1:30" x14ac:dyDescent="0.25">
      <c r="A181" s="101"/>
      <c r="B181" s="104"/>
      <c r="C181" s="270"/>
      <c r="D181" s="294"/>
      <c r="E181" s="110"/>
      <c r="F181" s="110"/>
      <c r="G181" s="110"/>
      <c r="H181" s="110"/>
      <c r="I181" s="110"/>
      <c r="J181" s="110"/>
      <c r="K181" s="110"/>
      <c r="L181" s="110"/>
      <c r="M181" s="110"/>
      <c r="N181" s="110"/>
      <c r="O181" s="110"/>
      <c r="P181" s="110"/>
      <c r="Q181" s="110"/>
      <c r="R181" s="110"/>
      <c r="S181" s="110"/>
      <c r="T181" s="110"/>
      <c r="U181" s="263"/>
      <c r="V181" s="108">
        <f t="shared" si="10"/>
        <v>0</v>
      </c>
      <c r="W181" s="108">
        <f>AN_TME_BY[[#This Row],[TOTAL Non-Truncated Unadjusted Claims Expenses]]-AN_TME_BY[[#This Row],[Total Claims Excluded because of Truncation]]</f>
        <v>0</v>
      </c>
      <c r="X181" s="108">
        <f t="shared" si="11"/>
        <v>0</v>
      </c>
      <c r="Y181" s="108">
        <f>AN_TME_BY[[#This Row],[TOTAL Non-Truncated Unadjusted Claims Expenses]]+AN_TME_BY[[#This Row],[TOTAL Non-Claims Expenses]]</f>
        <v>0</v>
      </c>
      <c r="Z181" s="108">
        <f>AN_TME_BY[[#This Row],[TOTAL Truncated Unadjusted Claims Expenses (A21 -A19)]]+AN_TME_BY[[#This Row],[TOTAL Non-Claims Expenses]]</f>
        <v>0</v>
      </c>
      <c r="AA181" s="235">
        <f>IFERROR(AN_TME_BY[[#This Row],[TOTAL Non-Truncated Unadjusted Expenses (A21 + A23)]]/AN_TME_BY[[#This Row],[Member Months]],0)</f>
        <v>0</v>
      </c>
      <c r="AB181" s="271">
        <f>IFERROR(AN_TME_BY[[#This Row],[TOTAL Truncated Unadjusted Expenses (A22 + A23)]]/AN_TME_BY[[#This Row],[Member Months]],0)</f>
        <v>0</v>
      </c>
      <c r="AC181" s="237">
        <f>IFERROR(AN_TME_BY[[#This Row],[Total Claims Excluded because of Truncation]]/AN_TME_BY[[#This Row],[Count of Members with Claims Truncated]], 0)</f>
        <v>0</v>
      </c>
      <c r="AD181" s="238">
        <f>IFERROR(AN_TME_BY[[#This Row],[Total Claims Excluded because of Truncation]]/AN_TME_BY[[#This Row],[TOTAL Non-Truncated Unadjusted Claims Expenses]], 0)</f>
        <v>0</v>
      </c>
    </row>
    <row r="182" spans="1:30" x14ac:dyDescent="0.25">
      <c r="A182" s="101"/>
      <c r="B182" s="104"/>
      <c r="C182" s="267"/>
      <c r="D182" s="294"/>
      <c r="E182" s="110"/>
      <c r="F182" s="110"/>
      <c r="G182" s="110"/>
      <c r="H182" s="110"/>
      <c r="I182" s="110"/>
      <c r="J182" s="110"/>
      <c r="K182" s="110"/>
      <c r="L182" s="110"/>
      <c r="M182" s="110"/>
      <c r="N182" s="110"/>
      <c r="O182" s="110"/>
      <c r="P182" s="110"/>
      <c r="Q182" s="110"/>
      <c r="R182" s="110"/>
      <c r="S182" s="110"/>
      <c r="T182" s="110"/>
      <c r="U182" s="263"/>
      <c r="V182" s="108">
        <f t="shared" si="10"/>
        <v>0</v>
      </c>
      <c r="W182" s="108">
        <f>AN_TME_BY[[#This Row],[TOTAL Non-Truncated Unadjusted Claims Expenses]]-AN_TME_BY[[#This Row],[Total Claims Excluded because of Truncation]]</f>
        <v>0</v>
      </c>
      <c r="X182" s="108">
        <f t="shared" si="11"/>
        <v>0</v>
      </c>
      <c r="Y182" s="108">
        <f>AN_TME_BY[[#This Row],[TOTAL Non-Truncated Unadjusted Claims Expenses]]+AN_TME_BY[[#This Row],[TOTAL Non-Claims Expenses]]</f>
        <v>0</v>
      </c>
      <c r="Z182" s="108">
        <f>AN_TME_BY[[#This Row],[TOTAL Truncated Unadjusted Claims Expenses (A21 -A19)]]+AN_TME_BY[[#This Row],[TOTAL Non-Claims Expenses]]</f>
        <v>0</v>
      </c>
      <c r="AA182" s="235">
        <f>IFERROR(AN_TME_BY[[#This Row],[TOTAL Non-Truncated Unadjusted Expenses (A21 + A23)]]/AN_TME_BY[[#This Row],[Member Months]],0)</f>
        <v>0</v>
      </c>
      <c r="AB182" s="271">
        <f>IFERROR(AN_TME_BY[[#This Row],[TOTAL Truncated Unadjusted Expenses (A22 + A23)]]/AN_TME_BY[[#This Row],[Member Months]],0)</f>
        <v>0</v>
      </c>
      <c r="AC182" s="237">
        <f>IFERROR(AN_TME_BY[[#This Row],[Total Claims Excluded because of Truncation]]/AN_TME_BY[[#This Row],[Count of Members with Claims Truncated]], 0)</f>
        <v>0</v>
      </c>
      <c r="AD182" s="238">
        <f>IFERROR(AN_TME_BY[[#This Row],[Total Claims Excluded because of Truncation]]/AN_TME_BY[[#This Row],[TOTAL Non-Truncated Unadjusted Claims Expenses]], 0)</f>
        <v>0</v>
      </c>
    </row>
    <row r="183" spans="1:30" x14ac:dyDescent="0.25">
      <c r="A183" s="101"/>
      <c r="B183" s="104"/>
      <c r="C183" s="270"/>
      <c r="D183" s="294"/>
      <c r="E183" s="110"/>
      <c r="F183" s="110"/>
      <c r="G183" s="110"/>
      <c r="H183" s="110"/>
      <c r="I183" s="110"/>
      <c r="J183" s="110"/>
      <c r="K183" s="110"/>
      <c r="L183" s="110"/>
      <c r="M183" s="110"/>
      <c r="N183" s="110"/>
      <c r="O183" s="110"/>
      <c r="P183" s="110"/>
      <c r="Q183" s="110"/>
      <c r="R183" s="110"/>
      <c r="S183" s="110"/>
      <c r="T183" s="110"/>
      <c r="U183" s="263"/>
      <c r="V183" s="108">
        <f t="shared" si="10"/>
        <v>0</v>
      </c>
      <c r="W183" s="108">
        <f>AN_TME_BY[[#This Row],[TOTAL Non-Truncated Unadjusted Claims Expenses]]-AN_TME_BY[[#This Row],[Total Claims Excluded because of Truncation]]</f>
        <v>0</v>
      </c>
      <c r="X183" s="108">
        <f t="shared" si="11"/>
        <v>0</v>
      </c>
      <c r="Y183" s="108">
        <f>AN_TME_BY[[#This Row],[TOTAL Non-Truncated Unadjusted Claims Expenses]]+AN_TME_BY[[#This Row],[TOTAL Non-Claims Expenses]]</f>
        <v>0</v>
      </c>
      <c r="Z183" s="108">
        <f>AN_TME_BY[[#This Row],[TOTAL Truncated Unadjusted Claims Expenses (A21 -A19)]]+AN_TME_BY[[#This Row],[TOTAL Non-Claims Expenses]]</f>
        <v>0</v>
      </c>
      <c r="AA183" s="235">
        <f>IFERROR(AN_TME_BY[[#This Row],[TOTAL Non-Truncated Unadjusted Expenses (A21 + A23)]]/AN_TME_BY[[#This Row],[Member Months]],0)</f>
        <v>0</v>
      </c>
      <c r="AB183" s="271">
        <f>IFERROR(AN_TME_BY[[#This Row],[TOTAL Truncated Unadjusted Expenses (A22 + A23)]]/AN_TME_BY[[#This Row],[Member Months]],0)</f>
        <v>0</v>
      </c>
      <c r="AC183" s="237">
        <f>IFERROR(AN_TME_BY[[#This Row],[Total Claims Excluded because of Truncation]]/AN_TME_BY[[#This Row],[Count of Members with Claims Truncated]], 0)</f>
        <v>0</v>
      </c>
      <c r="AD183" s="238">
        <f>IFERROR(AN_TME_BY[[#This Row],[Total Claims Excluded because of Truncation]]/AN_TME_BY[[#This Row],[TOTAL Non-Truncated Unadjusted Claims Expenses]], 0)</f>
        <v>0</v>
      </c>
    </row>
    <row r="184" spans="1:30" x14ac:dyDescent="0.25">
      <c r="A184" s="101"/>
      <c r="B184" s="104"/>
      <c r="C184" s="267"/>
      <c r="D184" s="294"/>
      <c r="E184" s="110"/>
      <c r="F184" s="110"/>
      <c r="G184" s="110"/>
      <c r="H184" s="110"/>
      <c r="I184" s="110"/>
      <c r="J184" s="110"/>
      <c r="K184" s="110"/>
      <c r="L184" s="110"/>
      <c r="M184" s="110"/>
      <c r="N184" s="110"/>
      <c r="O184" s="110"/>
      <c r="P184" s="110"/>
      <c r="Q184" s="110"/>
      <c r="R184" s="110"/>
      <c r="S184" s="110"/>
      <c r="T184" s="110"/>
      <c r="U184" s="263"/>
      <c r="V184" s="108">
        <f t="shared" si="10"/>
        <v>0</v>
      </c>
      <c r="W184" s="108">
        <f>AN_TME_BY[[#This Row],[TOTAL Non-Truncated Unadjusted Claims Expenses]]-AN_TME_BY[[#This Row],[Total Claims Excluded because of Truncation]]</f>
        <v>0</v>
      </c>
      <c r="X184" s="108">
        <f t="shared" si="11"/>
        <v>0</v>
      </c>
      <c r="Y184" s="108">
        <f>AN_TME_BY[[#This Row],[TOTAL Non-Truncated Unadjusted Claims Expenses]]+AN_TME_BY[[#This Row],[TOTAL Non-Claims Expenses]]</f>
        <v>0</v>
      </c>
      <c r="Z184" s="108">
        <f>AN_TME_BY[[#This Row],[TOTAL Truncated Unadjusted Claims Expenses (A21 -A19)]]+AN_TME_BY[[#This Row],[TOTAL Non-Claims Expenses]]</f>
        <v>0</v>
      </c>
      <c r="AA184" s="235">
        <f>IFERROR(AN_TME_BY[[#This Row],[TOTAL Non-Truncated Unadjusted Expenses (A21 + A23)]]/AN_TME_BY[[#This Row],[Member Months]],0)</f>
        <v>0</v>
      </c>
      <c r="AB184" s="271">
        <f>IFERROR(AN_TME_BY[[#This Row],[TOTAL Truncated Unadjusted Expenses (A22 + A23)]]/AN_TME_BY[[#This Row],[Member Months]],0)</f>
        <v>0</v>
      </c>
      <c r="AC184" s="237">
        <f>IFERROR(AN_TME_BY[[#This Row],[Total Claims Excluded because of Truncation]]/AN_TME_BY[[#This Row],[Count of Members with Claims Truncated]], 0)</f>
        <v>0</v>
      </c>
      <c r="AD184" s="238">
        <f>IFERROR(AN_TME_BY[[#This Row],[Total Claims Excluded because of Truncation]]/AN_TME_BY[[#This Row],[TOTAL Non-Truncated Unadjusted Claims Expenses]], 0)</f>
        <v>0</v>
      </c>
    </row>
    <row r="185" spans="1:30" x14ac:dyDescent="0.25">
      <c r="A185" s="101"/>
      <c r="B185" s="104"/>
      <c r="C185" s="270"/>
      <c r="D185" s="294"/>
      <c r="E185" s="110"/>
      <c r="F185" s="110"/>
      <c r="G185" s="110"/>
      <c r="H185" s="110"/>
      <c r="I185" s="110"/>
      <c r="J185" s="110"/>
      <c r="K185" s="110"/>
      <c r="L185" s="110"/>
      <c r="M185" s="110"/>
      <c r="N185" s="110"/>
      <c r="O185" s="110"/>
      <c r="P185" s="110"/>
      <c r="Q185" s="110"/>
      <c r="R185" s="110"/>
      <c r="S185" s="110"/>
      <c r="T185" s="110"/>
      <c r="U185" s="263"/>
      <c r="V185" s="108">
        <f t="shared" si="10"/>
        <v>0</v>
      </c>
      <c r="W185" s="108">
        <f>AN_TME_BY[[#This Row],[TOTAL Non-Truncated Unadjusted Claims Expenses]]-AN_TME_BY[[#This Row],[Total Claims Excluded because of Truncation]]</f>
        <v>0</v>
      </c>
      <c r="X185" s="108">
        <f t="shared" si="11"/>
        <v>0</v>
      </c>
      <c r="Y185" s="108">
        <f>AN_TME_BY[[#This Row],[TOTAL Non-Truncated Unadjusted Claims Expenses]]+AN_TME_BY[[#This Row],[TOTAL Non-Claims Expenses]]</f>
        <v>0</v>
      </c>
      <c r="Z185" s="108">
        <f>AN_TME_BY[[#This Row],[TOTAL Truncated Unadjusted Claims Expenses (A21 -A19)]]+AN_TME_BY[[#This Row],[TOTAL Non-Claims Expenses]]</f>
        <v>0</v>
      </c>
      <c r="AA185" s="235">
        <f>IFERROR(AN_TME_BY[[#This Row],[TOTAL Non-Truncated Unadjusted Expenses (A21 + A23)]]/AN_TME_BY[[#This Row],[Member Months]],0)</f>
        <v>0</v>
      </c>
      <c r="AB185" s="271">
        <f>IFERROR(AN_TME_BY[[#This Row],[TOTAL Truncated Unadjusted Expenses (A22 + A23)]]/AN_TME_BY[[#This Row],[Member Months]],0)</f>
        <v>0</v>
      </c>
      <c r="AC185" s="237">
        <f>IFERROR(AN_TME_BY[[#This Row],[Total Claims Excluded because of Truncation]]/AN_TME_BY[[#This Row],[Count of Members with Claims Truncated]], 0)</f>
        <v>0</v>
      </c>
      <c r="AD185" s="238">
        <f>IFERROR(AN_TME_BY[[#This Row],[Total Claims Excluded because of Truncation]]/AN_TME_BY[[#This Row],[TOTAL Non-Truncated Unadjusted Claims Expenses]], 0)</f>
        <v>0</v>
      </c>
    </row>
    <row r="186" spans="1:30" x14ac:dyDescent="0.25">
      <c r="A186" s="101"/>
      <c r="B186" s="104"/>
      <c r="C186" s="267"/>
      <c r="D186" s="294"/>
      <c r="E186" s="110"/>
      <c r="F186" s="110"/>
      <c r="G186" s="110"/>
      <c r="H186" s="110"/>
      <c r="I186" s="110"/>
      <c r="J186" s="110"/>
      <c r="K186" s="110"/>
      <c r="L186" s="110"/>
      <c r="M186" s="110"/>
      <c r="N186" s="110"/>
      <c r="O186" s="110"/>
      <c r="P186" s="110"/>
      <c r="Q186" s="110"/>
      <c r="R186" s="110"/>
      <c r="S186" s="110"/>
      <c r="T186" s="110"/>
      <c r="U186" s="263"/>
      <c r="V186" s="108">
        <f t="shared" si="10"/>
        <v>0</v>
      </c>
      <c r="W186" s="108">
        <f>AN_TME_BY[[#This Row],[TOTAL Non-Truncated Unadjusted Claims Expenses]]-AN_TME_BY[[#This Row],[Total Claims Excluded because of Truncation]]</f>
        <v>0</v>
      </c>
      <c r="X186" s="108">
        <f t="shared" si="11"/>
        <v>0</v>
      </c>
      <c r="Y186" s="108">
        <f>AN_TME_BY[[#This Row],[TOTAL Non-Truncated Unadjusted Claims Expenses]]+AN_TME_BY[[#This Row],[TOTAL Non-Claims Expenses]]</f>
        <v>0</v>
      </c>
      <c r="Z186" s="108">
        <f>AN_TME_BY[[#This Row],[TOTAL Truncated Unadjusted Claims Expenses (A21 -A19)]]+AN_TME_BY[[#This Row],[TOTAL Non-Claims Expenses]]</f>
        <v>0</v>
      </c>
      <c r="AA186" s="235">
        <f>IFERROR(AN_TME_BY[[#This Row],[TOTAL Non-Truncated Unadjusted Expenses (A21 + A23)]]/AN_TME_BY[[#This Row],[Member Months]],0)</f>
        <v>0</v>
      </c>
      <c r="AB186" s="271">
        <f>IFERROR(AN_TME_BY[[#This Row],[TOTAL Truncated Unadjusted Expenses (A22 + A23)]]/AN_TME_BY[[#This Row],[Member Months]],0)</f>
        <v>0</v>
      </c>
      <c r="AC186" s="237">
        <f>IFERROR(AN_TME_BY[[#This Row],[Total Claims Excluded because of Truncation]]/AN_TME_BY[[#This Row],[Count of Members with Claims Truncated]], 0)</f>
        <v>0</v>
      </c>
      <c r="AD186" s="238">
        <f>IFERROR(AN_TME_BY[[#This Row],[Total Claims Excluded because of Truncation]]/AN_TME_BY[[#This Row],[TOTAL Non-Truncated Unadjusted Claims Expenses]], 0)</f>
        <v>0</v>
      </c>
    </row>
    <row r="187" spans="1:30" x14ac:dyDescent="0.25">
      <c r="A187" s="101"/>
      <c r="B187" s="104"/>
      <c r="C187" s="270"/>
      <c r="D187" s="294"/>
      <c r="E187" s="110"/>
      <c r="F187" s="110"/>
      <c r="G187" s="110"/>
      <c r="H187" s="110"/>
      <c r="I187" s="110"/>
      <c r="J187" s="110"/>
      <c r="K187" s="110"/>
      <c r="L187" s="110"/>
      <c r="M187" s="110"/>
      <c r="N187" s="110"/>
      <c r="O187" s="110"/>
      <c r="P187" s="110"/>
      <c r="Q187" s="110"/>
      <c r="R187" s="110"/>
      <c r="S187" s="110"/>
      <c r="T187" s="110"/>
      <c r="U187" s="263"/>
      <c r="V187" s="108">
        <f t="shared" si="10"/>
        <v>0</v>
      </c>
      <c r="W187" s="108">
        <f>AN_TME_BY[[#This Row],[TOTAL Non-Truncated Unadjusted Claims Expenses]]-AN_TME_BY[[#This Row],[Total Claims Excluded because of Truncation]]</f>
        <v>0</v>
      </c>
      <c r="X187" s="108">
        <f t="shared" si="11"/>
        <v>0</v>
      </c>
      <c r="Y187" s="108">
        <f>AN_TME_BY[[#This Row],[TOTAL Non-Truncated Unadjusted Claims Expenses]]+AN_TME_BY[[#This Row],[TOTAL Non-Claims Expenses]]</f>
        <v>0</v>
      </c>
      <c r="Z187" s="108">
        <f>AN_TME_BY[[#This Row],[TOTAL Truncated Unadjusted Claims Expenses (A21 -A19)]]+AN_TME_BY[[#This Row],[TOTAL Non-Claims Expenses]]</f>
        <v>0</v>
      </c>
      <c r="AA187" s="235">
        <f>IFERROR(AN_TME_BY[[#This Row],[TOTAL Non-Truncated Unadjusted Expenses (A21 + A23)]]/AN_TME_BY[[#This Row],[Member Months]],0)</f>
        <v>0</v>
      </c>
      <c r="AB187" s="271">
        <f>IFERROR(AN_TME_BY[[#This Row],[TOTAL Truncated Unadjusted Expenses (A22 + A23)]]/AN_TME_BY[[#This Row],[Member Months]],0)</f>
        <v>0</v>
      </c>
      <c r="AC187" s="237">
        <f>IFERROR(AN_TME_BY[[#This Row],[Total Claims Excluded because of Truncation]]/AN_TME_BY[[#This Row],[Count of Members with Claims Truncated]], 0)</f>
        <v>0</v>
      </c>
      <c r="AD187" s="238">
        <f>IFERROR(AN_TME_BY[[#This Row],[Total Claims Excluded because of Truncation]]/AN_TME_BY[[#This Row],[TOTAL Non-Truncated Unadjusted Claims Expenses]], 0)</f>
        <v>0</v>
      </c>
    </row>
    <row r="188" spans="1:30" x14ac:dyDescent="0.25">
      <c r="A188" s="101"/>
      <c r="B188" s="104"/>
      <c r="C188" s="267"/>
      <c r="D188" s="294"/>
      <c r="E188" s="110"/>
      <c r="F188" s="110"/>
      <c r="G188" s="110"/>
      <c r="H188" s="110"/>
      <c r="I188" s="110"/>
      <c r="J188" s="110"/>
      <c r="K188" s="110"/>
      <c r="L188" s="110"/>
      <c r="M188" s="110"/>
      <c r="N188" s="110"/>
      <c r="O188" s="110"/>
      <c r="P188" s="110"/>
      <c r="Q188" s="110"/>
      <c r="R188" s="110"/>
      <c r="S188" s="110"/>
      <c r="T188" s="110"/>
      <c r="U188" s="263"/>
      <c r="V188" s="108">
        <f t="shared" si="10"/>
        <v>0</v>
      </c>
      <c r="W188" s="108">
        <f>AN_TME_BY[[#This Row],[TOTAL Non-Truncated Unadjusted Claims Expenses]]-AN_TME_BY[[#This Row],[Total Claims Excluded because of Truncation]]</f>
        <v>0</v>
      </c>
      <c r="X188" s="108">
        <f t="shared" si="11"/>
        <v>0</v>
      </c>
      <c r="Y188" s="108">
        <f>AN_TME_BY[[#This Row],[TOTAL Non-Truncated Unadjusted Claims Expenses]]+AN_TME_BY[[#This Row],[TOTAL Non-Claims Expenses]]</f>
        <v>0</v>
      </c>
      <c r="Z188" s="108">
        <f>AN_TME_BY[[#This Row],[TOTAL Truncated Unadjusted Claims Expenses (A21 -A19)]]+AN_TME_BY[[#This Row],[TOTAL Non-Claims Expenses]]</f>
        <v>0</v>
      </c>
      <c r="AA188" s="235">
        <f>IFERROR(AN_TME_BY[[#This Row],[TOTAL Non-Truncated Unadjusted Expenses (A21 + A23)]]/AN_TME_BY[[#This Row],[Member Months]],0)</f>
        <v>0</v>
      </c>
      <c r="AB188" s="271">
        <f>IFERROR(AN_TME_BY[[#This Row],[TOTAL Truncated Unadjusted Expenses (A22 + A23)]]/AN_TME_BY[[#This Row],[Member Months]],0)</f>
        <v>0</v>
      </c>
      <c r="AC188" s="237">
        <f>IFERROR(AN_TME_BY[[#This Row],[Total Claims Excluded because of Truncation]]/AN_TME_BY[[#This Row],[Count of Members with Claims Truncated]], 0)</f>
        <v>0</v>
      </c>
      <c r="AD188" s="238">
        <f>IFERROR(AN_TME_BY[[#This Row],[Total Claims Excluded because of Truncation]]/AN_TME_BY[[#This Row],[TOTAL Non-Truncated Unadjusted Claims Expenses]], 0)</f>
        <v>0</v>
      </c>
    </row>
    <row r="189" spans="1:30" x14ac:dyDescent="0.25">
      <c r="A189" s="101"/>
      <c r="B189" s="104"/>
      <c r="C189" s="270"/>
      <c r="D189" s="294"/>
      <c r="E189" s="110"/>
      <c r="F189" s="110"/>
      <c r="G189" s="110"/>
      <c r="H189" s="110"/>
      <c r="I189" s="110"/>
      <c r="J189" s="110"/>
      <c r="K189" s="110"/>
      <c r="L189" s="110"/>
      <c r="M189" s="110"/>
      <c r="N189" s="110"/>
      <c r="O189" s="110"/>
      <c r="P189" s="110"/>
      <c r="Q189" s="110"/>
      <c r="R189" s="110"/>
      <c r="S189" s="110"/>
      <c r="T189" s="110"/>
      <c r="U189" s="263"/>
      <c r="V189" s="108">
        <f t="shared" si="10"/>
        <v>0</v>
      </c>
      <c r="W189" s="108">
        <f>AN_TME_BY[[#This Row],[TOTAL Non-Truncated Unadjusted Claims Expenses]]-AN_TME_BY[[#This Row],[Total Claims Excluded because of Truncation]]</f>
        <v>0</v>
      </c>
      <c r="X189" s="108">
        <f t="shared" si="11"/>
        <v>0</v>
      </c>
      <c r="Y189" s="108">
        <f>AN_TME_BY[[#This Row],[TOTAL Non-Truncated Unadjusted Claims Expenses]]+AN_TME_BY[[#This Row],[TOTAL Non-Claims Expenses]]</f>
        <v>0</v>
      </c>
      <c r="Z189" s="108">
        <f>AN_TME_BY[[#This Row],[TOTAL Truncated Unadjusted Claims Expenses (A21 -A19)]]+AN_TME_BY[[#This Row],[TOTAL Non-Claims Expenses]]</f>
        <v>0</v>
      </c>
      <c r="AA189" s="235">
        <f>IFERROR(AN_TME_BY[[#This Row],[TOTAL Non-Truncated Unadjusted Expenses (A21 + A23)]]/AN_TME_BY[[#This Row],[Member Months]],0)</f>
        <v>0</v>
      </c>
      <c r="AB189" s="271">
        <f>IFERROR(AN_TME_BY[[#This Row],[TOTAL Truncated Unadjusted Expenses (A22 + A23)]]/AN_TME_BY[[#This Row],[Member Months]],0)</f>
        <v>0</v>
      </c>
      <c r="AC189" s="237">
        <f>IFERROR(AN_TME_BY[[#This Row],[Total Claims Excluded because of Truncation]]/AN_TME_BY[[#This Row],[Count of Members with Claims Truncated]], 0)</f>
        <v>0</v>
      </c>
      <c r="AD189" s="238">
        <f>IFERROR(AN_TME_BY[[#This Row],[Total Claims Excluded because of Truncation]]/AN_TME_BY[[#This Row],[TOTAL Non-Truncated Unadjusted Claims Expenses]], 0)</f>
        <v>0</v>
      </c>
    </row>
    <row r="190" spans="1:30" x14ac:dyDescent="0.25">
      <c r="A190" s="101"/>
      <c r="B190" s="104"/>
      <c r="C190" s="267"/>
      <c r="D190" s="294"/>
      <c r="E190" s="110"/>
      <c r="F190" s="110"/>
      <c r="G190" s="110"/>
      <c r="H190" s="110"/>
      <c r="I190" s="110"/>
      <c r="J190" s="110"/>
      <c r="K190" s="110"/>
      <c r="L190" s="110"/>
      <c r="M190" s="110"/>
      <c r="N190" s="110"/>
      <c r="O190" s="110"/>
      <c r="P190" s="110"/>
      <c r="Q190" s="110"/>
      <c r="R190" s="110"/>
      <c r="S190" s="110"/>
      <c r="T190" s="110"/>
      <c r="U190" s="263"/>
      <c r="V190" s="108">
        <f t="shared" si="10"/>
        <v>0</v>
      </c>
      <c r="W190" s="108">
        <f>AN_TME_BY[[#This Row],[TOTAL Non-Truncated Unadjusted Claims Expenses]]-AN_TME_BY[[#This Row],[Total Claims Excluded because of Truncation]]</f>
        <v>0</v>
      </c>
      <c r="X190" s="108">
        <f t="shared" si="11"/>
        <v>0</v>
      </c>
      <c r="Y190" s="108">
        <f>AN_TME_BY[[#This Row],[TOTAL Non-Truncated Unadjusted Claims Expenses]]+AN_TME_BY[[#This Row],[TOTAL Non-Claims Expenses]]</f>
        <v>0</v>
      </c>
      <c r="Z190" s="108">
        <f>AN_TME_BY[[#This Row],[TOTAL Truncated Unadjusted Claims Expenses (A21 -A19)]]+AN_TME_BY[[#This Row],[TOTAL Non-Claims Expenses]]</f>
        <v>0</v>
      </c>
      <c r="AA190" s="235">
        <f>IFERROR(AN_TME_BY[[#This Row],[TOTAL Non-Truncated Unadjusted Expenses (A21 + A23)]]/AN_TME_BY[[#This Row],[Member Months]],0)</f>
        <v>0</v>
      </c>
      <c r="AB190" s="271">
        <f>IFERROR(AN_TME_BY[[#This Row],[TOTAL Truncated Unadjusted Expenses (A22 + A23)]]/AN_TME_BY[[#This Row],[Member Months]],0)</f>
        <v>0</v>
      </c>
      <c r="AC190" s="237">
        <f>IFERROR(AN_TME_BY[[#This Row],[Total Claims Excluded because of Truncation]]/AN_TME_BY[[#This Row],[Count of Members with Claims Truncated]], 0)</f>
        <v>0</v>
      </c>
      <c r="AD190" s="238">
        <f>IFERROR(AN_TME_BY[[#This Row],[Total Claims Excluded because of Truncation]]/AN_TME_BY[[#This Row],[TOTAL Non-Truncated Unadjusted Claims Expenses]], 0)</f>
        <v>0</v>
      </c>
    </row>
    <row r="191" spans="1:30" x14ac:dyDescent="0.25">
      <c r="A191" s="101"/>
      <c r="B191" s="104"/>
      <c r="C191" s="270"/>
      <c r="D191" s="294"/>
      <c r="E191" s="110"/>
      <c r="F191" s="110"/>
      <c r="G191" s="110"/>
      <c r="H191" s="110"/>
      <c r="I191" s="110"/>
      <c r="J191" s="110"/>
      <c r="K191" s="110"/>
      <c r="L191" s="110"/>
      <c r="M191" s="110"/>
      <c r="N191" s="110"/>
      <c r="O191" s="110"/>
      <c r="P191" s="110"/>
      <c r="Q191" s="110"/>
      <c r="R191" s="110"/>
      <c r="S191" s="110"/>
      <c r="T191" s="110"/>
      <c r="U191" s="263"/>
      <c r="V191" s="108">
        <f t="shared" si="10"/>
        <v>0</v>
      </c>
      <c r="W191" s="108">
        <f>AN_TME_BY[[#This Row],[TOTAL Non-Truncated Unadjusted Claims Expenses]]-AN_TME_BY[[#This Row],[Total Claims Excluded because of Truncation]]</f>
        <v>0</v>
      </c>
      <c r="X191" s="108">
        <f t="shared" si="11"/>
        <v>0</v>
      </c>
      <c r="Y191" s="108">
        <f>AN_TME_BY[[#This Row],[TOTAL Non-Truncated Unadjusted Claims Expenses]]+AN_TME_BY[[#This Row],[TOTAL Non-Claims Expenses]]</f>
        <v>0</v>
      </c>
      <c r="Z191" s="108">
        <f>AN_TME_BY[[#This Row],[TOTAL Truncated Unadjusted Claims Expenses (A21 -A19)]]+AN_TME_BY[[#This Row],[TOTAL Non-Claims Expenses]]</f>
        <v>0</v>
      </c>
      <c r="AA191" s="235">
        <f>IFERROR(AN_TME_BY[[#This Row],[TOTAL Non-Truncated Unadjusted Expenses (A21 + A23)]]/AN_TME_BY[[#This Row],[Member Months]],0)</f>
        <v>0</v>
      </c>
      <c r="AB191" s="271">
        <f>IFERROR(AN_TME_BY[[#This Row],[TOTAL Truncated Unadjusted Expenses (A22 + A23)]]/AN_TME_BY[[#This Row],[Member Months]],0)</f>
        <v>0</v>
      </c>
      <c r="AC191" s="237">
        <f>IFERROR(AN_TME_BY[[#This Row],[Total Claims Excluded because of Truncation]]/AN_TME_BY[[#This Row],[Count of Members with Claims Truncated]], 0)</f>
        <v>0</v>
      </c>
      <c r="AD191" s="238">
        <f>IFERROR(AN_TME_BY[[#This Row],[Total Claims Excluded because of Truncation]]/AN_TME_BY[[#This Row],[TOTAL Non-Truncated Unadjusted Claims Expenses]], 0)</f>
        <v>0</v>
      </c>
    </row>
    <row r="192" spans="1:30" x14ac:dyDescent="0.25">
      <c r="A192" s="101"/>
      <c r="B192" s="104"/>
      <c r="C192" s="267"/>
      <c r="D192" s="294"/>
      <c r="E192" s="110"/>
      <c r="F192" s="110"/>
      <c r="G192" s="110"/>
      <c r="H192" s="110"/>
      <c r="I192" s="110"/>
      <c r="J192" s="110"/>
      <c r="K192" s="110"/>
      <c r="L192" s="110"/>
      <c r="M192" s="110"/>
      <c r="N192" s="110"/>
      <c r="O192" s="110"/>
      <c r="P192" s="110"/>
      <c r="Q192" s="110"/>
      <c r="R192" s="110"/>
      <c r="S192" s="110"/>
      <c r="T192" s="110"/>
      <c r="U192" s="263"/>
      <c r="V192" s="108">
        <f t="shared" si="10"/>
        <v>0</v>
      </c>
      <c r="W192" s="108">
        <f>AN_TME_BY[[#This Row],[TOTAL Non-Truncated Unadjusted Claims Expenses]]-AN_TME_BY[[#This Row],[Total Claims Excluded because of Truncation]]</f>
        <v>0</v>
      </c>
      <c r="X192" s="108">
        <f t="shared" si="11"/>
        <v>0</v>
      </c>
      <c r="Y192" s="108">
        <f>AN_TME_BY[[#This Row],[TOTAL Non-Truncated Unadjusted Claims Expenses]]+AN_TME_BY[[#This Row],[TOTAL Non-Claims Expenses]]</f>
        <v>0</v>
      </c>
      <c r="Z192" s="108">
        <f>AN_TME_BY[[#This Row],[TOTAL Truncated Unadjusted Claims Expenses (A21 -A19)]]+AN_TME_BY[[#This Row],[TOTAL Non-Claims Expenses]]</f>
        <v>0</v>
      </c>
      <c r="AA192" s="235">
        <f>IFERROR(AN_TME_BY[[#This Row],[TOTAL Non-Truncated Unadjusted Expenses (A21 + A23)]]/AN_TME_BY[[#This Row],[Member Months]],0)</f>
        <v>0</v>
      </c>
      <c r="AB192" s="271">
        <f>IFERROR(AN_TME_BY[[#This Row],[TOTAL Truncated Unadjusted Expenses (A22 + A23)]]/AN_TME_BY[[#This Row],[Member Months]],0)</f>
        <v>0</v>
      </c>
      <c r="AC192" s="237">
        <f>IFERROR(AN_TME_BY[[#This Row],[Total Claims Excluded because of Truncation]]/AN_TME_BY[[#This Row],[Count of Members with Claims Truncated]], 0)</f>
        <v>0</v>
      </c>
      <c r="AD192" s="238">
        <f>IFERROR(AN_TME_BY[[#This Row],[Total Claims Excluded because of Truncation]]/AN_TME_BY[[#This Row],[TOTAL Non-Truncated Unadjusted Claims Expenses]], 0)</f>
        <v>0</v>
      </c>
    </row>
    <row r="193" spans="1:30" x14ac:dyDescent="0.25">
      <c r="A193" s="101"/>
      <c r="B193" s="104"/>
      <c r="C193" s="270"/>
      <c r="D193" s="294"/>
      <c r="E193" s="110"/>
      <c r="F193" s="110"/>
      <c r="G193" s="110"/>
      <c r="H193" s="110"/>
      <c r="I193" s="110"/>
      <c r="J193" s="110"/>
      <c r="K193" s="110"/>
      <c r="L193" s="110"/>
      <c r="M193" s="110"/>
      <c r="N193" s="110"/>
      <c r="O193" s="110"/>
      <c r="P193" s="110"/>
      <c r="Q193" s="110"/>
      <c r="R193" s="110"/>
      <c r="S193" s="110"/>
      <c r="T193" s="110"/>
      <c r="U193" s="263"/>
      <c r="V193" s="108">
        <f t="shared" si="10"/>
        <v>0</v>
      </c>
      <c r="W193" s="108">
        <f>AN_TME_BY[[#This Row],[TOTAL Non-Truncated Unadjusted Claims Expenses]]-AN_TME_BY[[#This Row],[Total Claims Excluded because of Truncation]]</f>
        <v>0</v>
      </c>
      <c r="X193" s="108">
        <f t="shared" si="11"/>
        <v>0</v>
      </c>
      <c r="Y193" s="108">
        <f>AN_TME_BY[[#This Row],[TOTAL Non-Truncated Unadjusted Claims Expenses]]+AN_TME_BY[[#This Row],[TOTAL Non-Claims Expenses]]</f>
        <v>0</v>
      </c>
      <c r="Z193" s="108">
        <f>AN_TME_BY[[#This Row],[TOTAL Truncated Unadjusted Claims Expenses (A21 -A19)]]+AN_TME_BY[[#This Row],[TOTAL Non-Claims Expenses]]</f>
        <v>0</v>
      </c>
      <c r="AA193" s="235">
        <f>IFERROR(AN_TME_BY[[#This Row],[TOTAL Non-Truncated Unadjusted Expenses (A21 + A23)]]/AN_TME_BY[[#This Row],[Member Months]],0)</f>
        <v>0</v>
      </c>
      <c r="AB193" s="271">
        <f>IFERROR(AN_TME_BY[[#This Row],[TOTAL Truncated Unadjusted Expenses (A22 + A23)]]/AN_TME_BY[[#This Row],[Member Months]],0)</f>
        <v>0</v>
      </c>
      <c r="AC193" s="237">
        <f>IFERROR(AN_TME_BY[[#This Row],[Total Claims Excluded because of Truncation]]/AN_TME_BY[[#This Row],[Count of Members with Claims Truncated]], 0)</f>
        <v>0</v>
      </c>
      <c r="AD193" s="238">
        <f>IFERROR(AN_TME_BY[[#This Row],[Total Claims Excluded because of Truncation]]/AN_TME_BY[[#This Row],[TOTAL Non-Truncated Unadjusted Claims Expenses]], 0)</f>
        <v>0</v>
      </c>
    </row>
    <row r="194" spans="1:30" x14ac:dyDescent="0.25">
      <c r="A194" s="101"/>
      <c r="B194" s="104"/>
      <c r="C194" s="267"/>
      <c r="D194" s="294"/>
      <c r="E194" s="110"/>
      <c r="F194" s="110"/>
      <c r="G194" s="110"/>
      <c r="H194" s="110"/>
      <c r="I194" s="110"/>
      <c r="J194" s="110"/>
      <c r="K194" s="110"/>
      <c r="L194" s="110"/>
      <c r="M194" s="110"/>
      <c r="N194" s="110"/>
      <c r="O194" s="110"/>
      <c r="P194" s="110"/>
      <c r="Q194" s="110"/>
      <c r="R194" s="110"/>
      <c r="S194" s="110"/>
      <c r="T194" s="110"/>
      <c r="U194" s="263"/>
      <c r="V194" s="108">
        <f t="shared" si="10"/>
        <v>0</v>
      </c>
      <c r="W194" s="108">
        <f>AN_TME_BY[[#This Row],[TOTAL Non-Truncated Unadjusted Claims Expenses]]-AN_TME_BY[[#This Row],[Total Claims Excluded because of Truncation]]</f>
        <v>0</v>
      </c>
      <c r="X194" s="108">
        <f t="shared" si="11"/>
        <v>0</v>
      </c>
      <c r="Y194" s="108">
        <f>AN_TME_BY[[#This Row],[TOTAL Non-Truncated Unadjusted Claims Expenses]]+AN_TME_BY[[#This Row],[TOTAL Non-Claims Expenses]]</f>
        <v>0</v>
      </c>
      <c r="Z194" s="108">
        <f>AN_TME_BY[[#This Row],[TOTAL Truncated Unadjusted Claims Expenses (A21 -A19)]]+AN_TME_BY[[#This Row],[TOTAL Non-Claims Expenses]]</f>
        <v>0</v>
      </c>
      <c r="AA194" s="235">
        <f>IFERROR(AN_TME_BY[[#This Row],[TOTAL Non-Truncated Unadjusted Expenses (A21 + A23)]]/AN_TME_BY[[#This Row],[Member Months]],0)</f>
        <v>0</v>
      </c>
      <c r="AB194" s="271">
        <f>IFERROR(AN_TME_BY[[#This Row],[TOTAL Truncated Unadjusted Expenses (A22 + A23)]]/AN_TME_BY[[#This Row],[Member Months]],0)</f>
        <v>0</v>
      </c>
      <c r="AC194" s="237">
        <f>IFERROR(AN_TME_BY[[#This Row],[Total Claims Excluded because of Truncation]]/AN_TME_BY[[#This Row],[Count of Members with Claims Truncated]], 0)</f>
        <v>0</v>
      </c>
      <c r="AD194" s="238">
        <f>IFERROR(AN_TME_BY[[#This Row],[Total Claims Excluded because of Truncation]]/AN_TME_BY[[#This Row],[TOTAL Non-Truncated Unadjusted Claims Expenses]], 0)</f>
        <v>0</v>
      </c>
    </row>
    <row r="195" spans="1:30" x14ac:dyDescent="0.25">
      <c r="A195" s="101"/>
      <c r="B195" s="104"/>
      <c r="C195" s="270"/>
      <c r="D195" s="294"/>
      <c r="E195" s="110"/>
      <c r="F195" s="110"/>
      <c r="G195" s="110"/>
      <c r="H195" s="110"/>
      <c r="I195" s="110"/>
      <c r="J195" s="110"/>
      <c r="K195" s="110"/>
      <c r="L195" s="110"/>
      <c r="M195" s="110"/>
      <c r="N195" s="110"/>
      <c r="O195" s="110"/>
      <c r="P195" s="110"/>
      <c r="Q195" s="110"/>
      <c r="R195" s="110"/>
      <c r="S195" s="110"/>
      <c r="T195" s="110"/>
      <c r="U195" s="263"/>
      <c r="V195" s="108">
        <f t="shared" si="10"/>
        <v>0</v>
      </c>
      <c r="W195" s="108">
        <f>AN_TME_BY[[#This Row],[TOTAL Non-Truncated Unadjusted Claims Expenses]]-AN_TME_BY[[#This Row],[Total Claims Excluded because of Truncation]]</f>
        <v>0</v>
      </c>
      <c r="X195" s="108">
        <f t="shared" si="11"/>
        <v>0</v>
      </c>
      <c r="Y195" s="108">
        <f>AN_TME_BY[[#This Row],[TOTAL Non-Truncated Unadjusted Claims Expenses]]+AN_TME_BY[[#This Row],[TOTAL Non-Claims Expenses]]</f>
        <v>0</v>
      </c>
      <c r="Z195" s="108">
        <f>AN_TME_BY[[#This Row],[TOTAL Truncated Unadjusted Claims Expenses (A21 -A19)]]+AN_TME_BY[[#This Row],[TOTAL Non-Claims Expenses]]</f>
        <v>0</v>
      </c>
      <c r="AA195" s="235">
        <f>IFERROR(AN_TME_BY[[#This Row],[TOTAL Non-Truncated Unadjusted Expenses (A21 + A23)]]/AN_TME_BY[[#This Row],[Member Months]],0)</f>
        <v>0</v>
      </c>
      <c r="AB195" s="271">
        <f>IFERROR(AN_TME_BY[[#This Row],[TOTAL Truncated Unadjusted Expenses (A22 + A23)]]/AN_TME_BY[[#This Row],[Member Months]],0)</f>
        <v>0</v>
      </c>
      <c r="AC195" s="237">
        <f>IFERROR(AN_TME_BY[[#This Row],[Total Claims Excluded because of Truncation]]/AN_TME_BY[[#This Row],[Count of Members with Claims Truncated]], 0)</f>
        <v>0</v>
      </c>
      <c r="AD195" s="238">
        <f>IFERROR(AN_TME_BY[[#This Row],[Total Claims Excluded because of Truncation]]/AN_TME_BY[[#This Row],[TOTAL Non-Truncated Unadjusted Claims Expenses]], 0)</f>
        <v>0</v>
      </c>
    </row>
    <row r="196" spans="1:30" x14ac:dyDescent="0.25">
      <c r="A196" s="101"/>
      <c r="B196" s="104"/>
      <c r="C196" s="267"/>
      <c r="D196" s="294"/>
      <c r="E196" s="110"/>
      <c r="F196" s="110"/>
      <c r="G196" s="110"/>
      <c r="H196" s="110"/>
      <c r="I196" s="110"/>
      <c r="J196" s="110"/>
      <c r="K196" s="110"/>
      <c r="L196" s="110"/>
      <c r="M196" s="110"/>
      <c r="N196" s="110"/>
      <c r="O196" s="110"/>
      <c r="P196" s="110"/>
      <c r="Q196" s="110"/>
      <c r="R196" s="110"/>
      <c r="S196" s="110"/>
      <c r="T196" s="110"/>
      <c r="U196" s="263"/>
      <c r="V196" s="108">
        <f t="shared" si="10"/>
        <v>0</v>
      </c>
      <c r="W196" s="108">
        <f>AN_TME_BY[[#This Row],[TOTAL Non-Truncated Unadjusted Claims Expenses]]-AN_TME_BY[[#This Row],[Total Claims Excluded because of Truncation]]</f>
        <v>0</v>
      </c>
      <c r="X196" s="108">
        <f t="shared" si="11"/>
        <v>0</v>
      </c>
      <c r="Y196" s="108">
        <f>AN_TME_BY[[#This Row],[TOTAL Non-Truncated Unadjusted Claims Expenses]]+AN_TME_BY[[#This Row],[TOTAL Non-Claims Expenses]]</f>
        <v>0</v>
      </c>
      <c r="Z196" s="108">
        <f>AN_TME_BY[[#This Row],[TOTAL Truncated Unadjusted Claims Expenses (A21 -A19)]]+AN_TME_BY[[#This Row],[TOTAL Non-Claims Expenses]]</f>
        <v>0</v>
      </c>
      <c r="AA196" s="235">
        <f>IFERROR(AN_TME_BY[[#This Row],[TOTAL Non-Truncated Unadjusted Expenses (A21 + A23)]]/AN_TME_BY[[#This Row],[Member Months]],0)</f>
        <v>0</v>
      </c>
      <c r="AB196" s="271">
        <f>IFERROR(AN_TME_BY[[#This Row],[TOTAL Truncated Unadjusted Expenses (A22 + A23)]]/AN_TME_BY[[#This Row],[Member Months]],0)</f>
        <v>0</v>
      </c>
      <c r="AC196" s="237">
        <f>IFERROR(AN_TME_BY[[#This Row],[Total Claims Excluded because of Truncation]]/AN_TME_BY[[#This Row],[Count of Members with Claims Truncated]], 0)</f>
        <v>0</v>
      </c>
      <c r="AD196" s="238">
        <f>IFERROR(AN_TME_BY[[#This Row],[Total Claims Excluded because of Truncation]]/AN_TME_BY[[#This Row],[TOTAL Non-Truncated Unadjusted Claims Expenses]], 0)</f>
        <v>0</v>
      </c>
    </row>
    <row r="197" spans="1:30" x14ac:dyDescent="0.25">
      <c r="A197" s="101"/>
      <c r="B197" s="104"/>
      <c r="C197" s="270"/>
      <c r="D197" s="294"/>
      <c r="E197" s="110"/>
      <c r="F197" s="110"/>
      <c r="G197" s="110"/>
      <c r="H197" s="110"/>
      <c r="I197" s="110"/>
      <c r="J197" s="110"/>
      <c r="K197" s="110"/>
      <c r="L197" s="110"/>
      <c r="M197" s="110"/>
      <c r="N197" s="110"/>
      <c r="O197" s="110"/>
      <c r="P197" s="110"/>
      <c r="Q197" s="110"/>
      <c r="R197" s="110"/>
      <c r="S197" s="110"/>
      <c r="T197" s="110"/>
      <c r="U197" s="263"/>
      <c r="V197" s="108">
        <f t="shared" si="10"/>
        <v>0</v>
      </c>
      <c r="W197" s="108">
        <f>AN_TME_BY[[#This Row],[TOTAL Non-Truncated Unadjusted Claims Expenses]]-AN_TME_BY[[#This Row],[Total Claims Excluded because of Truncation]]</f>
        <v>0</v>
      </c>
      <c r="X197" s="108">
        <f t="shared" si="11"/>
        <v>0</v>
      </c>
      <c r="Y197" s="108">
        <f>AN_TME_BY[[#This Row],[TOTAL Non-Truncated Unadjusted Claims Expenses]]+AN_TME_BY[[#This Row],[TOTAL Non-Claims Expenses]]</f>
        <v>0</v>
      </c>
      <c r="Z197" s="108">
        <f>AN_TME_BY[[#This Row],[TOTAL Truncated Unadjusted Claims Expenses (A21 -A19)]]+AN_TME_BY[[#This Row],[TOTAL Non-Claims Expenses]]</f>
        <v>0</v>
      </c>
      <c r="AA197" s="235">
        <f>IFERROR(AN_TME_BY[[#This Row],[TOTAL Non-Truncated Unadjusted Expenses (A21 + A23)]]/AN_TME_BY[[#This Row],[Member Months]],0)</f>
        <v>0</v>
      </c>
      <c r="AB197" s="271">
        <f>IFERROR(AN_TME_BY[[#This Row],[TOTAL Truncated Unadjusted Expenses (A22 + A23)]]/AN_TME_BY[[#This Row],[Member Months]],0)</f>
        <v>0</v>
      </c>
      <c r="AC197" s="237">
        <f>IFERROR(AN_TME_BY[[#This Row],[Total Claims Excluded because of Truncation]]/AN_TME_BY[[#This Row],[Count of Members with Claims Truncated]], 0)</f>
        <v>0</v>
      </c>
      <c r="AD197" s="238">
        <f>IFERROR(AN_TME_BY[[#This Row],[Total Claims Excluded because of Truncation]]/AN_TME_BY[[#This Row],[TOTAL Non-Truncated Unadjusted Claims Expenses]], 0)</f>
        <v>0</v>
      </c>
    </row>
    <row r="198" spans="1:30" x14ac:dyDescent="0.25">
      <c r="A198" s="101"/>
      <c r="B198" s="104"/>
      <c r="C198" s="267"/>
      <c r="D198" s="294"/>
      <c r="E198" s="110"/>
      <c r="F198" s="110"/>
      <c r="G198" s="110"/>
      <c r="H198" s="110"/>
      <c r="I198" s="110"/>
      <c r="J198" s="110"/>
      <c r="K198" s="110"/>
      <c r="L198" s="110"/>
      <c r="M198" s="110"/>
      <c r="N198" s="110"/>
      <c r="O198" s="110"/>
      <c r="P198" s="110"/>
      <c r="Q198" s="110"/>
      <c r="R198" s="110"/>
      <c r="S198" s="110"/>
      <c r="T198" s="110"/>
      <c r="U198" s="263"/>
      <c r="V198" s="108">
        <f t="shared" si="10"/>
        <v>0</v>
      </c>
      <c r="W198" s="108">
        <f>AN_TME_BY[[#This Row],[TOTAL Non-Truncated Unadjusted Claims Expenses]]-AN_TME_BY[[#This Row],[Total Claims Excluded because of Truncation]]</f>
        <v>0</v>
      </c>
      <c r="X198" s="108">
        <f t="shared" si="11"/>
        <v>0</v>
      </c>
      <c r="Y198" s="108">
        <f>AN_TME_BY[[#This Row],[TOTAL Non-Truncated Unadjusted Claims Expenses]]+AN_TME_BY[[#This Row],[TOTAL Non-Claims Expenses]]</f>
        <v>0</v>
      </c>
      <c r="Z198" s="108">
        <f>AN_TME_BY[[#This Row],[TOTAL Truncated Unadjusted Claims Expenses (A21 -A19)]]+AN_TME_BY[[#This Row],[TOTAL Non-Claims Expenses]]</f>
        <v>0</v>
      </c>
      <c r="AA198" s="235">
        <f>IFERROR(AN_TME_BY[[#This Row],[TOTAL Non-Truncated Unadjusted Expenses (A21 + A23)]]/AN_TME_BY[[#This Row],[Member Months]],0)</f>
        <v>0</v>
      </c>
      <c r="AB198" s="271">
        <f>IFERROR(AN_TME_BY[[#This Row],[TOTAL Truncated Unadjusted Expenses (A22 + A23)]]/AN_TME_BY[[#This Row],[Member Months]],0)</f>
        <v>0</v>
      </c>
      <c r="AC198" s="237">
        <f>IFERROR(AN_TME_BY[[#This Row],[Total Claims Excluded because of Truncation]]/AN_TME_BY[[#This Row],[Count of Members with Claims Truncated]], 0)</f>
        <v>0</v>
      </c>
      <c r="AD198" s="238">
        <f>IFERROR(AN_TME_BY[[#This Row],[Total Claims Excluded because of Truncation]]/AN_TME_BY[[#This Row],[TOTAL Non-Truncated Unadjusted Claims Expenses]], 0)</f>
        <v>0</v>
      </c>
    </row>
    <row r="199" spans="1:30" x14ac:dyDescent="0.25">
      <c r="A199" s="101"/>
      <c r="B199" s="104"/>
      <c r="C199" s="270"/>
      <c r="D199" s="294"/>
      <c r="E199" s="110"/>
      <c r="F199" s="110"/>
      <c r="G199" s="110"/>
      <c r="H199" s="110"/>
      <c r="I199" s="110"/>
      <c r="J199" s="110"/>
      <c r="K199" s="110"/>
      <c r="L199" s="110"/>
      <c r="M199" s="110"/>
      <c r="N199" s="110"/>
      <c r="O199" s="110"/>
      <c r="P199" s="110"/>
      <c r="Q199" s="110"/>
      <c r="R199" s="110"/>
      <c r="S199" s="110"/>
      <c r="T199" s="110"/>
      <c r="U199" s="263"/>
      <c r="V199" s="108">
        <f t="shared" si="10"/>
        <v>0</v>
      </c>
      <c r="W199" s="108">
        <f>AN_TME_BY[[#This Row],[TOTAL Non-Truncated Unadjusted Claims Expenses]]-AN_TME_BY[[#This Row],[Total Claims Excluded because of Truncation]]</f>
        <v>0</v>
      </c>
      <c r="X199" s="108">
        <f t="shared" si="11"/>
        <v>0</v>
      </c>
      <c r="Y199" s="108">
        <f>AN_TME_BY[[#This Row],[TOTAL Non-Truncated Unadjusted Claims Expenses]]+AN_TME_BY[[#This Row],[TOTAL Non-Claims Expenses]]</f>
        <v>0</v>
      </c>
      <c r="Z199" s="108">
        <f>AN_TME_BY[[#This Row],[TOTAL Truncated Unadjusted Claims Expenses (A21 -A19)]]+AN_TME_BY[[#This Row],[TOTAL Non-Claims Expenses]]</f>
        <v>0</v>
      </c>
      <c r="AA199" s="235">
        <f>IFERROR(AN_TME_BY[[#This Row],[TOTAL Non-Truncated Unadjusted Expenses (A21 + A23)]]/AN_TME_BY[[#This Row],[Member Months]],0)</f>
        <v>0</v>
      </c>
      <c r="AB199" s="271">
        <f>IFERROR(AN_TME_BY[[#This Row],[TOTAL Truncated Unadjusted Expenses (A22 + A23)]]/AN_TME_BY[[#This Row],[Member Months]],0)</f>
        <v>0</v>
      </c>
      <c r="AC199" s="237">
        <f>IFERROR(AN_TME_BY[[#This Row],[Total Claims Excluded because of Truncation]]/AN_TME_BY[[#This Row],[Count of Members with Claims Truncated]], 0)</f>
        <v>0</v>
      </c>
      <c r="AD199" s="238">
        <f>IFERROR(AN_TME_BY[[#This Row],[Total Claims Excluded because of Truncation]]/AN_TME_BY[[#This Row],[TOTAL Non-Truncated Unadjusted Claims Expenses]], 0)</f>
        <v>0</v>
      </c>
    </row>
    <row r="200" spans="1:30" x14ac:dyDescent="0.25">
      <c r="A200" s="101"/>
      <c r="B200" s="104"/>
      <c r="C200" s="267"/>
      <c r="D200" s="294"/>
      <c r="E200" s="110"/>
      <c r="F200" s="110"/>
      <c r="G200" s="110"/>
      <c r="H200" s="110"/>
      <c r="I200" s="110"/>
      <c r="J200" s="110"/>
      <c r="K200" s="110"/>
      <c r="L200" s="110"/>
      <c r="M200" s="110"/>
      <c r="N200" s="110"/>
      <c r="O200" s="110"/>
      <c r="P200" s="110"/>
      <c r="Q200" s="110"/>
      <c r="R200" s="110"/>
      <c r="S200" s="110"/>
      <c r="T200" s="110"/>
      <c r="U200" s="263"/>
      <c r="V200" s="108">
        <f t="shared" si="10"/>
        <v>0</v>
      </c>
      <c r="W200" s="108">
        <f>AN_TME_BY[[#This Row],[TOTAL Non-Truncated Unadjusted Claims Expenses]]-AN_TME_BY[[#This Row],[Total Claims Excluded because of Truncation]]</f>
        <v>0</v>
      </c>
      <c r="X200" s="108">
        <f t="shared" si="11"/>
        <v>0</v>
      </c>
      <c r="Y200" s="108">
        <f>AN_TME_BY[[#This Row],[TOTAL Non-Truncated Unadjusted Claims Expenses]]+AN_TME_BY[[#This Row],[TOTAL Non-Claims Expenses]]</f>
        <v>0</v>
      </c>
      <c r="Z200" s="108">
        <f>AN_TME_BY[[#This Row],[TOTAL Truncated Unadjusted Claims Expenses (A21 -A19)]]+AN_TME_BY[[#This Row],[TOTAL Non-Claims Expenses]]</f>
        <v>0</v>
      </c>
      <c r="AA200" s="235">
        <f>IFERROR(AN_TME_BY[[#This Row],[TOTAL Non-Truncated Unadjusted Expenses (A21 + A23)]]/AN_TME_BY[[#This Row],[Member Months]],0)</f>
        <v>0</v>
      </c>
      <c r="AB200" s="271">
        <f>IFERROR(AN_TME_BY[[#This Row],[TOTAL Truncated Unadjusted Expenses (A22 + A23)]]/AN_TME_BY[[#This Row],[Member Months]],0)</f>
        <v>0</v>
      </c>
      <c r="AC200" s="237">
        <f>IFERROR(AN_TME_BY[[#This Row],[Total Claims Excluded because of Truncation]]/AN_TME_BY[[#This Row],[Count of Members with Claims Truncated]], 0)</f>
        <v>0</v>
      </c>
      <c r="AD200" s="238">
        <f>IFERROR(AN_TME_BY[[#This Row],[Total Claims Excluded because of Truncation]]/AN_TME_BY[[#This Row],[TOTAL Non-Truncated Unadjusted Claims Expenses]], 0)</f>
        <v>0</v>
      </c>
    </row>
  </sheetData>
  <sheetProtection algorithmName="SHA-512" hashValue="O7oPmuQTurYMMHiPT2+LDa2BxAaEKRjyi7ogx6p+WbuyLFgjQQgmJ/fYphRVxMv4NYTQmKGcd5M83vHqLY9EoQ==" saltValue="XmJsmhC9qsyhY1JK4Q3/qA==" spinCount="100000" sheet="1" insertRows="0" sort="0" autoFilter="0"/>
  <protectedRanges>
    <protectedRange sqref="D11:D47" name="Range1_2"/>
    <protectedRange sqref="C11:C200" name="Range1_1"/>
    <protectedRange sqref="A11:B47 R12 E11:Q47 T11:AD47 R11:S11 R13:S47" name="Range1"/>
  </protectedRanges>
  <mergeCells count="7">
    <mergeCell ref="P4:Q6"/>
    <mergeCell ref="P3:Q3"/>
    <mergeCell ref="C4:E5"/>
    <mergeCell ref="J4:K6"/>
    <mergeCell ref="J3:K3"/>
    <mergeCell ref="M3:N3"/>
    <mergeCell ref="M4:N6"/>
  </mergeCells>
  <conditionalFormatting sqref="H4">
    <cfRule type="cellIs" dxfId="71" priority="1" operator="lessThanOrEqual">
      <formula>0</formula>
    </cfRule>
    <cfRule type="cellIs" dxfId="70" priority="2" operator="greaterThan">
      <formula>0</formula>
    </cfRule>
  </conditionalFormatting>
  <conditionalFormatting sqref="J4:K6">
    <cfRule type="notContainsText" dxfId="69" priority="9" operator="notContains" text="Good">
      <formula>ISERROR(SEARCH("Good",J4))</formula>
    </cfRule>
    <cfRule type="containsText" dxfId="68" priority="10" operator="containsText" text="Good">
      <formula>NOT(ISERROR(SEARCH("Good",J4)))</formula>
    </cfRule>
  </conditionalFormatting>
  <conditionalFormatting sqref="M4:N6">
    <cfRule type="notContainsText" dxfId="67" priority="7" operator="notContains" text="Good">
      <formula>ISERROR(SEARCH("Good",M4))</formula>
    </cfRule>
    <cfRule type="containsText" dxfId="66" priority="8" operator="containsText" text="Good">
      <formula>NOT(ISERROR(SEARCH("Good",M4)))</formula>
    </cfRule>
  </conditionalFormatting>
  <conditionalFormatting sqref="P4:Q6">
    <cfRule type="notContainsText" dxfId="65" priority="5" operator="notContains" text="Good">
      <formula>ISERROR(SEARCH("Good",P4))</formula>
    </cfRule>
    <cfRule type="containsText" dxfId="64" priority="6" operator="containsText" text="Good">
      <formula>NOT(ISERROR(SEARCH("Good",P4)))</formula>
    </cfRule>
  </conditionalFormatting>
  <conditionalFormatting sqref="AC11:AC200">
    <cfRule type="cellIs" dxfId="63" priority="4" operator="greaterThanOrEqual">
      <formula>250000</formula>
    </cfRule>
  </conditionalFormatting>
  <conditionalFormatting sqref="AD11:AD200">
    <cfRule type="cellIs" dxfId="62" priority="3" operator="greaterThan">
      <formula>0.1</formula>
    </cfRule>
  </conditionalFormatting>
  <dataValidations count="8">
    <dataValidation type="textLength" operator="equal" allowBlank="1" showInputMessage="1" showErrorMessage="1" error="2 = Medicaid and Medicaid MCOs_x000a_6= Medicaid Expenditures for Duals" prompt="2 = Medicaid and Medicaid MCOs_x000a_6= Medicaid Expenditures for Duals" sqref="B11:B200" xr:uid="{446E40B1-7EC8-4B39-9683-81E8A73DD505}">
      <formula1>1</formula1>
    </dataValidation>
    <dataValidation type="decimal" operator="greaterThanOrEqual" allowBlank="1" showInputMessage="1" showErrorMessage="1" error="See Definitions tab._x000a_No negative values." prompt="See Definitions tab._x000a_No negative values._x000a_" sqref="D11:O200" xr:uid="{722E06E5-6FA4-4F58-8703-A8D23C1D0A95}">
      <formula1>0</formula1>
    </dataValidation>
    <dataValidation type="decimal" operator="greaterThanOrEqual" allowBlank="1" showInputMessage="1" showErrorMessage="1" error="See Definitions tab._x000a_No negative values." prompt="See Definitions tab._x000a_No negative values." sqref="T12:U12 Q12 Q13:Q200 T11:U11 Q11 T13:U200" xr:uid="{FCA1CE00-65F1-4687-916C-01F833643848}">
      <formula1>0</formula1>
    </dataValidation>
    <dataValidation type="whole" allowBlank="1" showInputMessage="1" showErrorMessage="1" error="Please input the OHS-assigned organizational ID of the Advanced Network or the Carrier Overall ID (100). " prompt="If inputting Advanced Network-level TME, please input the OHS-assigned organizational ID of the Advanced Network._x000a_If inputting insurance carrier-level TME, please input the Carrier Overall ID (100)." sqref="A11:A200" xr:uid="{8AC12278-DEC0-482E-8199-FE1FDC912168}">
      <formula1>100</formula1>
      <formula2>999</formula2>
    </dataValidation>
    <dataValidation type="list" operator="equal" allowBlank="1" showDropDown="1" showInputMessage="1" showErrorMessage="1" error="Please input the insurance category being reported." prompt="Hierarchy Field Codes:_x000a_1 = Member Selection_x000a_2 = Contract Arrangement_x000a_3 = Utilization_x000a_4 = Unattributed Member Months" sqref="C11:C200" xr:uid="{E118D35A-774C-4FE8-A098-1E71211CF50A}">
      <formula1>"1, 2, 3, 4"</formula1>
    </dataValidation>
    <dataValidation allowBlank="1" showInputMessage="1" showErrorMessage="1" prompt="See Definitions tab." sqref="P11:P200" xr:uid="{A6527B68-0F60-4B3B-95FE-9228E801A0E2}"/>
    <dataValidation type="decimal" operator="greaterThanOrEqual" allowBlank="1" showInputMessage="1" showErrorMessage="1" prompt="See Definitions tab._x000a_No negative values." sqref="R11:R200" xr:uid="{C312038F-FC41-4018-BA1C-327F2528F024}">
      <formula1>0</formula1>
    </dataValidation>
    <dataValidation type="decimal" operator="greaterThanOrEqual" allowBlank="1" showInputMessage="1" showErrorMessage="1" prompt="See Definitions tabs. _x000a_No negative values." sqref="S11:S200" xr:uid="{231DC351-07F9-4C3F-85C7-1022D3DA525F}">
      <formula1>0</formula1>
    </dataValidation>
  </dataValidations>
  <hyperlinks>
    <hyperlink ref="J3:K3" location="Check" display="Check for Member Months" xr:uid="{DFAF22B4-3533-4AFB-AF71-BFD132DFE849}"/>
    <hyperlink ref="M3:N3" location="Check" display="Check for Truncated and Non-Truncated Spending" xr:uid="{0E248559-554D-4CA2-8F7E-4C731351BC4D}"/>
    <hyperlink ref="P3:Q3" location="'Advanced Network - 2021'!AD10:AE10" display="Check for Average Truncated Claims Per Member" xr:uid="{012D663E-8C95-4FB2-8641-93CA64003679}"/>
    <hyperlink ref="G3:H3" location="'Data Validation'!A1" display="Insurance Category Code" xr:uid="{69C2E109-93CD-47CD-8704-0F5BAD46DB49}"/>
  </hyperlink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C11FC-F186-4C44-9192-2AC5638566CF}">
  <sheetPr>
    <tabColor theme="3"/>
  </sheetPr>
  <dimension ref="A1:AD200"/>
  <sheetViews>
    <sheetView zoomScaleNormal="100" workbookViewId="0"/>
  </sheetViews>
  <sheetFormatPr defaultColWidth="9.140625" defaultRowHeight="15" x14ac:dyDescent="0.25"/>
  <cols>
    <col min="1" max="13" width="19.7109375" customWidth="1"/>
    <col min="14" max="14" width="24.28515625" customWidth="1"/>
    <col min="15" max="15" width="24.42578125" customWidth="1"/>
    <col min="16" max="30" width="19.7109375" customWidth="1"/>
  </cols>
  <sheetData>
    <row r="1" spans="1:30" x14ac:dyDescent="0.25">
      <c r="A1" s="1" t="s">
        <v>191</v>
      </c>
    </row>
    <row r="2" spans="1:30" ht="15.75" thickBot="1" x14ac:dyDescent="0.3">
      <c r="A2" s="1" t="s">
        <v>252</v>
      </c>
    </row>
    <row r="3" spans="1:30" ht="30" customHeight="1" thickBot="1" x14ac:dyDescent="0.3">
      <c r="G3" s="316" t="s">
        <v>84</v>
      </c>
      <c r="H3" s="317" t="s">
        <v>209</v>
      </c>
      <c r="J3" s="328" t="s">
        <v>210</v>
      </c>
      <c r="K3" s="328"/>
      <c r="M3" s="326" t="s">
        <v>211</v>
      </c>
      <c r="N3" s="326"/>
      <c r="P3" s="326" t="s">
        <v>212</v>
      </c>
      <c r="Q3" s="326"/>
    </row>
    <row r="4" spans="1:30" ht="14.65" customHeight="1" thickBot="1" x14ac:dyDescent="0.3">
      <c r="A4" t="s">
        <v>193</v>
      </c>
      <c r="C4" s="323" t="s">
        <v>207</v>
      </c>
      <c r="D4" s="324"/>
      <c r="E4" s="324"/>
      <c r="G4" s="318">
        <v>2</v>
      </c>
      <c r="H4" s="319">
        <f>'Data Validation'!E9</f>
        <v>32</v>
      </c>
      <c r="J4" s="325" t="str">
        <f>IF(AND(A11&lt;&gt;"", 'Data Validation'!D5&gt;0),"STOP - MISALIGNMENT IN MEMBER MONTHS WITH OTHER TABS FOR 2023 - CHECK DATA VALIDATION TAB.", "Good")</f>
        <v>Good</v>
      </c>
      <c r="K4" s="325"/>
      <c r="M4" s="325" t="str">
        <f>IF(AND(A11&lt;&gt;"", OR('Data Validation'!E8&gt;0, 'Data Validation'!F8&gt;0)),"STOP - MISALIGNMENT IN MEMBER MONTHS WITH OTHER TABS FOR 2022 - CHECK DATA VALIDATION TAB.", "Good")</f>
        <v>Good</v>
      </c>
      <c r="N4" s="325"/>
      <c r="P4" s="325" t="str">
        <f>IF(COUNTIF(AN_TME_PY[[#All],[Average Claims Truncated Per Member]], "&gt;250000")+COUNTIF(AN_TME_PY[[#All],[Total Claims Excluded (A19)/Total Non-Truncated Claims Expenses (A21)]], "&gt;10%")&gt;0, "STOP - see highlighted cells in A28 or A29", "Good")</f>
        <v>Good</v>
      </c>
      <c r="Q4" s="325"/>
    </row>
    <row r="5" spans="1:30" x14ac:dyDescent="0.25">
      <c r="A5" s="82" t="s">
        <v>213</v>
      </c>
      <c r="C5" s="324"/>
      <c r="D5" s="324"/>
      <c r="E5" s="324"/>
      <c r="J5" s="325"/>
      <c r="K5" s="325"/>
      <c r="M5" s="325"/>
      <c r="N5" s="325"/>
      <c r="P5" s="325"/>
      <c r="Q5" s="325"/>
    </row>
    <row r="6" spans="1:30" x14ac:dyDescent="0.25">
      <c r="J6" s="325"/>
      <c r="K6" s="325"/>
      <c r="M6" s="325"/>
      <c r="N6" s="325"/>
      <c r="P6" s="325"/>
      <c r="Q6" s="325"/>
    </row>
    <row r="9" spans="1:30" x14ac:dyDescent="0.25">
      <c r="D9" s="4" t="s">
        <v>214</v>
      </c>
      <c r="E9" s="4" t="s">
        <v>215</v>
      </c>
      <c r="F9" s="4" t="s">
        <v>216</v>
      </c>
      <c r="G9" s="4" t="s">
        <v>217</v>
      </c>
      <c r="H9" s="4" t="s">
        <v>218</v>
      </c>
      <c r="I9" s="4" t="s">
        <v>219</v>
      </c>
      <c r="J9" s="4" t="s">
        <v>220</v>
      </c>
      <c r="K9" s="4" t="s">
        <v>221</v>
      </c>
      <c r="L9" s="4" t="s">
        <v>222</v>
      </c>
      <c r="M9" s="4" t="s">
        <v>223</v>
      </c>
      <c r="N9" s="4" t="s">
        <v>224</v>
      </c>
      <c r="O9" s="4" t="s">
        <v>225</v>
      </c>
      <c r="P9" s="4" t="s">
        <v>226</v>
      </c>
      <c r="Q9" s="4" t="s">
        <v>227</v>
      </c>
      <c r="R9" s="4" t="s">
        <v>228</v>
      </c>
      <c r="S9" s="4" t="s">
        <v>229</v>
      </c>
      <c r="T9" s="4" t="s">
        <v>230</v>
      </c>
      <c r="U9" s="4" t="s">
        <v>231</v>
      </c>
      <c r="V9" s="4" t="s">
        <v>232</v>
      </c>
      <c r="W9" s="4" t="s">
        <v>233</v>
      </c>
      <c r="X9" s="4" t="s">
        <v>234</v>
      </c>
      <c r="Y9" s="4" t="s">
        <v>235</v>
      </c>
      <c r="Z9" s="83" t="s">
        <v>236</v>
      </c>
      <c r="AA9" s="83" t="s">
        <v>237</v>
      </c>
      <c r="AB9" s="4" t="s">
        <v>238</v>
      </c>
      <c r="AC9" s="4" t="s">
        <v>239</v>
      </c>
      <c r="AD9" s="4" t="s">
        <v>240</v>
      </c>
    </row>
    <row r="10" spans="1:30" ht="75" x14ac:dyDescent="0.25">
      <c r="A10" s="84" t="s">
        <v>241</v>
      </c>
      <c r="B10" s="85" t="s">
        <v>84</v>
      </c>
      <c r="C10" s="85" t="s">
        <v>118</v>
      </c>
      <c r="D10" s="85" t="s">
        <v>242</v>
      </c>
      <c r="E10" s="85" t="s">
        <v>132</v>
      </c>
      <c r="F10" s="85" t="s">
        <v>134</v>
      </c>
      <c r="G10" s="85" t="s">
        <v>136</v>
      </c>
      <c r="H10" s="85" t="s">
        <v>138</v>
      </c>
      <c r="I10" s="85" t="s">
        <v>140</v>
      </c>
      <c r="J10" s="85" t="s">
        <v>142</v>
      </c>
      <c r="K10" s="85" t="s">
        <v>144</v>
      </c>
      <c r="L10" s="85" t="s">
        <v>146</v>
      </c>
      <c r="M10" s="85" t="s">
        <v>148</v>
      </c>
      <c r="N10" s="85" t="s">
        <v>150</v>
      </c>
      <c r="O10" s="85" t="s">
        <v>152</v>
      </c>
      <c r="P10" s="85" t="s">
        <v>154</v>
      </c>
      <c r="Q10" s="85" t="s">
        <v>156</v>
      </c>
      <c r="R10" s="85" t="s">
        <v>158</v>
      </c>
      <c r="S10" s="85" t="s">
        <v>160</v>
      </c>
      <c r="T10" s="85" t="s">
        <v>162</v>
      </c>
      <c r="U10" s="85" t="s">
        <v>164</v>
      </c>
      <c r="V10" s="229" t="s">
        <v>243</v>
      </c>
      <c r="W10" s="229" t="s">
        <v>244</v>
      </c>
      <c r="X10" s="229" t="s">
        <v>245</v>
      </c>
      <c r="Y10" s="229" t="s">
        <v>246</v>
      </c>
      <c r="Z10" s="229" t="s">
        <v>247</v>
      </c>
      <c r="AA10" s="229" t="s">
        <v>248</v>
      </c>
      <c r="AB10" s="234" t="s">
        <v>249</v>
      </c>
      <c r="AC10" s="229" t="s">
        <v>250</v>
      </c>
      <c r="AD10" s="229" t="s">
        <v>251</v>
      </c>
    </row>
    <row r="11" spans="1:30" x14ac:dyDescent="0.25">
      <c r="A11" s="122"/>
      <c r="B11" s="104"/>
      <c r="C11" s="270"/>
      <c r="D11" s="105"/>
      <c r="E11" s="107"/>
      <c r="F11" s="107"/>
      <c r="G11" s="107"/>
      <c r="H11" s="107"/>
      <c r="I11" s="107"/>
      <c r="J11" s="107"/>
      <c r="K11" s="107"/>
      <c r="L11" s="107"/>
      <c r="M11" s="107"/>
      <c r="N11" s="107"/>
      <c r="O11" s="107"/>
      <c r="P11" s="107"/>
      <c r="Q11" s="107"/>
      <c r="R11" s="107"/>
      <c r="S11" s="107"/>
      <c r="T11" s="107"/>
      <c r="U11" s="262"/>
      <c r="V11" s="108">
        <f t="shared" ref="V11:V42" si="0">SUM(E11:G11)+SUM(I11:M11)</f>
        <v>0</v>
      </c>
      <c r="W11" s="108">
        <f>AN_TME_PY[[#This Row],[TOTAL Non-Truncated Unadjusted Claims Expenses]]-AN_TME_PY[[#This Row],[Total Claims Excluded because of Truncation]]</f>
        <v>0</v>
      </c>
      <c r="X11" s="108">
        <f t="shared" ref="X11:X42" si="1">SUM(N11:R11)</f>
        <v>0</v>
      </c>
      <c r="Y11" s="108">
        <f>AN_TME_PY[[#This Row],[TOTAL Non-Truncated Unadjusted Claims Expenses]]+AN_TME_PY[[#This Row],[TOTAL Non-Claims Expenses]]</f>
        <v>0</v>
      </c>
      <c r="Z11" s="108">
        <f>AN_TME_PY[[#This Row],[TOTAL Truncated Unadjusted Claims Expenses (A21 -A19)]]+AN_TME_PY[[#This Row],[TOTAL Non-Claims Expenses]]</f>
        <v>0</v>
      </c>
      <c r="AA11" s="235">
        <f>IFERROR(AN_TME_PY[[#This Row],[TOTAL Non-Truncated Unadjusted Expenses (A21 + A23)]]/AN_TME_PY[[#This Row],[Member Months]],0)</f>
        <v>0</v>
      </c>
      <c r="AB11" s="109">
        <f>IFERROR(AN_TME_PY[[#This Row],[TOTAL Truncated Unadjusted Expenses (A22 + A23)]]/AN_TME_PY[[#This Row],[Member Months]],0)</f>
        <v>0</v>
      </c>
      <c r="AC11" s="237">
        <f>IFERROR(AN_TME_PY[[#This Row],[Total Claims Excluded because of Truncation]]/AN_TME_PY[[#This Row],[Count of Members with Claims Truncated]], 0)</f>
        <v>0</v>
      </c>
      <c r="AD11" s="238">
        <f>IFERROR(AN_TME_PY[[#This Row],[Total Claims Excluded because of Truncation]]/AN_TME_PY[[#This Row],[TOTAL Non-Truncated Unadjusted Claims Expenses]], 0)</f>
        <v>0</v>
      </c>
    </row>
    <row r="12" spans="1:30" x14ac:dyDescent="0.25">
      <c r="A12" s="122"/>
      <c r="B12" s="104"/>
      <c r="C12" s="267"/>
      <c r="D12" s="105"/>
      <c r="E12" s="107"/>
      <c r="F12" s="107"/>
      <c r="G12" s="107"/>
      <c r="H12" s="107"/>
      <c r="I12" s="107"/>
      <c r="J12" s="107"/>
      <c r="K12" s="107"/>
      <c r="L12" s="107"/>
      <c r="M12" s="107"/>
      <c r="N12" s="107"/>
      <c r="O12" s="107"/>
      <c r="P12" s="107"/>
      <c r="Q12" s="107"/>
      <c r="R12" s="107"/>
      <c r="S12" s="107"/>
      <c r="T12" s="107"/>
      <c r="U12" s="262"/>
      <c r="V12" s="108">
        <f t="shared" si="0"/>
        <v>0</v>
      </c>
      <c r="W12" s="108">
        <f>AN_TME_PY[[#This Row],[TOTAL Non-Truncated Unadjusted Claims Expenses]]-AN_TME_PY[[#This Row],[Total Claims Excluded because of Truncation]]</f>
        <v>0</v>
      </c>
      <c r="X12" s="108">
        <f t="shared" si="1"/>
        <v>0</v>
      </c>
      <c r="Y12" s="108">
        <f>AN_TME_PY[[#This Row],[TOTAL Non-Truncated Unadjusted Claims Expenses]]+AN_TME_PY[[#This Row],[TOTAL Non-Claims Expenses]]</f>
        <v>0</v>
      </c>
      <c r="Z12" s="108">
        <f>AN_TME_PY[[#This Row],[TOTAL Truncated Unadjusted Claims Expenses (A21 -A19)]]+AN_TME_PY[[#This Row],[TOTAL Non-Claims Expenses]]</f>
        <v>0</v>
      </c>
      <c r="AA12" s="235">
        <f>IFERROR(AN_TME_PY[[#This Row],[TOTAL Non-Truncated Unadjusted Expenses (A21 + A23)]]/AN_TME_PY[[#This Row],[Member Months]],0)</f>
        <v>0</v>
      </c>
      <c r="AB12" s="109">
        <f>IFERROR(AN_TME_PY[[#This Row],[TOTAL Truncated Unadjusted Expenses (A22 + A23)]]/AN_TME_PY[[#This Row],[Member Months]],0)</f>
        <v>0</v>
      </c>
      <c r="AC12" s="237">
        <f>IFERROR(AN_TME_PY[[#This Row],[Total Claims Excluded because of Truncation]]/AN_TME_PY[[#This Row],[Count of Members with Claims Truncated]], 0)</f>
        <v>0</v>
      </c>
      <c r="AD12" s="238">
        <f>IFERROR(AN_TME_PY[[#This Row],[Total Claims Excluded because of Truncation]]/AN_TME_PY[[#This Row],[TOTAL Non-Truncated Unadjusted Claims Expenses]], 0)</f>
        <v>0</v>
      </c>
    </row>
    <row r="13" spans="1:30" x14ac:dyDescent="0.25">
      <c r="A13" s="122"/>
      <c r="B13" s="104"/>
      <c r="C13" s="270"/>
      <c r="D13" s="105"/>
      <c r="E13" s="110"/>
      <c r="F13" s="110"/>
      <c r="G13" s="110"/>
      <c r="H13" s="110"/>
      <c r="I13" s="110"/>
      <c r="J13" s="110"/>
      <c r="K13" s="110"/>
      <c r="L13" s="110"/>
      <c r="M13" s="110"/>
      <c r="N13" s="110"/>
      <c r="O13" s="110"/>
      <c r="P13" s="110"/>
      <c r="Q13" s="110"/>
      <c r="R13" s="110"/>
      <c r="S13" s="110"/>
      <c r="T13" s="110"/>
      <c r="U13" s="263"/>
      <c r="V13" s="108">
        <f t="shared" si="0"/>
        <v>0</v>
      </c>
      <c r="W13" s="108">
        <f>AN_TME_PY[[#This Row],[TOTAL Non-Truncated Unadjusted Claims Expenses]]-AN_TME_PY[[#This Row],[Total Claims Excluded because of Truncation]]</f>
        <v>0</v>
      </c>
      <c r="X13" s="108">
        <f t="shared" si="1"/>
        <v>0</v>
      </c>
      <c r="Y13" s="108">
        <f>AN_TME_PY[[#This Row],[TOTAL Non-Truncated Unadjusted Claims Expenses]]+AN_TME_PY[[#This Row],[TOTAL Non-Claims Expenses]]</f>
        <v>0</v>
      </c>
      <c r="Z13" s="108">
        <f>AN_TME_PY[[#This Row],[TOTAL Truncated Unadjusted Claims Expenses (A21 -A19)]]+AN_TME_PY[[#This Row],[TOTAL Non-Claims Expenses]]</f>
        <v>0</v>
      </c>
      <c r="AA13" s="235">
        <f>IFERROR(AN_TME_PY[[#This Row],[TOTAL Non-Truncated Unadjusted Expenses (A21 + A23)]]/AN_TME_PY[[#This Row],[Member Months]],0)</f>
        <v>0</v>
      </c>
      <c r="AB13" s="109">
        <f>IFERROR(AN_TME_PY[[#This Row],[TOTAL Truncated Unadjusted Expenses (A22 + A23)]]/AN_TME_PY[[#This Row],[Member Months]],0)</f>
        <v>0</v>
      </c>
      <c r="AC13" s="237">
        <f>IFERROR(AN_TME_PY[[#This Row],[Total Claims Excluded because of Truncation]]/AN_TME_PY[[#This Row],[Count of Members with Claims Truncated]], 0)</f>
        <v>0</v>
      </c>
      <c r="AD13" s="238">
        <f>IFERROR(AN_TME_PY[[#This Row],[Total Claims Excluded because of Truncation]]/AN_TME_PY[[#This Row],[TOTAL Non-Truncated Unadjusted Claims Expenses]], 0)</f>
        <v>0</v>
      </c>
    </row>
    <row r="14" spans="1:30" x14ac:dyDescent="0.25">
      <c r="A14" s="122"/>
      <c r="B14" s="104"/>
      <c r="C14" s="267"/>
      <c r="D14" s="105"/>
      <c r="E14" s="110"/>
      <c r="F14" s="110"/>
      <c r="G14" s="110"/>
      <c r="H14" s="110"/>
      <c r="I14" s="110"/>
      <c r="J14" s="110"/>
      <c r="K14" s="110"/>
      <c r="L14" s="110"/>
      <c r="M14" s="110"/>
      <c r="N14" s="110"/>
      <c r="O14" s="110"/>
      <c r="P14" s="110"/>
      <c r="Q14" s="110"/>
      <c r="R14" s="110"/>
      <c r="S14" s="110"/>
      <c r="T14" s="110"/>
      <c r="U14" s="263"/>
      <c r="V14" s="108">
        <f t="shared" si="0"/>
        <v>0</v>
      </c>
      <c r="W14" s="108">
        <f>AN_TME_PY[[#This Row],[TOTAL Non-Truncated Unadjusted Claims Expenses]]-AN_TME_PY[[#This Row],[Total Claims Excluded because of Truncation]]</f>
        <v>0</v>
      </c>
      <c r="X14" s="108">
        <f t="shared" si="1"/>
        <v>0</v>
      </c>
      <c r="Y14" s="108">
        <f>AN_TME_PY[[#This Row],[TOTAL Non-Truncated Unadjusted Claims Expenses]]+AN_TME_PY[[#This Row],[TOTAL Non-Claims Expenses]]</f>
        <v>0</v>
      </c>
      <c r="Z14" s="108">
        <f>AN_TME_PY[[#This Row],[TOTAL Truncated Unadjusted Claims Expenses (A21 -A19)]]+AN_TME_PY[[#This Row],[TOTAL Non-Claims Expenses]]</f>
        <v>0</v>
      </c>
      <c r="AA14" s="235">
        <f>IFERROR(AN_TME_PY[[#This Row],[TOTAL Non-Truncated Unadjusted Expenses (A21 + A23)]]/AN_TME_PY[[#This Row],[Member Months]],0)</f>
        <v>0</v>
      </c>
      <c r="AB14" s="109">
        <f>IFERROR(AN_TME_PY[[#This Row],[TOTAL Truncated Unadjusted Expenses (A22 + A23)]]/AN_TME_PY[[#This Row],[Member Months]],0)</f>
        <v>0</v>
      </c>
      <c r="AC14" s="237">
        <f>IFERROR(AN_TME_PY[[#This Row],[Total Claims Excluded because of Truncation]]/AN_TME_PY[[#This Row],[Count of Members with Claims Truncated]], 0)</f>
        <v>0</v>
      </c>
      <c r="AD14" s="238">
        <f>IFERROR(AN_TME_PY[[#This Row],[Total Claims Excluded because of Truncation]]/AN_TME_PY[[#This Row],[TOTAL Non-Truncated Unadjusted Claims Expenses]], 0)</f>
        <v>0</v>
      </c>
    </row>
    <row r="15" spans="1:30" x14ac:dyDescent="0.25">
      <c r="A15" s="122"/>
      <c r="B15" s="104"/>
      <c r="C15" s="270"/>
      <c r="D15" s="105"/>
      <c r="E15" s="110"/>
      <c r="F15" s="110"/>
      <c r="G15" s="110"/>
      <c r="H15" s="110"/>
      <c r="I15" s="110"/>
      <c r="J15" s="110"/>
      <c r="K15" s="110"/>
      <c r="L15" s="110"/>
      <c r="M15" s="110"/>
      <c r="N15" s="110"/>
      <c r="O15" s="110"/>
      <c r="P15" s="110"/>
      <c r="Q15" s="110"/>
      <c r="R15" s="110"/>
      <c r="S15" s="110"/>
      <c r="T15" s="110"/>
      <c r="U15" s="263"/>
      <c r="V15" s="108">
        <f t="shared" si="0"/>
        <v>0</v>
      </c>
      <c r="W15" s="108">
        <f>AN_TME_PY[[#This Row],[TOTAL Non-Truncated Unadjusted Claims Expenses]]-AN_TME_PY[[#This Row],[Total Claims Excluded because of Truncation]]</f>
        <v>0</v>
      </c>
      <c r="X15" s="108">
        <f t="shared" si="1"/>
        <v>0</v>
      </c>
      <c r="Y15" s="108">
        <f>AN_TME_PY[[#This Row],[TOTAL Non-Truncated Unadjusted Claims Expenses]]+AN_TME_PY[[#This Row],[TOTAL Non-Claims Expenses]]</f>
        <v>0</v>
      </c>
      <c r="Z15" s="108">
        <f>AN_TME_PY[[#This Row],[TOTAL Truncated Unadjusted Claims Expenses (A21 -A19)]]+AN_TME_PY[[#This Row],[TOTAL Non-Claims Expenses]]</f>
        <v>0</v>
      </c>
      <c r="AA15" s="235">
        <f>IFERROR(AN_TME_PY[[#This Row],[TOTAL Non-Truncated Unadjusted Expenses (A21 + A23)]]/AN_TME_PY[[#This Row],[Member Months]],0)</f>
        <v>0</v>
      </c>
      <c r="AB15" s="109">
        <f>IFERROR(AN_TME_PY[[#This Row],[TOTAL Truncated Unadjusted Expenses (A22 + A23)]]/AN_TME_PY[[#This Row],[Member Months]],0)</f>
        <v>0</v>
      </c>
      <c r="AC15" s="237">
        <f>IFERROR(AN_TME_PY[[#This Row],[Total Claims Excluded because of Truncation]]/AN_TME_PY[[#This Row],[Count of Members with Claims Truncated]], 0)</f>
        <v>0</v>
      </c>
      <c r="AD15" s="238">
        <f>IFERROR(AN_TME_PY[[#This Row],[Total Claims Excluded because of Truncation]]/AN_TME_PY[[#This Row],[TOTAL Non-Truncated Unadjusted Claims Expenses]], 0)</f>
        <v>0</v>
      </c>
    </row>
    <row r="16" spans="1:30" x14ac:dyDescent="0.25">
      <c r="A16" s="122"/>
      <c r="B16" s="104"/>
      <c r="C16" s="267"/>
      <c r="D16" s="105"/>
      <c r="E16" s="110"/>
      <c r="F16" s="110"/>
      <c r="G16" s="110"/>
      <c r="H16" s="110"/>
      <c r="I16" s="110"/>
      <c r="J16" s="110"/>
      <c r="K16" s="110"/>
      <c r="L16" s="110"/>
      <c r="M16" s="110"/>
      <c r="N16" s="110"/>
      <c r="O16" s="110"/>
      <c r="P16" s="110"/>
      <c r="Q16" s="110"/>
      <c r="R16" s="110"/>
      <c r="S16" s="110"/>
      <c r="T16" s="110"/>
      <c r="U16" s="263"/>
      <c r="V16" s="108">
        <f t="shared" si="0"/>
        <v>0</v>
      </c>
      <c r="W16" s="108">
        <f>AN_TME_PY[[#This Row],[TOTAL Non-Truncated Unadjusted Claims Expenses]]-AN_TME_PY[[#This Row],[Total Claims Excluded because of Truncation]]</f>
        <v>0</v>
      </c>
      <c r="X16" s="108">
        <f t="shared" si="1"/>
        <v>0</v>
      </c>
      <c r="Y16" s="108">
        <f>AN_TME_PY[[#This Row],[TOTAL Non-Truncated Unadjusted Claims Expenses]]+AN_TME_PY[[#This Row],[TOTAL Non-Claims Expenses]]</f>
        <v>0</v>
      </c>
      <c r="Z16" s="108">
        <f>AN_TME_PY[[#This Row],[TOTAL Truncated Unadjusted Claims Expenses (A21 -A19)]]+AN_TME_PY[[#This Row],[TOTAL Non-Claims Expenses]]</f>
        <v>0</v>
      </c>
      <c r="AA16" s="235">
        <f>IFERROR(AN_TME_PY[[#This Row],[TOTAL Non-Truncated Unadjusted Expenses (A21 + A23)]]/AN_TME_PY[[#This Row],[Member Months]],0)</f>
        <v>0</v>
      </c>
      <c r="AB16" s="109">
        <f>IFERROR(AN_TME_PY[[#This Row],[TOTAL Truncated Unadjusted Expenses (A22 + A23)]]/AN_TME_PY[[#This Row],[Member Months]],0)</f>
        <v>0</v>
      </c>
      <c r="AC16" s="237">
        <f>IFERROR(AN_TME_PY[[#This Row],[Total Claims Excluded because of Truncation]]/AN_TME_PY[[#This Row],[Count of Members with Claims Truncated]], 0)</f>
        <v>0</v>
      </c>
      <c r="AD16" s="238">
        <f>IFERROR(AN_TME_PY[[#This Row],[Total Claims Excluded because of Truncation]]/AN_TME_PY[[#This Row],[TOTAL Non-Truncated Unadjusted Claims Expenses]], 0)</f>
        <v>0</v>
      </c>
    </row>
    <row r="17" spans="1:30" x14ac:dyDescent="0.25">
      <c r="A17" s="122"/>
      <c r="B17" s="104"/>
      <c r="C17" s="270"/>
      <c r="D17" s="105"/>
      <c r="E17" s="110"/>
      <c r="F17" s="110"/>
      <c r="G17" s="110"/>
      <c r="H17" s="110"/>
      <c r="I17" s="110"/>
      <c r="J17" s="110"/>
      <c r="K17" s="110"/>
      <c r="L17" s="110"/>
      <c r="M17" s="110"/>
      <c r="N17" s="110"/>
      <c r="O17" s="110"/>
      <c r="P17" s="110"/>
      <c r="Q17" s="110"/>
      <c r="R17" s="110"/>
      <c r="S17" s="110"/>
      <c r="T17" s="110"/>
      <c r="U17" s="263"/>
      <c r="V17" s="108">
        <f t="shared" si="0"/>
        <v>0</v>
      </c>
      <c r="W17" s="108">
        <f>AN_TME_PY[[#This Row],[TOTAL Non-Truncated Unadjusted Claims Expenses]]-AN_TME_PY[[#This Row],[Total Claims Excluded because of Truncation]]</f>
        <v>0</v>
      </c>
      <c r="X17" s="108">
        <f t="shared" si="1"/>
        <v>0</v>
      </c>
      <c r="Y17" s="108">
        <f>AN_TME_PY[[#This Row],[TOTAL Non-Truncated Unadjusted Claims Expenses]]+AN_TME_PY[[#This Row],[TOTAL Non-Claims Expenses]]</f>
        <v>0</v>
      </c>
      <c r="Z17" s="108">
        <f>AN_TME_PY[[#This Row],[TOTAL Truncated Unadjusted Claims Expenses (A21 -A19)]]+AN_TME_PY[[#This Row],[TOTAL Non-Claims Expenses]]</f>
        <v>0</v>
      </c>
      <c r="AA17" s="235">
        <f>IFERROR(AN_TME_PY[[#This Row],[TOTAL Non-Truncated Unadjusted Expenses (A21 + A23)]]/AN_TME_PY[[#This Row],[Member Months]],0)</f>
        <v>0</v>
      </c>
      <c r="AB17" s="109">
        <f>IFERROR(AN_TME_PY[[#This Row],[TOTAL Truncated Unadjusted Expenses (A22 + A23)]]/AN_TME_PY[[#This Row],[Member Months]],0)</f>
        <v>0</v>
      </c>
      <c r="AC17" s="237">
        <f>IFERROR(AN_TME_PY[[#This Row],[Total Claims Excluded because of Truncation]]/AN_TME_PY[[#This Row],[Count of Members with Claims Truncated]], 0)</f>
        <v>0</v>
      </c>
      <c r="AD17" s="238">
        <f>IFERROR(AN_TME_PY[[#This Row],[Total Claims Excluded because of Truncation]]/AN_TME_PY[[#This Row],[TOTAL Non-Truncated Unadjusted Claims Expenses]], 0)</f>
        <v>0</v>
      </c>
    </row>
    <row r="18" spans="1:30" x14ac:dyDescent="0.25">
      <c r="A18" s="122"/>
      <c r="B18" s="104"/>
      <c r="C18" s="267"/>
      <c r="D18" s="105"/>
      <c r="E18" s="110"/>
      <c r="F18" s="110"/>
      <c r="G18" s="110"/>
      <c r="H18" s="110"/>
      <c r="I18" s="110"/>
      <c r="J18" s="110"/>
      <c r="K18" s="110"/>
      <c r="L18" s="110"/>
      <c r="M18" s="110"/>
      <c r="N18" s="110"/>
      <c r="O18" s="110"/>
      <c r="P18" s="110"/>
      <c r="Q18" s="110"/>
      <c r="R18" s="110"/>
      <c r="S18" s="110"/>
      <c r="T18" s="110"/>
      <c r="U18" s="263"/>
      <c r="V18" s="108">
        <f t="shared" si="0"/>
        <v>0</v>
      </c>
      <c r="W18" s="108">
        <f>AN_TME_PY[[#This Row],[TOTAL Non-Truncated Unadjusted Claims Expenses]]-AN_TME_PY[[#This Row],[Total Claims Excluded because of Truncation]]</f>
        <v>0</v>
      </c>
      <c r="X18" s="108">
        <f t="shared" si="1"/>
        <v>0</v>
      </c>
      <c r="Y18" s="108">
        <f>AN_TME_PY[[#This Row],[TOTAL Non-Truncated Unadjusted Claims Expenses]]+AN_TME_PY[[#This Row],[TOTAL Non-Claims Expenses]]</f>
        <v>0</v>
      </c>
      <c r="Z18" s="108">
        <f>AN_TME_PY[[#This Row],[TOTAL Truncated Unadjusted Claims Expenses (A21 -A19)]]+AN_TME_PY[[#This Row],[TOTAL Non-Claims Expenses]]</f>
        <v>0</v>
      </c>
      <c r="AA18" s="235">
        <f>IFERROR(AN_TME_PY[[#This Row],[TOTAL Non-Truncated Unadjusted Expenses (A21 + A23)]]/AN_TME_PY[[#This Row],[Member Months]],0)</f>
        <v>0</v>
      </c>
      <c r="AB18" s="109">
        <f>IFERROR(AN_TME_PY[[#This Row],[TOTAL Truncated Unadjusted Expenses (A22 + A23)]]/AN_TME_PY[[#This Row],[Member Months]],0)</f>
        <v>0</v>
      </c>
      <c r="AC18" s="237">
        <f>IFERROR(AN_TME_PY[[#This Row],[Total Claims Excluded because of Truncation]]/AN_TME_PY[[#This Row],[Count of Members with Claims Truncated]], 0)</f>
        <v>0</v>
      </c>
      <c r="AD18" s="238">
        <f>IFERROR(AN_TME_PY[[#This Row],[Total Claims Excluded because of Truncation]]/AN_TME_PY[[#This Row],[TOTAL Non-Truncated Unadjusted Claims Expenses]], 0)</f>
        <v>0</v>
      </c>
    </row>
    <row r="19" spans="1:30" x14ac:dyDescent="0.25">
      <c r="A19" s="122"/>
      <c r="B19" s="104"/>
      <c r="C19" s="270"/>
      <c r="D19" s="105"/>
      <c r="E19" s="110"/>
      <c r="F19" s="110"/>
      <c r="G19" s="110"/>
      <c r="H19" s="110"/>
      <c r="I19" s="110"/>
      <c r="J19" s="110"/>
      <c r="K19" s="110"/>
      <c r="L19" s="110"/>
      <c r="M19" s="110"/>
      <c r="N19" s="110"/>
      <c r="O19" s="110"/>
      <c r="P19" s="110"/>
      <c r="Q19" s="110"/>
      <c r="R19" s="110"/>
      <c r="S19" s="110"/>
      <c r="T19" s="110"/>
      <c r="U19" s="263"/>
      <c r="V19" s="108">
        <f t="shared" si="0"/>
        <v>0</v>
      </c>
      <c r="W19" s="108">
        <f>AN_TME_PY[[#This Row],[TOTAL Non-Truncated Unadjusted Claims Expenses]]-AN_TME_PY[[#This Row],[Total Claims Excluded because of Truncation]]</f>
        <v>0</v>
      </c>
      <c r="X19" s="108">
        <f t="shared" si="1"/>
        <v>0</v>
      </c>
      <c r="Y19" s="108">
        <f>AN_TME_PY[[#This Row],[TOTAL Non-Truncated Unadjusted Claims Expenses]]+AN_TME_PY[[#This Row],[TOTAL Non-Claims Expenses]]</f>
        <v>0</v>
      </c>
      <c r="Z19" s="108">
        <f>AN_TME_PY[[#This Row],[TOTAL Truncated Unadjusted Claims Expenses (A21 -A19)]]+AN_TME_PY[[#This Row],[TOTAL Non-Claims Expenses]]</f>
        <v>0</v>
      </c>
      <c r="AA19" s="235">
        <f>IFERROR(AN_TME_PY[[#This Row],[TOTAL Non-Truncated Unadjusted Expenses (A21 + A23)]]/AN_TME_PY[[#This Row],[Member Months]],0)</f>
        <v>0</v>
      </c>
      <c r="AB19" s="109">
        <f>IFERROR(AN_TME_PY[[#This Row],[TOTAL Truncated Unadjusted Expenses (A22 + A23)]]/AN_TME_PY[[#This Row],[Member Months]],0)</f>
        <v>0</v>
      </c>
      <c r="AC19" s="237">
        <f>IFERROR(AN_TME_PY[[#This Row],[Total Claims Excluded because of Truncation]]/AN_TME_PY[[#This Row],[Count of Members with Claims Truncated]], 0)</f>
        <v>0</v>
      </c>
      <c r="AD19" s="238">
        <f>IFERROR(AN_TME_PY[[#This Row],[Total Claims Excluded because of Truncation]]/AN_TME_PY[[#This Row],[TOTAL Non-Truncated Unadjusted Claims Expenses]], 0)</f>
        <v>0</v>
      </c>
    </row>
    <row r="20" spans="1:30" x14ac:dyDescent="0.25">
      <c r="A20" s="122"/>
      <c r="B20" s="104"/>
      <c r="C20" s="267"/>
      <c r="D20" s="105"/>
      <c r="E20" s="110"/>
      <c r="F20" s="110"/>
      <c r="G20" s="110"/>
      <c r="H20" s="110"/>
      <c r="I20" s="110"/>
      <c r="J20" s="110"/>
      <c r="K20" s="110"/>
      <c r="L20" s="110"/>
      <c r="M20" s="110"/>
      <c r="N20" s="110"/>
      <c r="O20" s="110"/>
      <c r="P20" s="110"/>
      <c r="Q20" s="110"/>
      <c r="R20" s="110"/>
      <c r="S20" s="110"/>
      <c r="T20" s="110"/>
      <c r="U20" s="263"/>
      <c r="V20" s="108">
        <f t="shared" si="0"/>
        <v>0</v>
      </c>
      <c r="W20" s="108">
        <f>AN_TME_PY[[#This Row],[TOTAL Non-Truncated Unadjusted Claims Expenses]]-AN_TME_PY[[#This Row],[Total Claims Excluded because of Truncation]]</f>
        <v>0</v>
      </c>
      <c r="X20" s="108">
        <f t="shared" si="1"/>
        <v>0</v>
      </c>
      <c r="Y20" s="108">
        <f>AN_TME_PY[[#This Row],[TOTAL Non-Truncated Unadjusted Claims Expenses]]+AN_TME_PY[[#This Row],[TOTAL Non-Claims Expenses]]</f>
        <v>0</v>
      </c>
      <c r="Z20" s="108">
        <f>AN_TME_PY[[#This Row],[TOTAL Truncated Unadjusted Claims Expenses (A21 -A19)]]+AN_TME_PY[[#This Row],[TOTAL Non-Claims Expenses]]</f>
        <v>0</v>
      </c>
      <c r="AA20" s="235">
        <f>IFERROR(AN_TME_PY[[#This Row],[TOTAL Non-Truncated Unadjusted Expenses (A21 + A23)]]/AN_TME_PY[[#This Row],[Member Months]],0)</f>
        <v>0</v>
      </c>
      <c r="AB20" s="109">
        <f>IFERROR(AN_TME_PY[[#This Row],[TOTAL Truncated Unadjusted Expenses (A22 + A23)]]/AN_TME_PY[[#This Row],[Member Months]],0)</f>
        <v>0</v>
      </c>
      <c r="AC20" s="237">
        <f>IFERROR(AN_TME_PY[[#This Row],[Total Claims Excluded because of Truncation]]/AN_TME_PY[[#This Row],[Count of Members with Claims Truncated]], 0)</f>
        <v>0</v>
      </c>
      <c r="AD20" s="238">
        <f>IFERROR(AN_TME_PY[[#This Row],[Total Claims Excluded because of Truncation]]/AN_TME_PY[[#This Row],[TOTAL Non-Truncated Unadjusted Claims Expenses]], 0)</f>
        <v>0</v>
      </c>
    </row>
    <row r="21" spans="1:30" x14ac:dyDescent="0.25">
      <c r="A21" s="122"/>
      <c r="B21" s="104"/>
      <c r="C21" s="270"/>
      <c r="D21" s="105"/>
      <c r="E21" s="110"/>
      <c r="F21" s="110"/>
      <c r="G21" s="110"/>
      <c r="H21" s="110"/>
      <c r="I21" s="110"/>
      <c r="J21" s="110"/>
      <c r="K21" s="110"/>
      <c r="L21" s="110"/>
      <c r="M21" s="110"/>
      <c r="N21" s="110"/>
      <c r="O21" s="110"/>
      <c r="P21" s="110"/>
      <c r="Q21" s="110"/>
      <c r="R21" s="110"/>
      <c r="S21" s="110"/>
      <c r="T21" s="110"/>
      <c r="U21" s="263"/>
      <c r="V21" s="108">
        <f t="shared" si="0"/>
        <v>0</v>
      </c>
      <c r="W21" s="108">
        <f>AN_TME_PY[[#This Row],[TOTAL Non-Truncated Unadjusted Claims Expenses]]-AN_TME_PY[[#This Row],[Total Claims Excluded because of Truncation]]</f>
        <v>0</v>
      </c>
      <c r="X21" s="108">
        <f t="shared" si="1"/>
        <v>0</v>
      </c>
      <c r="Y21" s="108">
        <f>AN_TME_PY[[#This Row],[TOTAL Non-Truncated Unadjusted Claims Expenses]]+AN_TME_PY[[#This Row],[TOTAL Non-Claims Expenses]]</f>
        <v>0</v>
      </c>
      <c r="Z21" s="108">
        <f>AN_TME_PY[[#This Row],[TOTAL Truncated Unadjusted Claims Expenses (A21 -A19)]]+AN_TME_PY[[#This Row],[TOTAL Non-Claims Expenses]]</f>
        <v>0</v>
      </c>
      <c r="AA21" s="235">
        <f>IFERROR(AN_TME_PY[[#This Row],[TOTAL Non-Truncated Unadjusted Expenses (A21 + A23)]]/AN_TME_PY[[#This Row],[Member Months]],0)</f>
        <v>0</v>
      </c>
      <c r="AB21" s="109">
        <f>IFERROR(AN_TME_PY[[#This Row],[TOTAL Truncated Unadjusted Expenses (A22 + A23)]]/AN_TME_PY[[#This Row],[Member Months]],0)</f>
        <v>0</v>
      </c>
      <c r="AC21" s="237">
        <f>IFERROR(AN_TME_PY[[#This Row],[Total Claims Excluded because of Truncation]]/AN_TME_PY[[#This Row],[Count of Members with Claims Truncated]], 0)</f>
        <v>0</v>
      </c>
      <c r="AD21" s="238">
        <f>IFERROR(AN_TME_PY[[#This Row],[Total Claims Excluded because of Truncation]]/AN_TME_PY[[#This Row],[TOTAL Non-Truncated Unadjusted Claims Expenses]], 0)</f>
        <v>0</v>
      </c>
    </row>
    <row r="22" spans="1:30" x14ac:dyDescent="0.25">
      <c r="A22" s="122"/>
      <c r="B22" s="104"/>
      <c r="C22" s="267"/>
      <c r="D22" s="105"/>
      <c r="E22" s="110"/>
      <c r="F22" s="110"/>
      <c r="G22" s="110"/>
      <c r="H22" s="110"/>
      <c r="I22" s="110"/>
      <c r="J22" s="110"/>
      <c r="K22" s="110"/>
      <c r="L22" s="110"/>
      <c r="M22" s="110"/>
      <c r="N22" s="110"/>
      <c r="O22" s="110"/>
      <c r="P22" s="110"/>
      <c r="Q22" s="110"/>
      <c r="R22" s="110"/>
      <c r="S22" s="110"/>
      <c r="T22" s="110"/>
      <c r="U22" s="263"/>
      <c r="V22" s="108">
        <f t="shared" si="0"/>
        <v>0</v>
      </c>
      <c r="W22" s="108">
        <f>AN_TME_PY[[#This Row],[TOTAL Non-Truncated Unadjusted Claims Expenses]]-AN_TME_PY[[#This Row],[Total Claims Excluded because of Truncation]]</f>
        <v>0</v>
      </c>
      <c r="X22" s="108">
        <f t="shared" si="1"/>
        <v>0</v>
      </c>
      <c r="Y22" s="108">
        <f>AN_TME_PY[[#This Row],[TOTAL Non-Truncated Unadjusted Claims Expenses]]+AN_TME_PY[[#This Row],[TOTAL Non-Claims Expenses]]</f>
        <v>0</v>
      </c>
      <c r="Z22" s="108">
        <f>AN_TME_PY[[#This Row],[TOTAL Truncated Unadjusted Claims Expenses (A21 -A19)]]+AN_TME_PY[[#This Row],[TOTAL Non-Claims Expenses]]</f>
        <v>0</v>
      </c>
      <c r="AA22" s="235">
        <f>IFERROR(AN_TME_PY[[#This Row],[TOTAL Non-Truncated Unadjusted Expenses (A21 + A23)]]/AN_TME_PY[[#This Row],[Member Months]],0)</f>
        <v>0</v>
      </c>
      <c r="AB22" s="109">
        <f>IFERROR(AN_TME_PY[[#This Row],[TOTAL Truncated Unadjusted Expenses (A22 + A23)]]/AN_TME_PY[[#This Row],[Member Months]],0)</f>
        <v>0</v>
      </c>
      <c r="AC22" s="237">
        <f>IFERROR(AN_TME_PY[[#This Row],[Total Claims Excluded because of Truncation]]/AN_TME_PY[[#This Row],[Count of Members with Claims Truncated]], 0)</f>
        <v>0</v>
      </c>
      <c r="AD22" s="238">
        <f>IFERROR(AN_TME_PY[[#This Row],[Total Claims Excluded because of Truncation]]/AN_TME_PY[[#This Row],[TOTAL Non-Truncated Unadjusted Claims Expenses]], 0)</f>
        <v>0</v>
      </c>
    </row>
    <row r="23" spans="1:30" x14ac:dyDescent="0.25">
      <c r="A23" s="122"/>
      <c r="B23" s="104"/>
      <c r="C23" s="270"/>
      <c r="D23" s="105"/>
      <c r="E23" s="110"/>
      <c r="F23" s="110"/>
      <c r="G23" s="110"/>
      <c r="H23" s="110"/>
      <c r="I23" s="110"/>
      <c r="J23" s="110"/>
      <c r="K23" s="110"/>
      <c r="L23" s="110"/>
      <c r="M23" s="110"/>
      <c r="N23" s="110"/>
      <c r="O23" s="110"/>
      <c r="P23" s="110"/>
      <c r="Q23" s="110"/>
      <c r="R23" s="110"/>
      <c r="S23" s="110"/>
      <c r="T23" s="110"/>
      <c r="U23" s="263"/>
      <c r="V23" s="108">
        <f t="shared" si="0"/>
        <v>0</v>
      </c>
      <c r="W23" s="108">
        <f>AN_TME_PY[[#This Row],[TOTAL Non-Truncated Unadjusted Claims Expenses]]-AN_TME_PY[[#This Row],[Total Claims Excluded because of Truncation]]</f>
        <v>0</v>
      </c>
      <c r="X23" s="108">
        <f t="shared" si="1"/>
        <v>0</v>
      </c>
      <c r="Y23" s="108">
        <f>AN_TME_PY[[#This Row],[TOTAL Non-Truncated Unadjusted Claims Expenses]]+AN_TME_PY[[#This Row],[TOTAL Non-Claims Expenses]]</f>
        <v>0</v>
      </c>
      <c r="Z23" s="108">
        <f>AN_TME_PY[[#This Row],[TOTAL Truncated Unadjusted Claims Expenses (A21 -A19)]]+AN_TME_PY[[#This Row],[TOTAL Non-Claims Expenses]]</f>
        <v>0</v>
      </c>
      <c r="AA23" s="235">
        <f>IFERROR(AN_TME_PY[[#This Row],[TOTAL Non-Truncated Unadjusted Expenses (A21 + A23)]]/AN_TME_PY[[#This Row],[Member Months]],0)</f>
        <v>0</v>
      </c>
      <c r="AB23" s="109">
        <f>IFERROR(AN_TME_PY[[#This Row],[TOTAL Truncated Unadjusted Expenses (A22 + A23)]]/AN_TME_PY[[#This Row],[Member Months]],0)</f>
        <v>0</v>
      </c>
      <c r="AC23" s="237">
        <f>IFERROR(AN_TME_PY[[#This Row],[Total Claims Excluded because of Truncation]]/AN_TME_PY[[#This Row],[Count of Members with Claims Truncated]], 0)</f>
        <v>0</v>
      </c>
      <c r="AD23" s="238">
        <f>IFERROR(AN_TME_PY[[#This Row],[Total Claims Excluded because of Truncation]]/AN_TME_PY[[#This Row],[TOTAL Non-Truncated Unadjusted Claims Expenses]], 0)</f>
        <v>0</v>
      </c>
    </row>
    <row r="24" spans="1:30" x14ac:dyDescent="0.25">
      <c r="A24" s="122"/>
      <c r="B24" s="104"/>
      <c r="C24" s="267"/>
      <c r="D24" s="105"/>
      <c r="E24" s="110"/>
      <c r="F24" s="110"/>
      <c r="G24" s="110"/>
      <c r="H24" s="110"/>
      <c r="I24" s="110"/>
      <c r="J24" s="110"/>
      <c r="K24" s="110"/>
      <c r="L24" s="110"/>
      <c r="M24" s="110"/>
      <c r="N24" s="110"/>
      <c r="O24" s="110"/>
      <c r="P24" s="110"/>
      <c r="Q24" s="110"/>
      <c r="R24" s="110"/>
      <c r="S24" s="110"/>
      <c r="T24" s="110"/>
      <c r="U24" s="263"/>
      <c r="V24" s="108">
        <f t="shared" si="0"/>
        <v>0</v>
      </c>
      <c r="W24" s="108">
        <f>AN_TME_PY[[#This Row],[TOTAL Non-Truncated Unadjusted Claims Expenses]]-AN_TME_PY[[#This Row],[Total Claims Excluded because of Truncation]]</f>
        <v>0</v>
      </c>
      <c r="X24" s="108">
        <f t="shared" si="1"/>
        <v>0</v>
      </c>
      <c r="Y24" s="108">
        <f>AN_TME_PY[[#This Row],[TOTAL Non-Truncated Unadjusted Claims Expenses]]+AN_TME_PY[[#This Row],[TOTAL Non-Claims Expenses]]</f>
        <v>0</v>
      </c>
      <c r="Z24" s="108">
        <f>AN_TME_PY[[#This Row],[TOTAL Truncated Unadjusted Claims Expenses (A21 -A19)]]+AN_TME_PY[[#This Row],[TOTAL Non-Claims Expenses]]</f>
        <v>0</v>
      </c>
      <c r="AA24" s="235">
        <f>IFERROR(AN_TME_PY[[#This Row],[TOTAL Non-Truncated Unadjusted Expenses (A21 + A23)]]/AN_TME_PY[[#This Row],[Member Months]],0)</f>
        <v>0</v>
      </c>
      <c r="AB24" s="109">
        <f>IFERROR(AN_TME_PY[[#This Row],[TOTAL Truncated Unadjusted Expenses (A22 + A23)]]/AN_TME_PY[[#This Row],[Member Months]],0)</f>
        <v>0</v>
      </c>
      <c r="AC24" s="237">
        <f>IFERROR(AN_TME_PY[[#This Row],[Total Claims Excluded because of Truncation]]/AN_TME_PY[[#This Row],[Count of Members with Claims Truncated]], 0)</f>
        <v>0</v>
      </c>
      <c r="AD24" s="238">
        <f>IFERROR(AN_TME_PY[[#This Row],[Total Claims Excluded because of Truncation]]/AN_TME_PY[[#This Row],[TOTAL Non-Truncated Unadjusted Claims Expenses]], 0)</f>
        <v>0</v>
      </c>
    </row>
    <row r="25" spans="1:30" x14ac:dyDescent="0.25">
      <c r="A25" s="122"/>
      <c r="B25" s="104"/>
      <c r="C25" s="270"/>
      <c r="D25" s="105"/>
      <c r="E25" s="110"/>
      <c r="F25" s="110"/>
      <c r="G25" s="110"/>
      <c r="H25" s="110"/>
      <c r="I25" s="110"/>
      <c r="J25" s="110"/>
      <c r="K25" s="110"/>
      <c r="L25" s="110"/>
      <c r="M25" s="110"/>
      <c r="N25" s="110"/>
      <c r="O25" s="110"/>
      <c r="P25" s="110"/>
      <c r="Q25" s="110"/>
      <c r="R25" s="110"/>
      <c r="S25" s="110"/>
      <c r="T25" s="110"/>
      <c r="U25" s="263"/>
      <c r="V25" s="108">
        <f t="shared" si="0"/>
        <v>0</v>
      </c>
      <c r="W25" s="108">
        <f>AN_TME_PY[[#This Row],[TOTAL Non-Truncated Unadjusted Claims Expenses]]-AN_TME_PY[[#This Row],[Total Claims Excluded because of Truncation]]</f>
        <v>0</v>
      </c>
      <c r="X25" s="108">
        <f t="shared" si="1"/>
        <v>0</v>
      </c>
      <c r="Y25" s="108">
        <f>AN_TME_PY[[#This Row],[TOTAL Non-Truncated Unadjusted Claims Expenses]]+AN_TME_PY[[#This Row],[TOTAL Non-Claims Expenses]]</f>
        <v>0</v>
      </c>
      <c r="Z25" s="108">
        <f>AN_TME_PY[[#This Row],[TOTAL Truncated Unadjusted Claims Expenses (A21 -A19)]]+AN_TME_PY[[#This Row],[TOTAL Non-Claims Expenses]]</f>
        <v>0</v>
      </c>
      <c r="AA25" s="235">
        <f>IFERROR(AN_TME_PY[[#This Row],[TOTAL Non-Truncated Unadjusted Expenses (A21 + A23)]]/AN_TME_PY[[#This Row],[Member Months]],0)</f>
        <v>0</v>
      </c>
      <c r="AB25" s="109">
        <f>IFERROR(AN_TME_PY[[#This Row],[TOTAL Truncated Unadjusted Expenses (A22 + A23)]]/AN_TME_PY[[#This Row],[Member Months]],0)</f>
        <v>0</v>
      </c>
      <c r="AC25" s="237">
        <f>IFERROR(AN_TME_PY[[#This Row],[Total Claims Excluded because of Truncation]]/AN_TME_PY[[#This Row],[Count of Members with Claims Truncated]], 0)</f>
        <v>0</v>
      </c>
      <c r="AD25" s="238">
        <f>IFERROR(AN_TME_PY[[#This Row],[Total Claims Excluded because of Truncation]]/AN_TME_PY[[#This Row],[TOTAL Non-Truncated Unadjusted Claims Expenses]], 0)</f>
        <v>0</v>
      </c>
    </row>
    <row r="26" spans="1:30" x14ac:dyDescent="0.25">
      <c r="A26" s="122"/>
      <c r="B26" s="104"/>
      <c r="C26" s="267"/>
      <c r="D26" s="105"/>
      <c r="E26" s="110"/>
      <c r="F26" s="110"/>
      <c r="G26" s="110"/>
      <c r="H26" s="110"/>
      <c r="I26" s="110"/>
      <c r="J26" s="110"/>
      <c r="K26" s="110"/>
      <c r="L26" s="110"/>
      <c r="M26" s="110"/>
      <c r="N26" s="110"/>
      <c r="O26" s="110"/>
      <c r="P26" s="110"/>
      <c r="Q26" s="110"/>
      <c r="R26" s="110"/>
      <c r="S26" s="110"/>
      <c r="T26" s="110"/>
      <c r="U26" s="263"/>
      <c r="V26" s="108">
        <f t="shared" si="0"/>
        <v>0</v>
      </c>
      <c r="W26" s="108">
        <f>AN_TME_PY[[#This Row],[TOTAL Non-Truncated Unadjusted Claims Expenses]]-AN_TME_PY[[#This Row],[Total Claims Excluded because of Truncation]]</f>
        <v>0</v>
      </c>
      <c r="X26" s="108">
        <f t="shared" si="1"/>
        <v>0</v>
      </c>
      <c r="Y26" s="108">
        <f>AN_TME_PY[[#This Row],[TOTAL Non-Truncated Unadjusted Claims Expenses]]+AN_TME_PY[[#This Row],[TOTAL Non-Claims Expenses]]</f>
        <v>0</v>
      </c>
      <c r="Z26" s="108">
        <f>AN_TME_PY[[#This Row],[TOTAL Truncated Unadjusted Claims Expenses (A21 -A19)]]+AN_TME_PY[[#This Row],[TOTAL Non-Claims Expenses]]</f>
        <v>0</v>
      </c>
      <c r="AA26" s="235">
        <f>IFERROR(AN_TME_PY[[#This Row],[TOTAL Non-Truncated Unadjusted Expenses (A21 + A23)]]/AN_TME_PY[[#This Row],[Member Months]],0)</f>
        <v>0</v>
      </c>
      <c r="AB26" s="109">
        <f>IFERROR(AN_TME_PY[[#This Row],[TOTAL Truncated Unadjusted Expenses (A22 + A23)]]/AN_TME_PY[[#This Row],[Member Months]],0)</f>
        <v>0</v>
      </c>
      <c r="AC26" s="237">
        <f>IFERROR(AN_TME_PY[[#This Row],[Total Claims Excluded because of Truncation]]/AN_TME_PY[[#This Row],[Count of Members with Claims Truncated]], 0)</f>
        <v>0</v>
      </c>
      <c r="AD26" s="238">
        <f>IFERROR(AN_TME_PY[[#This Row],[Total Claims Excluded because of Truncation]]/AN_TME_PY[[#This Row],[TOTAL Non-Truncated Unadjusted Claims Expenses]], 0)</f>
        <v>0</v>
      </c>
    </row>
    <row r="27" spans="1:30" x14ac:dyDescent="0.25">
      <c r="A27" s="122"/>
      <c r="B27" s="104"/>
      <c r="C27" s="270"/>
      <c r="D27" s="105"/>
      <c r="E27" s="110"/>
      <c r="F27" s="110"/>
      <c r="G27" s="110"/>
      <c r="H27" s="110"/>
      <c r="I27" s="110"/>
      <c r="J27" s="110"/>
      <c r="K27" s="110"/>
      <c r="L27" s="110"/>
      <c r="M27" s="110"/>
      <c r="N27" s="110"/>
      <c r="O27" s="110"/>
      <c r="P27" s="110"/>
      <c r="Q27" s="110"/>
      <c r="R27" s="110"/>
      <c r="S27" s="110"/>
      <c r="T27" s="110"/>
      <c r="U27" s="263"/>
      <c r="V27" s="108">
        <f t="shared" si="0"/>
        <v>0</v>
      </c>
      <c r="W27" s="108">
        <f>AN_TME_PY[[#This Row],[TOTAL Non-Truncated Unadjusted Claims Expenses]]-AN_TME_PY[[#This Row],[Total Claims Excluded because of Truncation]]</f>
        <v>0</v>
      </c>
      <c r="X27" s="108">
        <f t="shared" si="1"/>
        <v>0</v>
      </c>
      <c r="Y27" s="108">
        <f>AN_TME_PY[[#This Row],[TOTAL Non-Truncated Unadjusted Claims Expenses]]+AN_TME_PY[[#This Row],[TOTAL Non-Claims Expenses]]</f>
        <v>0</v>
      </c>
      <c r="Z27" s="108">
        <f>AN_TME_PY[[#This Row],[TOTAL Truncated Unadjusted Claims Expenses (A21 -A19)]]+AN_TME_PY[[#This Row],[TOTAL Non-Claims Expenses]]</f>
        <v>0</v>
      </c>
      <c r="AA27" s="235">
        <f>IFERROR(AN_TME_PY[[#This Row],[TOTAL Non-Truncated Unadjusted Expenses (A21 + A23)]]/AN_TME_PY[[#This Row],[Member Months]],0)</f>
        <v>0</v>
      </c>
      <c r="AB27" s="109">
        <f>IFERROR(AN_TME_PY[[#This Row],[TOTAL Truncated Unadjusted Expenses (A22 + A23)]]/AN_TME_PY[[#This Row],[Member Months]],0)</f>
        <v>0</v>
      </c>
      <c r="AC27" s="237">
        <f>IFERROR(AN_TME_PY[[#This Row],[Total Claims Excluded because of Truncation]]/AN_TME_PY[[#This Row],[Count of Members with Claims Truncated]], 0)</f>
        <v>0</v>
      </c>
      <c r="AD27" s="238">
        <f>IFERROR(AN_TME_PY[[#This Row],[Total Claims Excluded because of Truncation]]/AN_TME_PY[[#This Row],[TOTAL Non-Truncated Unadjusted Claims Expenses]], 0)</f>
        <v>0</v>
      </c>
    </row>
    <row r="28" spans="1:30" x14ac:dyDescent="0.25">
      <c r="A28" s="122"/>
      <c r="B28" s="104"/>
      <c r="C28" s="267"/>
      <c r="D28" s="105"/>
      <c r="E28" s="110"/>
      <c r="F28" s="110"/>
      <c r="G28" s="110"/>
      <c r="H28" s="110"/>
      <c r="I28" s="110"/>
      <c r="J28" s="110"/>
      <c r="K28" s="110"/>
      <c r="L28" s="110"/>
      <c r="M28" s="110"/>
      <c r="N28" s="110"/>
      <c r="O28" s="110"/>
      <c r="P28" s="110"/>
      <c r="Q28" s="110"/>
      <c r="R28" s="110"/>
      <c r="S28" s="110"/>
      <c r="T28" s="110"/>
      <c r="U28" s="263"/>
      <c r="V28" s="108">
        <f t="shared" si="0"/>
        <v>0</v>
      </c>
      <c r="W28" s="108">
        <f>AN_TME_PY[[#This Row],[TOTAL Non-Truncated Unadjusted Claims Expenses]]-AN_TME_PY[[#This Row],[Total Claims Excluded because of Truncation]]</f>
        <v>0</v>
      </c>
      <c r="X28" s="108">
        <f t="shared" si="1"/>
        <v>0</v>
      </c>
      <c r="Y28" s="108">
        <f>AN_TME_PY[[#This Row],[TOTAL Non-Truncated Unadjusted Claims Expenses]]+AN_TME_PY[[#This Row],[TOTAL Non-Claims Expenses]]</f>
        <v>0</v>
      </c>
      <c r="Z28" s="108">
        <f>AN_TME_PY[[#This Row],[TOTAL Truncated Unadjusted Claims Expenses (A21 -A19)]]+AN_TME_PY[[#This Row],[TOTAL Non-Claims Expenses]]</f>
        <v>0</v>
      </c>
      <c r="AA28" s="235">
        <f>IFERROR(AN_TME_PY[[#This Row],[TOTAL Non-Truncated Unadjusted Expenses (A21 + A23)]]/AN_TME_PY[[#This Row],[Member Months]],0)</f>
        <v>0</v>
      </c>
      <c r="AB28" s="109">
        <f>IFERROR(AN_TME_PY[[#This Row],[TOTAL Truncated Unadjusted Expenses (A22 + A23)]]/AN_TME_PY[[#This Row],[Member Months]],0)</f>
        <v>0</v>
      </c>
      <c r="AC28" s="237">
        <f>IFERROR(AN_TME_PY[[#This Row],[Total Claims Excluded because of Truncation]]/AN_TME_PY[[#This Row],[Count of Members with Claims Truncated]], 0)</f>
        <v>0</v>
      </c>
      <c r="AD28" s="238">
        <f>IFERROR(AN_TME_PY[[#This Row],[Total Claims Excluded because of Truncation]]/AN_TME_PY[[#This Row],[TOTAL Non-Truncated Unadjusted Claims Expenses]], 0)</f>
        <v>0</v>
      </c>
    </row>
    <row r="29" spans="1:30" x14ac:dyDescent="0.25">
      <c r="A29" s="122"/>
      <c r="B29" s="104"/>
      <c r="C29" s="270"/>
      <c r="D29" s="105"/>
      <c r="E29" s="110"/>
      <c r="F29" s="110"/>
      <c r="G29" s="110"/>
      <c r="H29" s="110"/>
      <c r="I29" s="110"/>
      <c r="J29" s="110"/>
      <c r="K29" s="110"/>
      <c r="L29" s="110"/>
      <c r="M29" s="110"/>
      <c r="N29" s="110"/>
      <c r="O29" s="110"/>
      <c r="P29" s="110"/>
      <c r="Q29" s="110"/>
      <c r="R29" s="110"/>
      <c r="S29" s="110"/>
      <c r="T29" s="110"/>
      <c r="U29" s="263"/>
      <c r="V29" s="108">
        <f t="shared" si="0"/>
        <v>0</v>
      </c>
      <c r="W29" s="108">
        <f>AN_TME_PY[[#This Row],[TOTAL Non-Truncated Unadjusted Claims Expenses]]-AN_TME_PY[[#This Row],[Total Claims Excluded because of Truncation]]</f>
        <v>0</v>
      </c>
      <c r="X29" s="108">
        <f t="shared" si="1"/>
        <v>0</v>
      </c>
      <c r="Y29" s="108">
        <f>AN_TME_PY[[#This Row],[TOTAL Non-Truncated Unadjusted Claims Expenses]]+AN_TME_PY[[#This Row],[TOTAL Non-Claims Expenses]]</f>
        <v>0</v>
      </c>
      <c r="Z29" s="108">
        <f>AN_TME_PY[[#This Row],[TOTAL Truncated Unadjusted Claims Expenses (A21 -A19)]]+AN_TME_PY[[#This Row],[TOTAL Non-Claims Expenses]]</f>
        <v>0</v>
      </c>
      <c r="AA29" s="235">
        <f>IFERROR(AN_TME_PY[[#This Row],[TOTAL Non-Truncated Unadjusted Expenses (A21 + A23)]]/AN_TME_PY[[#This Row],[Member Months]],0)</f>
        <v>0</v>
      </c>
      <c r="AB29" s="109">
        <f>IFERROR(AN_TME_PY[[#This Row],[TOTAL Truncated Unadjusted Expenses (A22 + A23)]]/AN_TME_PY[[#This Row],[Member Months]],0)</f>
        <v>0</v>
      </c>
      <c r="AC29" s="237">
        <f>IFERROR(AN_TME_PY[[#This Row],[Total Claims Excluded because of Truncation]]/AN_TME_PY[[#This Row],[Count of Members with Claims Truncated]], 0)</f>
        <v>0</v>
      </c>
      <c r="AD29" s="238">
        <f>IFERROR(AN_TME_PY[[#This Row],[Total Claims Excluded because of Truncation]]/AN_TME_PY[[#This Row],[TOTAL Non-Truncated Unadjusted Claims Expenses]], 0)</f>
        <v>0</v>
      </c>
    </row>
    <row r="30" spans="1:30" x14ac:dyDescent="0.25">
      <c r="A30" s="122"/>
      <c r="B30" s="104"/>
      <c r="C30" s="267"/>
      <c r="D30" s="105"/>
      <c r="E30" s="110"/>
      <c r="F30" s="110"/>
      <c r="G30" s="110"/>
      <c r="H30" s="110"/>
      <c r="I30" s="110"/>
      <c r="J30" s="110"/>
      <c r="K30" s="110"/>
      <c r="L30" s="110"/>
      <c r="M30" s="110"/>
      <c r="N30" s="110"/>
      <c r="O30" s="110"/>
      <c r="P30" s="110"/>
      <c r="Q30" s="110"/>
      <c r="R30" s="110"/>
      <c r="S30" s="110"/>
      <c r="T30" s="110"/>
      <c r="U30" s="263"/>
      <c r="V30" s="108">
        <f t="shared" si="0"/>
        <v>0</v>
      </c>
      <c r="W30" s="108">
        <f>AN_TME_PY[[#This Row],[TOTAL Non-Truncated Unadjusted Claims Expenses]]-AN_TME_PY[[#This Row],[Total Claims Excluded because of Truncation]]</f>
        <v>0</v>
      </c>
      <c r="X30" s="108">
        <f t="shared" si="1"/>
        <v>0</v>
      </c>
      <c r="Y30" s="108">
        <f>AN_TME_PY[[#This Row],[TOTAL Non-Truncated Unadjusted Claims Expenses]]+AN_TME_PY[[#This Row],[TOTAL Non-Claims Expenses]]</f>
        <v>0</v>
      </c>
      <c r="Z30" s="108">
        <f>AN_TME_PY[[#This Row],[TOTAL Truncated Unadjusted Claims Expenses (A21 -A19)]]+AN_TME_PY[[#This Row],[TOTAL Non-Claims Expenses]]</f>
        <v>0</v>
      </c>
      <c r="AA30" s="235">
        <f>IFERROR(AN_TME_PY[[#This Row],[TOTAL Non-Truncated Unadjusted Expenses (A21 + A23)]]/AN_TME_PY[[#This Row],[Member Months]],0)</f>
        <v>0</v>
      </c>
      <c r="AB30" s="109">
        <f>IFERROR(AN_TME_PY[[#This Row],[TOTAL Truncated Unadjusted Expenses (A22 + A23)]]/AN_TME_PY[[#This Row],[Member Months]],0)</f>
        <v>0</v>
      </c>
      <c r="AC30" s="237">
        <f>IFERROR(AN_TME_PY[[#This Row],[Total Claims Excluded because of Truncation]]/AN_TME_PY[[#This Row],[Count of Members with Claims Truncated]], 0)</f>
        <v>0</v>
      </c>
      <c r="AD30" s="238">
        <f>IFERROR(AN_TME_PY[[#This Row],[Total Claims Excluded because of Truncation]]/AN_TME_PY[[#This Row],[TOTAL Non-Truncated Unadjusted Claims Expenses]], 0)</f>
        <v>0</v>
      </c>
    </row>
    <row r="31" spans="1:30" x14ac:dyDescent="0.25">
      <c r="A31" s="122"/>
      <c r="B31" s="104"/>
      <c r="C31" s="270"/>
      <c r="D31" s="105"/>
      <c r="E31" s="110"/>
      <c r="F31" s="110"/>
      <c r="G31" s="110"/>
      <c r="H31" s="110"/>
      <c r="I31" s="110"/>
      <c r="J31" s="110"/>
      <c r="K31" s="110"/>
      <c r="L31" s="110"/>
      <c r="M31" s="110"/>
      <c r="N31" s="110"/>
      <c r="O31" s="110"/>
      <c r="P31" s="110"/>
      <c r="Q31" s="110"/>
      <c r="R31" s="110"/>
      <c r="S31" s="110"/>
      <c r="T31" s="110"/>
      <c r="U31" s="263"/>
      <c r="V31" s="108">
        <f t="shared" si="0"/>
        <v>0</v>
      </c>
      <c r="W31" s="108">
        <f>AN_TME_PY[[#This Row],[TOTAL Non-Truncated Unadjusted Claims Expenses]]-AN_TME_PY[[#This Row],[Total Claims Excluded because of Truncation]]</f>
        <v>0</v>
      </c>
      <c r="X31" s="108">
        <f t="shared" si="1"/>
        <v>0</v>
      </c>
      <c r="Y31" s="108">
        <f>AN_TME_PY[[#This Row],[TOTAL Non-Truncated Unadjusted Claims Expenses]]+AN_TME_PY[[#This Row],[TOTAL Non-Claims Expenses]]</f>
        <v>0</v>
      </c>
      <c r="Z31" s="108">
        <f>AN_TME_PY[[#This Row],[TOTAL Truncated Unadjusted Claims Expenses (A21 -A19)]]+AN_TME_PY[[#This Row],[TOTAL Non-Claims Expenses]]</f>
        <v>0</v>
      </c>
      <c r="AA31" s="235">
        <f>IFERROR(AN_TME_PY[[#This Row],[TOTAL Non-Truncated Unadjusted Expenses (A21 + A23)]]/AN_TME_PY[[#This Row],[Member Months]],0)</f>
        <v>0</v>
      </c>
      <c r="AB31" s="109">
        <f>IFERROR(AN_TME_PY[[#This Row],[TOTAL Truncated Unadjusted Expenses (A22 + A23)]]/AN_TME_PY[[#This Row],[Member Months]],0)</f>
        <v>0</v>
      </c>
      <c r="AC31" s="237">
        <f>IFERROR(AN_TME_PY[[#This Row],[Total Claims Excluded because of Truncation]]/AN_TME_PY[[#This Row],[Count of Members with Claims Truncated]], 0)</f>
        <v>0</v>
      </c>
      <c r="AD31" s="238">
        <f>IFERROR(AN_TME_PY[[#This Row],[Total Claims Excluded because of Truncation]]/AN_TME_PY[[#This Row],[TOTAL Non-Truncated Unadjusted Claims Expenses]], 0)</f>
        <v>0</v>
      </c>
    </row>
    <row r="32" spans="1:30" x14ac:dyDescent="0.25">
      <c r="A32" s="122"/>
      <c r="B32" s="104"/>
      <c r="C32" s="267"/>
      <c r="D32" s="105"/>
      <c r="E32" s="110"/>
      <c r="F32" s="110"/>
      <c r="G32" s="110"/>
      <c r="H32" s="110"/>
      <c r="I32" s="110"/>
      <c r="J32" s="110"/>
      <c r="K32" s="110"/>
      <c r="L32" s="110"/>
      <c r="M32" s="110"/>
      <c r="N32" s="110"/>
      <c r="O32" s="110"/>
      <c r="P32" s="110"/>
      <c r="Q32" s="110"/>
      <c r="R32" s="110"/>
      <c r="S32" s="110"/>
      <c r="T32" s="110"/>
      <c r="U32" s="263"/>
      <c r="V32" s="108">
        <f t="shared" si="0"/>
        <v>0</v>
      </c>
      <c r="W32" s="108">
        <f>AN_TME_PY[[#This Row],[TOTAL Non-Truncated Unadjusted Claims Expenses]]-AN_TME_PY[[#This Row],[Total Claims Excluded because of Truncation]]</f>
        <v>0</v>
      </c>
      <c r="X32" s="108">
        <f t="shared" si="1"/>
        <v>0</v>
      </c>
      <c r="Y32" s="108">
        <f>AN_TME_PY[[#This Row],[TOTAL Non-Truncated Unadjusted Claims Expenses]]+AN_TME_PY[[#This Row],[TOTAL Non-Claims Expenses]]</f>
        <v>0</v>
      </c>
      <c r="Z32" s="108">
        <f>AN_TME_PY[[#This Row],[TOTAL Truncated Unadjusted Claims Expenses (A21 -A19)]]+AN_TME_PY[[#This Row],[TOTAL Non-Claims Expenses]]</f>
        <v>0</v>
      </c>
      <c r="AA32" s="235">
        <f>IFERROR(AN_TME_PY[[#This Row],[TOTAL Non-Truncated Unadjusted Expenses (A21 + A23)]]/AN_TME_PY[[#This Row],[Member Months]],0)</f>
        <v>0</v>
      </c>
      <c r="AB32" s="109">
        <f>IFERROR(AN_TME_PY[[#This Row],[TOTAL Truncated Unadjusted Expenses (A22 + A23)]]/AN_TME_PY[[#This Row],[Member Months]],0)</f>
        <v>0</v>
      </c>
      <c r="AC32" s="237">
        <f>IFERROR(AN_TME_PY[[#This Row],[Total Claims Excluded because of Truncation]]/AN_TME_PY[[#This Row],[Count of Members with Claims Truncated]], 0)</f>
        <v>0</v>
      </c>
      <c r="AD32" s="238">
        <f>IFERROR(AN_TME_PY[[#This Row],[Total Claims Excluded because of Truncation]]/AN_TME_PY[[#This Row],[TOTAL Non-Truncated Unadjusted Claims Expenses]], 0)</f>
        <v>0</v>
      </c>
    </row>
    <row r="33" spans="1:30" x14ac:dyDescent="0.25">
      <c r="A33" s="122"/>
      <c r="B33" s="104"/>
      <c r="C33" s="270"/>
      <c r="D33" s="105"/>
      <c r="E33" s="110"/>
      <c r="F33" s="110"/>
      <c r="G33" s="110"/>
      <c r="H33" s="110"/>
      <c r="I33" s="110"/>
      <c r="J33" s="110"/>
      <c r="K33" s="110"/>
      <c r="L33" s="110"/>
      <c r="M33" s="110"/>
      <c r="N33" s="110"/>
      <c r="O33" s="110"/>
      <c r="P33" s="110"/>
      <c r="Q33" s="110"/>
      <c r="R33" s="110"/>
      <c r="S33" s="110"/>
      <c r="T33" s="110"/>
      <c r="U33" s="263"/>
      <c r="V33" s="108">
        <f t="shared" si="0"/>
        <v>0</v>
      </c>
      <c r="W33" s="108">
        <f>AN_TME_PY[[#This Row],[TOTAL Non-Truncated Unadjusted Claims Expenses]]-AN_TME_PY[[#This Row],[Total Claims Excluded because of Truncation]]</f>
        <v>0</v>
      </c>
      <c r="X33" s="108">
        <f t="shared" si="1"/>
        <v>0</v>
      </c>
      <c r="Y33" s="108">
        <f>AN_TME_PY[[#This Row],[TOTAL Non-Truncated Unadjusted Claims Expenses]]+AN_TME_PY[[#This Row],[TOTAL Non-Claims Expenses]]</f>
        <v>0</v>
      </c>
      <c r="Z33" s="108">
        <f>AN_TME_PY[[#This Row],[TOTAL Truncated Unadjusted Claims Expenses (A21 -A19)]]+AN_TME_PY[[#This Row],[TOTAL Non-Claims Expenses]]</f>
        <v>0</v>
      </c>
      <c r="AA33" s="235">
        <f>IFERROR(AN_TME_PY[[#This Row],[TOTAL Non-Truncated Unadjusted Expenses (A21 + A23)]]/AN_TME_PY[[#This Row],[Member Months]],0)</f>
        <v>0</v>
      </c>
      <c r="AB33" s="109">
        <f>IFERROR(AN_TME_PY[[#This Row],[TOTAL Truncated Unadjusted Expenses (A22 + A23)]]/AN_TME_PY[[#This Row],[Member Months]],0)</f>
        <v>0</v>
      </c>
      <c r="AC33" s="237">
        <f>IFERROR(AN_TME_PY[[#This Row],[Total Claims Excluded because of Truncation]]/AN_TME_PY[[#This Row],[Count of Members with Claims Truncated]], 0)</f>
        <v>0</v>
      </c>
      <c r="AD33" s="238">
        <f>IFERROR(AN_TME_PY[[#This Row],[Total Claims Excluded because of Truncation]]/AN_TME_PY[[#This Row],[TOTAL Non-Truncated Unadjusted Claims Expenses]], 0)</f>
        <v>0</v>
      </c>
    </row>
    <row r="34" spans="1:30" x14ac:dyDescent="0.25">
      <c r="A34" s="122"/>
      <c r="B34" s="104"/>
      <c r="C34" s="267"/>
      <c r="D34" s="105"/>
      <c r="E34" s="110"/>
      <c r="F34" s="110"/>
      <c r="G34" s="110"/>
      <c r="H34" s="110"/>
      <c r="I34" s="110"/>
      <c r="J34" s="110"/>
      <c r="K34" s="110"/>
      <c r="L34" s="110"/>
      <c r="M34" s="110"/>
      <c r="N34" s="110"/>
      <c r="O34" s="110"/>
      <c r="P34" s="110"/>
      <c r="Q34" s="110"/>
      <c r="R34" s="110"/>
      <c r="S34" s="110"/>
      <c r="T34" s="110"/>
      <c r="U34" s="263"/>
      <c r="V34" s="108">
        <f t="shared" si="0"/>
        <v>0</v>
      </c>
      <c r="W34" s="108">
        <f>AN_TME_PY[[#This Row],[TOTAL Non-Truncated Unadjusted Claims Expenses]]-AN_TME_PY[[#This Row],[Total Claims Excluded because of Truncation]]</f>
        <v>0</v>
      </c>
      <c r="X34" s="108">
        <f t="shared" si="1"/>
        <v>0</v>
      </c>
      <c r="Y34" s="108">
        <f>AN_TME_PY[[#This Row],[TOTAL Non-Truncated Unadjusted Claims Expenses]]+AN_TME_PY[[#This Row],[TOTAL Non-Claims Expenses]]</f>
        <v>0</v>
      </c>
      <c r="Z34" s="108">
        <f>AN_TME_PY[[#This Row],[TOTAL Truncated Unadjusted Claims Expenses (A21 -A19)]]+AN_TME_PY[[#This Row],[TOTAL Non-Claims Expenses]]</f>
        <v>0</v>
      </c>
      <c r="AA34" s="235">
        <f>IFERROR(AN_TME_PY[[#This Row],[TOTAL Non-Truncated Unadjusted Expenses (A21 + A23)]]/AN_TME_PY[[#This Row],[Member Months]],0)</f>
        <v>0</v>
      </c>
      <c r="AB34" s="109">
        <f>IFERROR(AN_TME_PY[[#This Row],[TOTAL Truncated Unadjusted Expenses (A22 + A23)]]/AN_TME_PY[[#This Row],[Member Months]],0)</f>
        <v>0</v>
      </c>
      <c r="AC34" s="237">
        <f>IFERROR(AN_TME_PY[[#This Row],[Total Claims Excluded because of Truncation]]/AN_TME_PY[[#This Row],[Count of Members with Claims Truncated]], 0)</f>
        <v>0</v>
      </c>
      <c r="AD34" s="238">
        <f>IFERROR(AN_TME_PY[[#This Row],[Total Claims Excluded because of Truncation]]/AN_TME_PY[[#This Row],[TOTAL Non-Truncated Unadjusted Claims Expenses]], 0)</f>
        <v>0</v>
      </c>
    </row>
    <row r="35" spans="1:30" x14ac:dyDescent="0.25">
      <c r="A35" s="122"/>
      <c r="B35" s="104"/>
      <c r="C35" s="270"/>
      <c r="D35" s="105"/>
      <c r="E35" s="110"/>
      <c r="F35" s="110"/>
      <c r="G35" s="110"/>
      <c r="H35" s="110"/>
      <c r="I35" s="110"/>
      <c r="J35" s="110"/>
      <c r="K35" s="110"/>
      <c r="L35" s="110"/>
      <c r="M35" s="110"/>
      <c r="N35" s="110"/>
      <c r="O35" s="110"/>
      <c r="P35" s="110"/>
      <c r="Q35" s="110"/>
      <c r="R35" s="110"/>
      <c r="S35" s="110"/>
      <c r="T35" s="110"/>
      <c r="U35" s="263"/>
      <c r="V35" s="108">
        <f t="shared" si="0"/>
        <v>0</v>
      </c>
      <c r="W35" s="108">
        <f>AN_TME_PY[[#This Row],[TOTAL Non-Truncated Unadjusted Claims Expenses]]-AN_TME_PY[[#This Row],[Total Claims Excluded because of Truncation]]</f>
        <v>0</v>
      </c>
      <c r="X35" s="108">
        <f t="shared" si="1"/>
        <v>0</v>
      </c>
      <c r="Y35" s="108">
        <f>AN_TME_PY[[#This Row],[TOTAL Non-Truncated Unadjusted Claims Expenses]]+AN_TME_PY[[#This Row],[TOTAL Non-Claims Expenses]]</f>
        <v>0</v>
      </c>
      <c r="Z35" s="108">
        <f>AN_TME_PY[[#This Row],[TOTAL Truncated Unadjusted Claims Expenses (A21 -A19)]]+AN_TME_PY[[#This Row],[TOTAL Non-Claims Expenses]]</f>
        <v>0</v>
      </c>
      <c r="AA35" s="235">
        <f>IFERROR(AN_TME_PY[[#This Row],[TOTAL Non-Truncated Unadjusted Expenses (A21 + A23)]]/AN_TME_PY[[#This Row],[Member Months]],0)</f>
        <v>0</v>
      </c>
      <c r="AB35" s="109">
        <f>IFERROR(AN_TME_PY[[#This Row],[TOTAL Truncated Unadjusted Expenses (A22 + A23)]]/AN_TME_PY[[#This Row],[Member Months]],0)</f>
        <v>0</v>
      </c>
      <c r="AC35" s="237">
        <f>IFERROR(AN_TME_PY[[#This Row],[Total Claims Excluded because of Truncation]]/AN_TME_PY[[#This Row],[Count of Members with Claims Truncated]], 0)</f>
        <v>0</v>
      </c>
      <c r="AD35" s="238">
        <f>IFERROR(AN_TME_PY[[#This Row],[Total Claims Excluded because of Truncation]]/AN_TME_PY[[#This Row],[TOTAL Non-Truncated Unadjusted Claims Expenses]], 0)</f>
        <v>0</v>
      </c>
    </row>
    <row r="36" spans="1:30" x14ac:dyDescent="0.25">
      <c r="A36" s="122"/>
      <c r="B36" s="104"/>
      <c r="C36" s="267"/>
      <c r="D36" s="105"/>
      <c r="E36" s="110"/>
      <c r="F36" s="110"/>
      <c r="G36" s="110"/>
      <c r="H36" s="110"/>
      <c r="I36" s="110"/>
      <c r="J36" s="110"/>
      <c r="K36" s="110"/>
      <c r="L36" s="110"/>
      <c r="M36" s="110"/>
      <c r="N36" s="110"/>
      <c r="O36" s="110"/>
      <c r="P36" s="110"/>
      <c r="Q36" s="110"/>
      <c r="R36" s="110"/>
      <c r="S36" s="110"/>
      <c r="T36" s="110"/>
      <c r="U36" s="263"/>
      <c r="V36" s="108">
        <f t="shared" si="0"/>
        <v>0</v>
      </c>
      <c r="W36" s="108">
        <f>AN_TME_PY[[#This Row],[TOTAL Non-Truncated Unadjusted Claims Expenses]]-AN_TME_PY[[#This Row],[Total Claims Excluded because of Truncation]]</f>
        <v>0</v>
      </c>
      <c r="X36" s="108">
        <f t="shared" si="1"/>
        <v>0</v>
      </c>
      <c r="Y36" s="108">
        <f>AN_TME_PY[[#This Row],[TOTAL Non-Truncated Unadjusted Claims Expenses]]+AN_TME_PY[[#This Row],[TOTAL Non-Claims Expenses]]</f>
        <v>0</v>
      </c>
      <c r="Z36" s="108">
        <f>AN_TME_PY[[#This Row],[TOTAL Truncated Unadjusted Claims Expenses (A21 -A19)]]+AN_TME_PY[[#This Row],[TOTAL Non-Claims Expenses]]</f>
        <v>0</v>
      </c>
      <c r="AA36" s="235">
        <f>IFERROR(AN_TME_PY[[#This Row],[TOTAL Non-Truncated Unadjusted Expenses (A21 + A23)]]/AN_TME_PY[[#This Row],[Member Months]],0)</f>
        <v>0</v>
      </c>
      <c r="AB36" s="109">
        <f>IFERROR(AN_TME_PY[[#This Row],[TOTAL Truncated Unadjusted Expenses (A22 + A23)]]/AN_TME_PY[[#This Row],[Member Months]],0)</f>
        <v>0</v>
      </c>
      <c r="AC36" s="237">
        <f>IFERROR(AN_TME_PY[[#This Row],[Total Claims Excluded because of Truncation]]/AN_TME_PY[[#This Row],[Count of Members with Claims Truncated]], 0)</f>
        <v>0</v>
      </c>
      <c r="AD36" s="238">
        <f>IFERROR(AN_TME_PY[[#This Row],[Total Claims Excluded because of Truncation]]/AN_TME_PY[[#This Row],[TOTAL Non-Truncated Unadjusted Claims Expenses]], 0)</f>
        <v>0</v>
      </c>
    </row>
    <row r="37" spans="1:30" x14ac:dyDescent="0.25">
      <c r="A37" s="122"/>
      <c r="B37" s="104"/>
      <c r="C37" s="270"/>
      <c r="D37" s="105"/>
      <c r="E37" s="110"/>
      <c r="F37" s="110"/>
      <c r="G37" s="110"/>
      <c r="H37" s="110"/>
      <c r="I37" s="110"/>
      <c r="J37" s="110"/>
      <c r="K37" s="110"/>
      <c r="L37" s="110"/>
      <c r="M37" s="110"/>
      <c r="N37" s="110"/>
      <c r="O37" s="110"/>
      <c r="P37" s="110"/>
      <c r="Q37" s="110"/>
      <c r="R37" s="110"/>
      <c r="S37" s="110"/>
      <c r="T37" s="110"/>
      <c r="U37" s="263"/>
      <c r="V37" s="108">
        <f t="shared" si="0"/>
        <v>0</v>
      </c>
      <c r="W37" s="108">
        <f>AN_TME_PY[[#This Row],[TOTAL Non-Truncated Unadjusted Claims Expenses]]-AN_TME_PY[[#This Row],[Total Claims Excluded because of Truncation]]</f>
        <v>0</v>
      </c>
      <c r="X37" s="108">
        <f t="shared" si="1"/>
        <v>0</v>
      </c>
      <c r="Y37" s="108">
        <f>AN_TME_PY[[#This Row],[TOTAL Non-Truncated Unadjusted Claims Expenses]]+AN_TME_PY[[#This Row],[TOTAL Non-Claims Expenses]]</f>
        <v>0</v>
      </c>
      <c r="Z37" s="108">
        <f>AN_TME_PY[[#This Row],[TOTAL Truncated Unadjusted Claims Expenses (A21 -A19)]]+AN_TME_PY[[#This Row],[TOTAL Non-Claims Expenses]]</f>
        <v>0</v>
      </c>
      <c r="AA37" s="235">
        <f>IFERROR(AN_TME_PY[[#This Row],[TOTAL Non-Truncated Unadjusted Expenses (A21 + A23)]]/AN_TME_PY[[#This Row],[Member Months]],0)</f>
        <v>0</v>
      </c>
      <c r="AB37" s="109">
        <f>IFERROR(AN_TME_PY[[#This Row],[TOTAL Truncated Unadjusted Expenses (A22 + A23)]]/AN_TME_PY[[#This Row],[Member Months]],0)</f>
        <v>0</v>
      </c>
      <c r="AC37" s="237">
        <f>IFERROR(AN_TME_PY[[#This Row],[Total Claims Excluded because of Truncation]]/AN_TME_PY[[#This Row],[Count of Members with Claims Truncated]], 0)</f>
        <v>0</v>
      </c>
      <c r="AD37" s="238">
        <f>IFERROR(AN_TME_PY[[#This Row],[Total Claims Excluded because of Truncation]]/AN_TME_PY[[#This Row],[TOTAL Non-Truncated Unadjusted Claims Expenses]], 0)</f>
        <v>0</v>
      </c>
    </row>
    <row r="38" spans="1:30" x14ac:dyDescent="0.25">
      <c r="A38" s="122"/>
      <c r="B38" s="104"/>
      <c r="C38" s="267"/>
      <c r="D38" s="105"/>
      <c r="E38" s="110"/>
      <c r="F38" s="110"/>
      <c r="G38" s="110"/>
      <c r="H38" s="110"/>
      <c r="I38" s="110"/>
      <c r="J38" s="110"/>
      <c r="K38" s="110"/>
      <c r="L38" s="110"/>
      <c r="M38" s="110"/>
      <c r="N38" s="110"/>
      <c r="O38" s="110"/>
      <c r="P38" s="110"/>
      <c r="Q38" s="110"/>
      <c r="R38" s="110"/>
      <c r="S38" s="110"/>
      <c r="T38" s="110"/>
      <c r="U38" s="263"/>
      <c r="V38" s="108">
        <f t="shared" si="0"/>
        <v>0</v>
      </c>
      <c r="W38" s="108">
        <f>AN_TME_PY[[#This Row],[TOTAL Non-Truncated Unadjusted Claims Expenses]]-AN_TME_PY[[#This Row],[Total Claims Excluded because of Truncation]]</f>
        <v>0</v>
      </c>
      <c r="X38" s="108">
        <f t="shared" si="1"/>
        <v>0</v>
      </c>
      <c r="Y38" s="108">
        <f>AN_TME_PY[[#This Row],[TOTAL Non-Truncated Unadjusted Claims Expenses]]+AN_TME_PY[[#This Row],[TOTAL Non-Claims Expenses]]</f>
        <v>0</v>
      </c>
      <c r="Z38" s="108">
        <f>AN_TME_PY[[#This Row],[TOTAL Truncated Unadjusted Claims Expenses (A21 -A19)]]+AN_TME_PY[[#This Row],[TOTAL Non-Claims Expenses]]</f>
        <v>0</v>
      </c>
      <c r="AA38" s="235">
        <f>IFERROR(AN_TME_PY[[#This Row],[TOTAL Non-Truncated Unadjusted Expenses (A21 + A23)]]/AN_TME_PY[[#This Row],[Member Months]],0)</f>
        <v>0</v>
      </c>
      <c r="AB38" s="109">
        <f>IFERROR(AN_TME_PY[[#This Row],[TOTAL Truncated Unadjusted Expenses (A22 + A23)]]/AN_TME_PY[[#This Row],[Member Months]],0)</f>
        <v>0</v>
      </c>
      <c r="AC38" s="237">
        <f>IFERROR(AN_TME_PY[[#This Row],[Total Claims Excluded because of Truncation]]/AN_TME_PY[[#This Row],[Count of Members with Claims Truncated]], 0)</f>
        <v>0</v>
      </c>
      <c r="AD38" s="238">
        <f>IFERROR(AN_TME_PY[[#This Row],[Total Claims Excluded because of Truncation]]/AN_TME_PY[[#This Row],[TOTAL Non-Truncated Unadjusted Claims Expenses]], 0)</f>
        <v>0</v>
      </c>
    </row>
    <row r="39" spans="1:30" x14ac:dyDescent="0.25">
      <c r="A39" s="122"/>
      <c r="B39" s="104"/>
      <c r="C39" s="270"/>
      <c r="D39" s="105"/>
      <c r="E39" s="110"/>
      <c r="F39" s="110"/>
      <c r="G39" s="110"/>
      <c r="H39" s="110"/>
      <c r="I39" s="110"/>
      <c r="J39" s="110"/>
      <c r="K39" s="110"/>
      <c r="L39" s="110"/>
      <c r="M39" s="110"/>
      <c r="N39" s="110"/>
      <c r="O39" s="110"/>
      <c r="P39" s="110"/>
      <c r="Q39" s="110"/>
      <c r="R39" s="110"/>
      <c r="S39" s="110"/>
      <c r="T39" s="110"/>
      <c r="U39" s="263"/>
      <c r="V39" s="108">
        <f t="shared" si="0"/>
        <v>0</v>
      </c>
      <c r="W39" s="108">
        <f>AN_TME_PY[[#This Row],[TOTAL Non-Truncated Unadjusted Claims Expenses]]-AN_TME_PY[[#This Row],[Total Claims Excluded because of Truncation]]</f>
        <v>0</v>
      </c>
      <c r="X39" s="108">
        <f t="shared" si="1"/>
        <v>0</v>
      </c>
      <c r="Y39" s="108">
        <f>AN_TME_PY[[#This Row],[TOTAL Non-Truncated Unadjusted Claims Expenses]]+AN_TME_PY[[#This Row],[TOTAL Non-Claims Expenses]]</f>
        <v>0</v>
      </c>
      <c r="Z39" s="108">
        <f>AN_TME_PY[[#This Row],[TOTAL Truncated Unadjusted Claims Expenses (A21 -A19)]]+AN_TME_PY[[#This Row],[TOTAL Non-Claims Expenses]]</f>
        <v>0</v>
      </c>
      <c r="AA39" s="235">
        <f>IFERROR(AN_TME_PY[[#This Row],[TOTAL Non-Truncated Unadjusted Expenses (A21 + A23)]]/AN_TME_PY[[#This Row],[Member Months]],0)</f>
        <v>0</v>
      </c>
      <c r="AB39" s="109">
        <f>IFERROR(AN_TME_PY[[#This Row],[TOTAL Truncated Unadjusted Expenses (A22 + A23)]]/AN_TME_PY[[#This Row],[Member Months]],0)</f>
        <v>0</v>
      </c>
      <c r="AC39" s="237">
        <f>IFERROR(AN_TME_PY[[#This Row],[Total Claims Excluded because of Truncation]]/AN_TME_PY[[#This Row],[Count of Members with Claims Truncated]], 0)</f>
        <v>0</v>
      </c>
      <c r="AD39" s="238">
        <f>IFERROR(AN_TME_PY[[#This Row],[Total Claims Excluded because of Truncation]]/AN_TME_PY[[#This Row],[TOTAL Non-Truncated Unadjusted Claims Expenses]], 0)</f>
        <v>0</v>
      </c>
    </row>
    <row r="40" spans="1:30" x14ac:dyDescent="0.25">
      <c r="A40" s="122"/>
      <c r="B40" s="104"/>
      <c r="C40" s="267"/>
      <c r="D40" s="105"/>
      <c r="E40" s="110"/>
      <c r="F40" s="110"/>
      <c r="G40" s="110"/>
      <c r="H40" s="110"/>
      <c r="I40" s="110"/>
      <c r="J40" s="110"/>
      <c r="K40" s="110"/>
      <c r="L40" s="110"/>
      <c r="M40" s="110"/>
      <c r="N40" s="110"/>
      <c r="O40" s="110"/>
      <c r="P40" s="110"/>
      <c r="Q40" s="110"/>
      <c r="R40" s="110"/>
      <c r="S40" s="110"/>
      <c r="T40" s="110"/>
      <c r="U40" s="263"/>
      <c r="V40" s="108">
        <f t="shared" si="0"/>
        <v>0</v>
      </c>
      <c r="W40" s="108">
        <f>AN_TME_PY[[#This Row],[TOTAL Non-Truncated Unadjusted Claims Expenses]]-AN_TME_PY[[#This Row],[Total Claims Excluded because of Truncation]]</f>
        <v>0</v>
      </c>
      <c r="X40" s="108">
        <f t="shared" si="1"/>
        <v>0</v>
      </c>
      <c r="Y40" s="108">
        <f>AN_TME_PY[[#This Row],[TOTAL Non-Truncated Unadjusted Claims Expenses]]+AN_TME_PY[[#This Row],[TOTAL Non-Claims Expenses]]</f>
        <v>0</v>
      </c>
      <c r="Z40" s="108">
        <f>AN_TME_PY[[#This Row],[TOTAL Truncated Unadjusted Claims Expenses (A21 -A19)]]+AN_TME_PY[[#This Row],[TOTAL Non-Claims Expenses]]</f>
        <v>0</v>
      </c>
      <c r="AA40" s="235">
        <f>IFERROR(AN_TME_PY[[#This Row],[TOTAL Non-Truncated Unadjusted Expenses (A21 + A23)]]/AN_TME_PY[[#This Row],[Member Months]],0)</f>
        <v>0</v>
      </c>
      <c r="AB40" s="109">
        <f>IFERROR(AN_TME_PY[[#This Row],[TOTAL Truncated Unadjusted Expenses (A22 + A23)]]/AN_TME_PY[[#This Row],[Member Months]],0)</f>
        <v>0</v>
      </c>
      <c r="AC40" s="237">
        <f>IFERROR(AN_TME_PY[[#This Row],[Total Claims Excluded because of Truncation]]/AN_TME_PY[[#This Row],[Count of Members with Claims Truncated]], 0)</f>
        <v>0</v>
      </c>
      <c r="AD40" s="238">
        <f>IFERROR(AN_TME_PY[[#This Row],[Total Claims Excluded because of Truncation]]/AN_TME_PY[[#This Row],[TOTAL Non-Truncated Unadjusted Claims Expenses]], 0)</f>
        <v>0</v>
      </c>
    </row>
    <row r="41" spans="1:30" x14ac:dyDescent="0.25">
      <c r="A41" s="101"/>
      <c r="B41" s="104"/>
      <c r="C41" s="270"/>
      <c r="D41" s="105"/>
      <c r="E41" s="107"/>
      <c r="F41" s="107"/>
      <c r="G41" s="107"/>
      <c r="H41" s="107"/>
      <c r="I41" s="107"/>
      <c r="J41" s="107"/>
      <c r="K41" s="107"/>
      <c r="L41" s="107"/>
      <c r="M41" s="107"/>
      <c r="N41" s="110"/>
      <c r="O41" s="110"/>
      <c r="P41" s="110"/>
      <c r="Q41" s="110"/>
      <c r="R41" s="110"/>
      <c r="S41" s="110"/>
      <c r="T41" s="110"/>
      <c r="U41" s="263"/>
      <c r="V41" s="108">
        <f t="shared" si="0"/>
        <v>0</v>
      </c>
      <c r="W41" s="108">
        <f>AN_TME_PY[[#This Row],[TOTAL Non-Truncated Unadjusted Claims Expenses]]-AN_TME_PY[[#This Row],[Total Claims Excluded because of Truncation]]</f>
        <v>0</v>
      </c>
      <c r="X41" s="108">
        <f t="shared" si="1"/>
        <v>0</v>
      </c>
      <c r="Y41" s="108">
        <f>AN_TME_PY[[#This Row],[TOTAL Non-Truncated Unadjusted Claims Expenses]]+AN_TME_PY[[#This Row],[TOTAL Non-Claims Expenses]]</f>
        <v>0</v>
      </c>
      <c r="Z41" s="108">
        <f>AN_TME_PY[[#This Row],[TOTAL Truncated Unadjusted Claims Expenses (A21 -A19)]]+AN_TME_PY[[#This Row],[TOTAL Non-Claims Expenses]]</f>
        <v>0</v>
      </c>
      <c r="AA41" s="235">
        <f>IFERROR(AN_TME_PY[[#This Row],[TOTAL Non-Truncated Unadjusted Expenses (A21 + A23)]]/AN_TME_PY[[#This Row],[Member Months]],0)</f>
        <v>0</v>
      </c>
      <c r="AB41" s="109">
        <f>IFERROR(AN_TME_PY[[#This Row],[TOTAL Truncated Unadjusted Expenses (A22 + A23)]]/AN_TME_PY[[#This Row],[Member Months]],0)</f>
        <v>0</v>
      </c>
      <c r="AC41" s="237">
        <f>IFERROR(AN_TME_PY[[#This Row],[Total Claims Excluded because of Truncation]]/AN_TME_PY[[#This Row],[Count of Members with Claims Truncated]], 0)</f>
        <v>0</v>
      </c>
      <c r="AD41" s="238">
        <f>IFERROR(AN_TME_PY[[#This Row],[Total Claims Excluded because of Truncation]]/AN_TME_PY[[#This Row],[TOTAL Non-Truncated Unadjusted Claims Expenses]], 0)</f>
        <v>0</v>
      </c>
    </row>
    <row r="42" spans="1:30" x14ac:dyDescent="0.25">
      <c r="A42" s="101"/>
      <c r="B42" s="104"/>
      <c r="C42" s="267"/>
      <c r="D42" s="105"/>
      <c r="E42" s="110"/>
      <c r="F42" s="110"/>
      <c r="G42" s="110"/>
      <c r="H42" s="110"/>
      <c r="I42" s="110"/>
      <c r="J42" s="110"/>
      <c r="K42" s="110"/>
      <c r="L42" s="110"/>
      <c r="M42" s="110"/>
      <c r="N42" s="110"/>
      <c r="O42" s="110"/>
      <c r="P42" s="110"/>
      <c r="Q42" s="110"/>
      <c r="R42" s="110"/>
      <c r="S42" s="110"/>
      <c r="T42" s="110"/>
      <c r="U42" s="263"/>
      <c r="V42" s="108">
        <f t="shared" si="0"/>
        <v>0</v>
      </c>
      <c r="W42" s="108">
        <f>AN_TME_PY[[#This Row],[TOTAL Non-Truncated Unadjusted Claims Expenses]]-AN_TME_PY[[#This Row],[Total Claims Excluded because of Truncation]]</f>
        <v>0</v>
      </c>
      <c r="X42" s="108">
        <f t="shared" si="1"/>
        <v>0</v>
      </c>
      <c r="Y42" s="108">
        <f>AN_TME_PY[[#This Row],[TOTAL Non-Truncated Unadjusted Claims Expenses]]+AN_TME_PY[[#This Row],[TOTAL Non-Claims Expenses]]</f>
        <v>0</v>
      </c>
      <c r="Z42" s="108">
        <f>AN_TME_PY[[#This Row],[TOTAL Truncated Unadjusted Claims Expenses (A21 -A19)]]+AN_TME_PY[[#This Row],[TOTAL Non-Claims Expenses]]</f>
        <v>0</v>
      </c>
      <c r="AA42" s="235">
        <f>IFERROR(AN_TME_PY[[#This Row],[TOTAL Non-Truncated Unadjusted Expenses (A21 + A23)]]/AN_TME_PY[[#This Row],[Member Months]],0)</f>
        <v>0</v>
      </c>
      <c r="AB42" s="109">
        <f>IFERROR(AN_TME_PY[[#This Row],[TOTAL Truncated Unadjusted Expenses (A22 + A23)]]/AN_TME_PY[[#This Row],[Member Months]],0)</f>
        <v>0</v>
      </c>
      <c r="AC42" s="237">
        <f>IFERROR(AN_TME_PY[[#This Row],[Total Claims Excluded because of Truncation]]/AN_TME_PY[[#This Row],[Count of Members with Claims Truncated]], 0)</f>
        <v>0</v>
      </c>
      <c r="AD42" s="238">
        <f>IFERROR(AN_TME_PY[[#This Row],[Total Claims Excluded because of Truncation]]/AN_TME_PY[[#This Row],[TOTAL Non-Truncated Unadjusted Claims Expenses]], 0)</f>
        <v>0</v>
      </c>
    </row>
    <row r="43" spans="1:30" x14ac:dyDescent="0.25">
      <c r="A43" s="101"/>
      <c r="B43" s="104"/>
      <c r="C43" s="270"/>
      <c r="D43" s="105"/>
      <c r="E43" s="110"/>
      <c r="F43" s="110"/>
      <c r="G43" s="110"/>
      <c r="H43" s="110"/>
      <c r="I43" s="110"/>
      <c r="J43" s="110"/>
      <c r="K43" s="110"/>
      <c r="L43" s="110"/>
      <c r="M43" s="110"/>
      <c r="N43" s="110"/>
      <c r="O43" s="110"/>
      <c r="P43" s="110"/>
      <c r="Q43" s="110"/>
      <c r="R43" s="110"/>
      <c r="S43" s="110"/>
      <c r="T43" s="110"/>
      <c r="U43" s="263"/>
      <c r="V43" s="108">
        <f t="shared" ref="V43:V74" si="2">SUM(E43:G43)+SUM(I43:M43)</f>
        <v>0</v>
      </c>
      <c r="W43" s="108">
        <f>AN_TME_PY[[#This Row],[TOTAL Non-Truncated Unadjusted Claims Expenses]]-AN_TME_PY[[#This Row],[Total Claims Excluded because of Truncation]]</f>
        <v>0</v>
      </c>
      <c r="X43" s="108">
        <f t="shared" ref="X43:X74" si="3">SUM(N43:R43)</f>
        <v>0</v>
      </c>
      <c r="Y43" s="108">
        <f>AN_TME_PY[[#This Row],[TOTAL Non-Truncated Unadjusted Claims Expenses]]+AN_TME_PY[[#This Row],[TOTAL Non-Claims Expenses]]</f>
        <v>0</v>
      </c>
      <c r="Z43" s="108">
        <f>AN_TME_PY[[#This Row],[TOTAL Truncated Unadjusted Claims Expenses (A21 -A19)]]+AN_TME_PY[[#This Row],[TOTAL Non-Claims Expenses]]</f>
        <v>0</v>
      </c>
      <c r="AA43" s="235">
        <f>IFERROR(AN_TME_PY[[#This Row],[TOTAL Non-Truncated Unadjusted Expenses (A21 + A23)]]/AN_TME_PY[[#This Row],[Member Months]],0)</f>
        <v>0</v>
      </c>
      <c r="AB43" s="109">
        <f>IFERROR(AN_TME_PY[[#This Row],[TOTAL Truncated Unadjusted Expenses (A22 + A23)]]/AN_TME_PY[[#This Row],[Member Months]],0)</f>
        <v>0</v>
      </c>
      <c r="AC43" s="237">
        <f>IFERROR(AN_TME_PY[[#This Row],[Total Claims Excluded because of Truncation]]/AN_TME_PY[[#This Row],[Count of Members with Claims Truncated]], 0)</f>
        <v>0</v>
      </c>
      <c r="AD43" s="238">
        <f>IFERROR(AN_TME_PY[[#This Row],[Total Claims Excluded because of Truncation]]/AN_TME_PY[[#This Row],[TOTAL Non-Truncated Unadjusted Claims Expenses]], 0)</f>
        <v>0</v>
      </c>
    </row>
    <row r="44" spans="1:30" x14ac:dyDescent="0.25">
      <c r="A44" s="101"/>
      <c r="B44" s="104"/>
      <c r="C44" s="267"/>
      <c r="D44" s="105"/>
      <c r="E44" s="110"/>
      <c r="F44" s="110"/>
      <c r="G44" s="110"/>
      <c r="H44" s="110"/>
      <c r="I44" s="110"/>
      <c r="J44" s="110"/>
      <c r="K44" s="110"/>
      <c r="L44" s="110"/>
      <c r="M44" s="110"/>
      <c r="N44" s="110"/>
      <c r="O44" s="110"/>
      <c r="P44" s="110"/>
      <c r="Q44" s="110"/>
      <c r="R44" s="110"/>
      <c r="S44" s="110"/>
      <c r="T44" s="110"/>
      <c r="U44" s="263"/>
      <c r="V44" s="108">
        <f t="shared" si="2"/>
        <v>0</v>
      </c>
      <c r="W44" s="108">
        <f>AN_TME_PY[[#This Row],[TOTAL Non-Truncated Unadjusted Claims Expenses]]-AN_TME_PY[[#This Row],[Total Claims Excluded because of Truncation]]</f>
        <v>0</v>
      </c>
      <c r="X44" s="108">
        <f t="shared" si="3"/>
        <v>0</v>
      </c>
      <c r="Y44" s="108">
        <f>AN_TME_PY[[#This Row],[TOTAL Non-Truncated Unadjusted Claims Expenses]]+AN_TME_PY[[#This Row],[TOTAL Non-Claims Expenses]]</f>
        <v>0</v>
      </c>
      <c r="Z44" s="108">
        <f>AN_TME_PY[[#This Row],[TOTAL Truncated Unadjusted Claims Expenses (A21 -A19)]]+AN_TME_PY[[#This Row],[TOTAL Non-Claims Expenses]]</f>
        <v>0</v>
      </c>
      <c r="AA44" s="235">
        <f>IFERROR(AN_TME_PY[[#This Row],[TOTAL Non-Truncated Unadjusted Expenses (A21 + A23)]]/AN_TME_PY[[#This Row],[Member Months]],0)</f>
        <v>0</v>
      </c>
      <c r="AB44" s="109">
        <f>IFERROR(AN_TME_PY[[#This Row],[TOTAL Truncated Unadjusted Expenses (A22 + A23)]]/AN_TME_PY[[#This Row],[Member Months]],0)</f>
        <v>0</v>
      </c>
      <c r="AC44" s="237">
        <f>IFERROR(AN_TME_PY[[#This Row],[Total Claims Excluded because of Truncation]]/AN_TME_PY[[#This Row],[Count of Members with Claims Truncated]], 0)</f>
        <v>0</v>
      </c>
      <c r="AD44" s="238">
        <f>IFERROR(AN_TME_PY[[#This Row],[Total Claims Excluded because of Truncation]]/AN_TME_PY[[#This Row],[TOTAL Non-Truncated Unadjusted Claims Expenses]], 0)</f>
        <v>0</v>
      </c>
    </row>
    <row r="45" spans="1:30" x14ac:dyDescent="0.25">
      <c r="A45" s="101"/>
      <c r="B45" s="104"/>
      <c r="C45" s="270"/>
      <c r="D45" s="105"/>
      <c r="E45" s="110"/>
      <c r="F45" s="110"/>
      <c r="G45" s="110"/>
      <c r="H45" s="110"/>
      <c r="I45" s="110"/>
      <c r="J45" s="110"/>
      <c r="K45" s="110"/>
      <c r="L45" s="110"/>
      <c r="M45" s="110"/>
      <c r="N45" s="110"/>
      <c r="O45" s="110"/>
      <c r="P45" s="110"/>
      <c r="Q45" s="110"/>
      <c r="R45" s="110"/>
      <c r="S45" s="110"/>
      <c r="T45" s="110"/>
      <c r="U45" s="263"/>
      <c r="V45" s="108">
        <f t="shared" si="2"/>
        <v>0</v>
      </c>
      <c r="W45" s="108">
        <f>AN_TME_PY[[#This Row],[TOTAL Non-Truncated Unadjusted Claims Expenses]]-AN_TME_PY[[#This Row],[Total Claims Excluded because of Truncation]]</f>
        <v>0</v>
      </c>
      <c r="X45" s="108">
        <f t="shared" si="3"/>
        <v>0</v>
      </c>
      <c r="Y45" s="108">
        <f>AN_TME_PY[[#This Row],[TOTAL Non-Truncated Unadjusted Claims Expenses]]+AN_TME_PY[[#This Row],[TOTAL Non-Claims Expenses]]</f>
        <v>0</v>
      </c>
      <c r="Z45" s="108">
        <f>AN_TME_PY[[#This Row],[TOTAL Truncated Unadjusted Claims Expenses (A21 -A19)]]+AN_TME_PY[[#This Row],[TOTAL Non-Claims Expenses]]</f>
        <v>0</v>
      </c>
      <c r="AA45" s="235">
        <f>IFERROR(AN_TME_PY[[#This Row],[TOTAL Non-Truncated Unadjusted Expenses (A21 + A23)]]/AN_TME_PY[[#This Row],[Member Months]],0)</f>
        <v>0</v>
      </c>
      <c r="AB45" s="109">
        <f>IFERROR(AN_TME_PY[[#This Row],[TOTAL Truncated Unadjusted Expenses (A22 + A23)]]/AN_TME_PY[[#This Row],[Member Months]],0)</f>
        <v>0</v>
      </c>
      <c r="AC45" s="237">
        <f>IFERROR(AN_TME_PY[[#This Row],[Total Claims Excluded because of Truncation]]/AN_TME_PY[[#This Row],[Count of Members with Claims Truncated]], 0)</f>
        <v>0</v>
      </c>
      <c r="AD45" s="238">
        <f>IFERROR(AN_TME_PY[[#This Row],[Total Claims Excluded because of Truncation]]/AN_TME_PY[[#This Row],[TOTAL Non-Truncated Unadjusted Claims Expenses]], 0)</f>
        <v>0</v>
      </c>
    </row>
    <row r="46" spans="1:30" x14ac:dyDescent="0.25">
      <c r="A46" s="101"/>
      <c r="B46" s="104"/>
      <c r="C46" s="267"/>
      <c r="D46" s="105"/>
      <c r="E46" s="110"/>
      <c r="F46" s="110"/>
      <c r="G46" s="110"/>
      <c r="H46" s="110"/>
      <c r="I46" s="110"/>
      <c r="J46" s="110"/>
      <c r="K46" s="110"/>
      <c r="L46" s="110"/>
      <c r="M46" s="110"/>
      <c r="N46" s="110"/>
      <c r="O46" s="110"/>
      <c r="P46" s="110"/>
      <c r="Q46" s="110"/>
      <c r="R46" s="110"/>
      <c r="S46" s="110"/>
      <c r="T46" s="110"/>
      <c r="U46" s="263"/>
      <c r="V46" s="108">
        <f t="shared" si="2"/>
        <v>0</v>
      </c>
      <c r="W46" s="108">
        <f>AN_TME_PY[[#This Row],[TOTAL Non-Truncated Unadjusted Claims Expenses]]-AN_TME_PY[[#This Row],[Total Claims Excluded because of Truncation]]</f>
        <v>0</v>
      </c>
      <c r="X46" s="108">
        <f t="shared" si="3"/>
        <v>0</v>
      </c>
      <c r="Y46" s="108">
        <f>AN_TME_PY[[#This Row],[TOTAL Non-Truncated Unadjusted Claims Expenses]]+AN_TME_PY[[#This Row],[TOTAL Non-Claims Expenses]]</f>
        <v>0</v>
      </c>
      <c r="Z46" s="108">
        <f>AN_TME_PY[[#This Row],[TOTAL Truncated Unadjusted Claims Expenses (A21 -A19)]]+AN_TME_PY[[#This Row],[TOTAL Non-Claims Expenses]]</f>
        <v>0</v>
      </c>
      <c r="AA46" s="235">
        <f>IFERROR(AN_TME_PY[[#This Row],[TOTAL Non-Truncated Unadjusted Expenses (A21 + A23)]]/AN_TME_PY[[#This Row],[Member Months]],0)</f>
        <v>0</v>
      </c>
      <c r="AB46" s="109">
        <f>IFERROR(AN_TME_PY[[#This Row],[TOTAL Truncated Unadjusted Expenses (A22 + A23)]]/AN_TME_PY[[#This Row],[Member Months]],0)</f>
        <v>0</v>
      </c>
      <c r="AC46" s="237">
        <f>IFERROR(AN_TME_PY[[#This Row],[Total Claims Excluded because of Truncation]]/AN_TME_PY[[#This Row],[Count of Members with Claims Truncated]], 0)</f>
        <v>0</v>
      </c>
      <c r="AD46" s="238">
        <f>IFERROR(AN_TME_PY[[#This Row],[Total Claims Excluded because of Truncation]]/AN_TME_PY[[#This Row],[TOTAL Non-Truncated Unadjusted Claims Expenses]], 0)</f>
        <v>0</v>
      </c>
    </row>
    <row r="47" spans="1:30" x14ac:dyDescent="0.25">
      <c r="A47" s="101"/>
      <c r="B47" s="104"/>
      <c r="C47" s="270"/>
      <c r="D47" s="105"/>
      <c r="E47" s="110"/>
      <c r="F47" s="110"/>
      <c r="G47" s="110"/>
      <c r="H47" s="110"/>
      <c r="I47" s="110"/>
      <c r="J47" s="110"/>
      <c r="K47" s="110"/>
      <c r="L47" s="110"/>
      <c r="M47" s="110"/>
      <c r="N47" s="110"/>
      <c r="O47" s="110"/>
      <c r="P47" s="110"/>
      <c r="Q47" s="110"/>
      <c r="R47" s="110"/>
      <c r="S47" s="110"/>
      <c r="T47" s="110"/>
      <c r="U47" s="263"/>
      <c r="V47" s="108">
        <f t="shared" si="2"/>
        <v>0</v>
      </c>
      <c r="W47" s="108">
        <f>AN_TME_PY[[#This Row],[TOTAL Non-Truncated Unadjusted Claims Expenses]]-AN_TME_PY[[#This Row],[Total Claims Excluded because of Truncation]]</f>
        <v>0</v>
      </c>
      <c r="X47" s="108">
        <f t="shared" si="3"/>
        <v>0</v>
      </c>
      <c r="Y47" s="108">
        <f>AN_TME_PY[[#This Row],[TOTAL Non-Truncated Unadjusted Claims Expenses]]+AN_TME_PY[[#This Row],[TOTAL Non-Claims Expenses]]</f>
        <v>0</v>
      </c>
      <c r="Z47" s="108">
        <f>AN_TME_PY[[#This Row],[TOTAL Truncated Unadjusted Claims Expenses (A21 -A19)]]+AN_TME_PY[[#This Row],[TOTAL Non-Claims Expenses]]</f>
        <v>0</v>
      </c>
      <c r="AA47" s="235">
        <f>IFERROR(AN_TME_PY[[#This Row],[TOTAL Non-Truncated Unadjusted Expenses (A21 + A23)]]/AN_TME_PY[[#This Row],[Member Months]],0)</f>
        <v>0</v>
      </c>
      <c r="AB47" s="109">
        <f>IFERROR(AN_TME_PY[[#This Row],[TOTAL Truncated Unadjusted Expenses (A22 + A23)]]/AN_TME_PY[[#This Row],[Member Months]],0)</f>
        <v>0</v>
      </c>
      <c r="AC47" s="237">
        <f>IFERROR(AN_TME_PY[[#This Row],[Total Claims Excluded because of Truncation]]/AN_TME_PY[[#This Row],[Count of Members with Claims Truncated]], 0)</f>
        <v>0</v>
      </c>
      <c r="AD47" s="238">
        <f>IFERROR(AN_TME_PY[[#This Row],[Total Claims Excluded because of Truncation]]/AN_TME_PY[[#This Row],[TOTAL Non-Truncated Unadjusted Claims Expenses]], 0)</f>
        <v>0</v>
      </c>
    </row>
    <row r="48" spans="1:30" x14ac:dyDescent="0.25">
      <c r="A48" s="101"/>
      <c r="B48" s="104"/>
      <c r="C48" s="267"/>
      <c r="D48" s="105"/>
      <c r="E48" s="110"/>
      <c r="F48" s="110"/>
      <c r="G48" s="110"/>
      <c r="H48" s="110"/>
      <c r="I48" s="110"/>
      <c r="J48" s="110"/>
      <c r="K48" s="110"/>
      <c r="L48" s="110"/>
      <c r="M48" s="110"/>
      <c r="N48" s="110"/>
      <c r="O48" s="110"/>
      <c r="P48" s="110"/>
      <c r="Q48" s="110"/>
      <c r="R48" s="110"/>
      <c r="S48" s="110"/>
      <c r="T48" s="110"/>
      <c r="U48" s="263"/>
      <c r="V48" s="108">
        <f t="shared" si="2"/>
        <v>0</v>
      </c>
      <c r="W48" s="108">
        <f>AN_TME_PY[[#This Row],[TOTAL Non-Truncated Unadjusted Claims Expenses]]-AN_TME_PY[[#This Row],[Total Claims Excluded because of Truncation]]</f>
        <v>0</v>
      </c>
      <c r="X48" s="108">
        <f t="shared" si="3"/>
        <v>0</v>
      </c>
      <c r="Y48" s="108">
        <f>AN_TME_PY[[#This Row],[TOTAL Non-Truncated Unadjusted Claims Expenses]]+AN_TME_PY[[#This Row],[TOTAL Non-Claims Expenses]]</f>
        <v>0</v>
      </c>
      <c r="Z48" s="108">
        <f>AN_TME_PY[[#This Row],[TOTAL Truncated Unadjusted Claims Expenses (A21 -A19)]]+AN_TME_PY[[#This Row],[TOTAL Non-Claims Expenses]]</f>
        <v>0</v>
      </c>
      <c r="AA48" s="235">
        <f>IFERROR(AN_TME_PY[[#This Row],[TOTAL Non-Truncated Unadjusted Expenses (A21 + A23)]]/AN_TME_PY[[#This Row],[Member Months]],0)</f>
        <v>0</v>
      </c>
      <c r="AB48" s="272">
        <f>IFERROR(AN_TME_PY[[#This Row],[TOTAL Truncated Unadjusted Expenses (A22 + A23)]]/AN_TME_PY[[#This Row],[Member Months]],0)</f>
        <v>0</v>
      </c>
      <c r="AC48" s="237">
        <f>IFERROR(AN_TME_PY[[#This Row],[Total Claims Excluded because of Truncation]]/AN_TME_PY[[#This Row],[Count of Members with Claims Truncated]], 0)</f>
        <v>0</v>
      </c>
      <c r="AD48" s="238">
        <f>IFERROR(AN_TME_PY[[#This Row],[Total Claims Excluded because of Truncation]]/AN_TME_PY[[#This Row],[TOTAL Non-Truncated Unadjusted Claims Expenses]], 0)</f>
        <v>0</v>
      </c>
    </row>
    <row r="49" spans="1:30" x14ac:dyDescent="0.25">
      <c r="A49" s="101"/>
      <c r="B49" s="104"/>
      <c r="C49" s="270"/>
      <c r="D49" s="105"/>
      <c r="E49" s="110"/>
      <c r="F49" s="110"/>
      <c r="G49" s="110"/>
      <c r="H49" s="110"/>
      <c r="I49" s="110"/>
      <c r="J49" s="110"/>
      <c r="K49" s="110"/>
      <c r="L49" s="110"/>
      <c r="M49" s="110"/>
      <c r="N49" s="110"/>
      <c r="O49" s="110"/>
      <c r="P49" s="110"/>
      <c r="Q49" s="110"/>
      <c r="R49" s="110"/>
      <c r="S49" s="110"/>
      <c r="T49" s="110"/>
      <c r="U49" s="263"/>
      <c r="V49" s="108">
        <f t="shared" si="2"/>
        <v>0</v>
      </c>
      <c r="W49" s="108">
        <f>AN_TME_PY[[#This Row],[TOTAL Non-Truncated Unadjusted Claims Expenses]]-AN_TME_PY[[#This Row],[Total Claims Excluded because of Truncation]]</f>
        <v>0</v>
      </c>
      <c r="X49" s="108">
        <f t="shared" si="3"/>
        <v>0</v>
      </c>
      <c r="Y49" s="108">
        <f>AN_TME_PY[[#This Row],[TOTAL Non-Truncated Unadjusted Claims Expenses]]+AN_TME_PY[[#This Row],[TOTAL Non-Claims Expenses]]</f>
        <v>0</v>
      </c>
      <c r="Z49" s="108">
        <f>AN_TME_PY[[#This Row],[TOTAL Truncated Unadjusted Claims Expenses (A21 -A19)]]+AN_TME_PY[[#This Row],[TOTAL Non-Claims Expenses]]</f>
        <v>0</v>
      </c>
      <c r="AA49" s="235">
        <f>IFERROR(AN_TME_PY[[#This Row],[TOTAL Non-Truncated Unadjusted Expenses (A21 + A23)]]/AN_TME_PY[[#This Row],[Member Months]],0)</f>
        <v>0</v>
      </c>
      <c r="AB49" s="272">
        <f>IFERROR(AN_TME_PY[[#This Row],[TOTAL Truncated Unadjusted Expenses (A22 + A23)]]/AN_TME_PY[[#This Row],[Member Months]],0)</f>
        <v>0</v>
      </c>
      <c r="AC49" s="237">
        <f>IFERROR(AN_TME_PY[[#This Row],[Total Claims Excluded because of Truncation]]/AN_TME_PY[[#This Row],[Count of Members with Claims Truncated]], 0)</f>
        <v>0</v>
      </c>
      <c r="AD49" s="238">
        <f>IFERROR(AN_TME_PY[[#This Row],[Total Claims Excluded because of Truncation]]/AN_TME_PY[[#This Row],[TOTAL Non-Truncated Unadjusted Claims Expenses]], 0)</f>
        <v>0</v>
      </c>
    </row>
    <row r="50" spans="1:30" x14ac:dyDescent="0.25">
      <c r="A50" s="101"/>
      <c r="B50" s="104"/>
      <c r="C50" s="267"/>
      <c r="D50" s="105"/>
      <c r="E50" s="110"/>
      <c r="F50" s="110"/>
      <c r="G50" s="110"/>
      <c r="H50" s="110"/>
      <c r="I50" s="110"/>
      <c r="J50" s="110"/>
      <c r="K50" s="110"/>
      <c r="L50" s="110"/>
      <c r="M50" s="110"/>
      <c r="N50" s="110"/>
      <c r="O50" s="110"/>
      <c r="P50" s="110"/>
      <c r="Q50" s="110"/>
      <c r="R50" s="110"/>
      <c r="S50" s="110"/>
      <c r="T50" s="110"/>
      <c r="U50" s="263"/>
      <c r="V50" s="108">
        <f t="shared" si="2"/>
        <v>0</v>
      </c>
      <c r="W50" s="108">
        <f>AN_TME_PY[[#This Row],[TOTAL Non-Truncated Unadjusted Claims Expenses]]-AN_TME_PY[[#This Row],[Total Claims Excluded because of Truncation]]</f>
        <v>0</v>
      </c>
      <c r="X50" s="108">
        <f t="shared" si="3"/>
        <v>0</v>
      </c>
      <c r="Y50" s="108">
        <f>AN_TME_PY[[#This Row],[TOTAL Non-Truncated Unadjusted Claims Expenses]]+AN_TME_PY[[#This Row],[TOTAL Non-Claims Expenses]]</f>
        <v>0</v>
      </c>
      <c r="Z50" s="108">
        <f>AN_TME_PY[[#This Row],[TOTAL Truncated Unadjusted Claims Expenses (A21 -A19)]]+AN_TME_PY[[#This Row],[TOTAL Non-Claims Expenses]]</f>
        <v>0</v>
      </c>
      <c r="AA50" s="235">
        <f>IFERROR(AN_TME_PY[[#This Row],[TOTAL Non-Truncated Unadjusted Expenses (A21 + A23)]]/AN_TME_PY[[#This Row],[Member Months]],0)</f>
        <v>0</v>
      </c>
      <c r="AB50" s="272">
        <f>IFERROR(AN_TME_PY[[#This Row],[TOTAL Truncated Unadjusted Expenses (A22 + A23)]]/AN_TME_PY[[#This Row],[Member Months]],0)</f>
        <v>0</v>
      </c>
      <c r="AC50" s="237">
        <f>IFERROR(AN_TME_PY[[#This Row],[Total Claims Excluded because of Truncation]]/AN_TME_PY[[#This Row],[Count of Members with Claims Truncated]], 0)</f>
        <v>0</v>
      </c>
      <c r="AD50" s="238">
        <f>IFERROR(AN_TME_PY[[#This Row],[Total Claims Excluded because of Truncation]]/AN_TME_PY[[#This Row],[TOTAL Non-Truncated Unadjusted Claims Expenses]], 0)</f>
        <v>0</v>
      </c>
    </row>
    <row r="51" spans="1:30" x14ac:dyDescent="0.25">
      <c r="A51" s="101"/>
      <c r="B51" s="104"/>
      <c r="C51" s="270"/>
      <c r="D51" s="105"/>
      <c r="E51" s="110"/>
      <c r="F51" s="110"/>
      <c r="G51" s="110"/>
      <c r="H51" s="110"/>
      <c r="I51" s="110"/>
      <c r="J51" s="110"/>
      <c r="K51" s="110"/>
      <c r="L51" s="110"/>
      <c r="M51" s="110"/>
      <c r="N51" s="110"/>
      <c r="O51" s="110"/>
      <c r="P51" s="110"/>
      <c r="Q51" s="110"/>
      <c r="R51" s="110"/>
      <c r="S51" s="110"/>
      <c r="T51" s="110"/>
      <c r="U51" s="263"/>
      <c r="V51" s="108">
        <f t="shared" si="2"/>
        <v>0</v>
      </c>
      <c r="W51" s="108">
        <f>AN_TME_PY[[#This Row],[TOTAL Non-Truncated Unadjusted Claims Expenses]]-AN_TME_PY[[#This Row],[Total Claims Excluded because of Truncation]]</f>
        <v>0</v>
      </c>
      <c r="X51" s="108">
        <f t="shared" si="3"/>
        <v>0</v>
      </c>
      <c r="Y51" s="108">
        <f>AN_TME_PY[[#This Row],[TOTAL Non-Truncated Unadjusted Claims Expenses]]+AN_TME_PY[[#This Row],[TOTAL Non-Claims Expenses]]</f>
        <v>0</v>
      </c>
      <c r="Z51" s="108">
        <f>AN_TME_PY[[#This Row],[TOTAL Truncated Unadjusted Claims Expenses (A21 -A19)]]+AN_TME_PY[[#This Row],[TOTAL Non-Claims Expenses]]</f>
        <v>0</v>
      </c>
      <c r="AA51" s="235">
        <f>IFERROR(AN_TME_PY[[#This Row],[TOTAL Non-Truncated Unadjusted Expenses (A21 + A23)]]/AN_TME_PY[[#This Row],[Member Months]],0)</f>
        <v>0</v>
      </c>
      <c r="AB51" s="272">
        <f>IFERROR(AN_TME_PY[[#This Row],[TOTAL Truncated Unadjusted Expenses (A22 + A23)]]/AN_TME_PY[[#This Row],[Member Months]],0)</f>
        <v>0</v>
      </c>
      <c r="AC51" s="237">
        <f>IFERROR(AN_TME_PY[[#This Row],[Total Claims Excluded because of Truncation]]/AN_TME_PY[[#This Row],[Count of Members with Claims Truncated]], 0)</f>
        <v>0</v>
      </c>
      <c r="AD51" s="238">
        <f>IFERROR(AN_TME_PY[[#This Row],[Total Claims Excluded because of Truncation]]/AN_TME_PY[[#This Row],[TOTAL Non-Truncated Unadjusted Claims Expenses]], 0)</f>
        <v>0</v>
      </c>
    </row>
    <row r="52" spans="1:30" x14ac:dyDescent="0.25">
      <c r="A52" s="101"/>
      <c r="B52" s="104"/>
      <c r="C52" s="267"/>
      <c r="D52" s="105"/>
      <c r="E52" s="110"/>
      <c r="F52" s="110"/>
      <c r="G52" s="110"/>
      <c r="H52" s="110"/>
      <c r="I52" s="110"/>
      <c r="J52" s="110"/>
      <c r="K52" s="110"/>
      <c r="L52" s="110"/>
      <c r="M52" s="110"/>
      <c r="N52" s="110"/>
      <c r="O52" s="110"/>
      <c r="P52" s="110"/>
      <c r="Q52" s="110"/>
      <c r="R52" s="110"/>
      <c r="S52" s="110"/>
      <c r="T52" s="110"/>
      <c r="U52" s="263"/>
      <c r="V52" s="108">
        <f t="shared" si="2"/>
        <v>0</v>
      </c>
      <c r="W52" s="108">
        <f>AN_TME_PY[[#This Row],[TOTAL Non-Truncated Unadjusted Claims Expenses]]-AN_TME_PY[[#This Row],[Total Claims Excluded because of Truncation]]</f>
        <v>0</v>
      </c>
      <c r="X52" s="108">
        <f t="shared" si="3"/>
        <v>0</v>
      </c>
      <c r="Y52" s="108">
        <f>AN_TME_PY[[#This Row],[TOTAL Non-Truncated Unadjusted Claims Expenses]]+AN_TME_PY[[#This Row],[TOTAL Non-Claims Expenses]]</f>
        <v>0</v>
      </c>
      <c r="Z52" s="108">
        <f>AN_TME_PY[[#This Row],[TOTAL Truncated Unadjusted Claims Expenses (A21 -A19)]]+AN_TME_PY[[#This Row],[TOTAL Non-Claims Expenses]]</f>
        <v>0</v>
      </c>
      <c r="AA52" s="235">
        <f>IFERROR(AN_TME_PY[[#This Row],[TOTAL Non-Truncated Unadjusted Expenses (A21 + A23)]]/AN_TME_PY[[#This Row],[Member Months]],0)</f>
        <v>0</v>
      </c>
      <c r="AB52" s="272">
        <f>IFERROR(AN_TME_PY[[#This Row],[TOTAL Truncated Unadjusted Expenses (A22 + A23)]]/AN_TME_PY[[#This Row],[Member Months]],0)</f>
        <v>0</v>
      </c>
      <c r="AC52" s="237">
        <f>IFERROR(AN_TME_PY[[#This Row],[Total Claims Excluded because of Truncation]]/AN_TME_PY[[#This Row],[Count of Members with Claims Truncated]], 0)</f>
        <v>0</v>
      </c>
      <c r="AD52" s="238">
        <f>IFERROR(AN_TME_PY[[#This Row],[Total Claims Excluded because of Truncation]]/AN_TME_PY[[#This Row],[TOTAL Non-Truncated Unadjusted Claims Expenses]], 0)</f>
        <v>0</v>
      </c>
    </row>
    <row r="53" spans="1:30" x14ac:dyDescent="0.25">
      <c r="A53" s="101"/>
      <c r="B53" s="104"/>
      <c r="C53" s="270"/>
      <c r="D53" s="105"/>
      <c r="E53" s="110"/>
      <c r="F53" s="110"/>
      <c r="G53" s="110"/>
      <c r="H53" s="110"/>
      <c r="I53" s="110"/>
      <c r="J53" s="110"/>
      <c r="K53" s="110"/>
      <c r="L53" s="110"/>
      <c r="M53" s="110"/>
      <c r="N53" s="110"/>
      <c r="O53" s="110"/>
      <c r="P53" s="110"/>
      <c r="Q53" s="110"/>
      <c r="R53" s="110"/>
      <c r="S53" s="110"/>
      <c r="T53" s="110"/>
      <c r="U53" s="263"/>
      <c r="V53" s="108">
        <f t="shared" si="2"/>
        <v>0</v>
      </c>
      <c r="W53" s="108">
        <f>AN_TME_PY[[#This Row],[TOTAL Non-Truncated Unadjusted Claims Expenses]]-AN_TME_PY[[#This Row],[Total Claims Excluded because of Truncation]]</f>
        <v>0</v>
      </c>
      <c r="X53" s="108">
        <f t="shared" si="3"/>
        <v>0</v>
      </c>
      <c r="Y53" s="108">
        <f>AN_TME_PY[[#This Row],[TOTAL Non-Truncated Unadjusted Claims Expenses]]+AN_TME_PY[[#This Row],[TOTAL Non-Claims Expenses]]</f>
        <v>0</v>
      </c>
      <c r="Z53" s="108">
        <f>AN_TME_PY[[#This Row],[TOTAL Truncated Unadjusted Claims Expenses (A21 -A19)]]+AN_TME_PY[[#This Row],[TOTAL Non-Claims Expenses]]</f>
        <v>0</v>
      </c>
      <c r="AA53" s="235">
        <f>IFERROR(AN_TME_PY[[#This Row],[TOTAL Non-Truncated Unadjusted Expenses (A21 + A23)]]/AN_TME_PY[[#This Row],[Member Months]],0)</f>
        <v>0</v>
      </c>
      <c r="AB53" s="272">
        <f>IFERROR(AN_TME_PY[[#This Row],[TOTAL Truncated Unadjusted Expenses (A22 + A23)]]/AN_TME_PY[[#This Row],[Member Months]],0)</f>
        <v>0</v>
      </c>
      <c r="AC53" s="237">
        <f>IFERROR(AN_TME_PY[[#This Row],[Total Claims Excluded because of Truncation]]/AN_TME_PY[[#This Row],[Count of Members with Claims Truncated]], 0)</f>
        <v>0</v>
      </c>
      <c r="AD53" s="238">
        <f>IFERROR(AN_TME_PY[[#This Row],[Total Claims Excluded because of Truncation]]/AN_TME_PY[[#This Row],[TOTAL Non-Truncated Unadjusted Claims Expenses]], 0)</f>
        <v>0</v>
      </c>
    </row>
    <row r="54" spans="1:30" x14ac:dyDescent="0.25">
      <c r="A54" s="101"/>
      <c r="B54" s="104"/>
      <c r="C54" s="267"/>
      <c r="D54" s="105"/>
      <c r="E54" s="110"/>
      <c r="F54" s="110"/>
      <c r="G54" s="110"/>
      <c r="H54" s="110"/>
      <c r="I54" s="110"/>
      <c r="J54" s="110"/>
      <c r="K54" s="110"/>
      <c r="L54" s="110"/>
      <c r="M54" s="110"/>
      <c r="N54" s="110"/>
      <c r="O54" s="110"/>
      <c r="P54" s="110"/>
      <c r="Q54" s="110"/>
      <c r="R54" s="110"/>
      <c r="S54" s="110"/>
      <c r="T54" s="110"/>
      <c r="U54" s="263"/>
      <c r="V54" s="108">
        <f t="shared" si="2"/>
        <v>0</v>
      </c>
      <c r="W54" s="108">
        <f>AN_TME_PY[[#This Row],[TOTAL Non-Truncated Unadjusted Claims Expenses]]-AN_TME_PY[[#This Row],[Total Claims Excluded because of Truncation]]</f>
        <v>0</v>
      </c>
      <c r="X54" s="108">
        <f t="shared" si="3"/>
        <v>0</v>
      </c>
      <c r="Y54" s="108">
        <f>AN_TME_PY[[#This Row],[TOTAL Non-Truncated Unadjusted Claims Expenses]]+AN_TME_PY[[#This Row],[TOTAL Non-Claims Expenses]]</f>
        <v>0</v>
      </c>
      <c r="Z54" s="108">
        <f>AN_TME_PY[[#This Row],[TOTAL Truncated Unadjusted Claims Expenses (A21 -A19)]]+AN_TME_PY[[#This Row],[TOTAL Non-Claims Expenses]]</f>
        <v>0</v>
      </c>
      <c r="AA54" s="235">
        <f>IFERROR(AN_TME_PY[[#This Row],[TOTAL Non-Truncated Unadjusted Expenses (A21 + A23)]]/AN_TME_PY[[#This Row],[Member Months]],0)</f>
        <v>0</v>
      </c>
      <c r="AB54" s="272">
        <f>IFERROR(AN_TME_PY[[#This Row],[TOTAL Truncated Unadjusted Expenses (A22 + A23)]]/AN_TME_PY[[#This Row],[Member Months]],0)</f>
        <v>0</v>
      </c>
      <c r="AC54" s="237">
        <f>IFERROR(AN_TME_PY[[#This Row],[Total Claims Excluded because of Truncation]]/AN_TME_PY[[#This Row],[Count of Members with Claims Truncated]], 0)</f>
        <v>0</v>
      </c>
      <c r="AD54" s="238">
        <f>IFERROR(AN_TME_PY[[#This Row],[Total Claims Excluded because of Truncation]]/AN_TME_PY[[#This Row],[TOTAL Non-Truncated Unadjusted Claims Expenses]], 0)</f>
        <v>0</v>
      </c>
    </row>
    <row r="55" spans="1:30" x14ac:dyDescent="0.25">
      <c r="A55" s="101"/>
      <c r="B55" s="104"/>
      <c r="C55" s="270"/>
      <c r="D55" s="105"/>
      <c r="E55" s="110"/>
      <c r="F55" s="110"/>
      <c r="G55" s="110"/>
      <c r="H55" s="110"/>
      <c r="I55" s="110"/>
      <c r="J55" s="110"/>
      <c r="K55" s="110"/>
      <c r="L55" s="110"/>
      <c r="M55" s="110"/>
      <c r="N55" s="110"/>
      <c r="O55" s="110"/>
      <c r="P55" s="110"/>
      <c r="Q55" s="110"/>
      <c r="R55" s="110"/>
      <c r="S55" s="110"/>
      <c r="T55" s="110"/>
      <c r="U55" s="263"/>
      <c r="V55" s="108">
        <f t="shared" si="2"/>
        <v>0</v>
      </c>
      <c r="W55" s="108">
        <f>AN_TME_PY[[#This Row],[TOTAL Non-Truncated Unadjusted Claims Expenses]]-AN_TME_PY[[#This Row],[Total Claims Excluded because of Truncation]]</f>
        <v>0</v>
      </c>
      <c r="X55" s="108">
        <f t="shared" si="3"/>
        <v>0</v>
      </c>
      <c r="Y55" s="108">
        <f>AN_TME_PY[[#This Row],[TOTAL Non-Truncated Unadjusted Claims Expenses]]+AN_TME_PY[[#This Row],[TOTAL Non-Claims Expenses]]</f>
        <v>0</v>
      </c>
      <c r="Z55" s="108">
        <f>AN_TME_PY[[#This Row],[TOTAL Truncated Unadjusted Claims Expenses (A21 -A19)]]+AN_TME_PY[[#This Row],[TOTAL Non-Claims Expenses]]</f>
        <v>0</v>
      </c>
      <c r="AA55" s="235">
        <f>IFERROR(AN_TME_PY[[#This Row],[TOTAL Non-Truncated Unadjusted Expenses (A21 + A23)]]/AN_TME_PY[[#This Row],[Member Months]],0)</f>
        <v>0</v>
      </c>
      <c r="AB55" s="272">
        <f>IFERROR(AN_TME_PY[[#This Row],[TOTAL Truncated Unadjusted Expenses (A22 + A23)]]/AN_TME_PY[[#This Row],[Member Months]],0)</f>
        <v>0</v>
      </c>
      <c r="AC55" s="237">
        <f>IFERROR(AN_TME_PY[[#This Row],[Total Claims Excluded because of Truncation]]/AN_TME_PY[[#This Row],[Count of Members with Claims Truncated]], 0)</f>
        <v>0</v>
      </c>
      <c r="AD55" s="238">
        <f>IFERROR(AN_TME_PY[[#This Row],[Total Claims Excluded because of Truncation]]/AN_TME_PY[[#This Row],[TOTAL Non-Truncated Unadjusted Claims Expenses]], 0)</f>
        <v>0</v>
      </c>
    </row>
    <row r="56" spans="1:30" x14ac:dyDescent="0.25">
      <c r="A56" s="101"/>
      <c r="B56" s="104"/>
      <c r="C56" s="267"/>
      <c r="D56" s="105"/>
      <c r="E56" s="110"/>
      <c r="F56" s="110"/>
      <c r="G56" s="110"/>
      <c r="H56" s="110"/>
      <c r="I56" s="110"/>
      <c r="J56" s="110"/>
      <c r="K56" s="110"/>
      <c r="L56" s="110"/>
      <c r="M56" s="110"/>
      <c r="N56" s="110"/>
      <c r="O56" s="110"/>
      <c r="P56" s="110"/>
      <c r="Q56" s="110"/>
      <c r="R56" s="110"/>
      <c r="S56" s="110"/>
      <c r="T56" s="110"/>
      <c r="U56" s="263"/>
      <c r="V56" s="108">
        <f t="shared" si="2"/>
        <v>0</v>
      </c>
      <c r="W56" s="108">
        <f>AN_TME_PY[[#This Row],[TOTAL Non-Truncated Unadjusted Claims Expenses]]-AN_TME_PY[[#This Row],[Total Claims Excluded because of Truncation]]</f>
        <v>0</v>
      </c>
      <c r="X56" s="108">
        <f t="shared" si="3"/>
        <v>0</v>
      </c>
      <c r="Y56" s="108">
        <f>AN_TME_PY[[#This Row],[TOTAL Non-Truncated Unadjusted Claims Expenses]]+AN_TME_PY[[#This Row],[TOTAL Non-Claims Expenses]]</f>
        <v>0</v>
      </c>
      <c r="Z56" s="108">
        <f>AN_TME_PY[[#This Row],[TOTAL Truncated Unadjusted Claims Expenses (A21 -A19)]]+AN_TME_PY[[#This Row],[TOTAL Non-Claims Expenses]]</f>
        <v>0</v>
      </c>
      <c r="AA56" s="235">
        <f>IFERROR(AN_TME_PY[[#This Row],[TOTAL Non-Truncated Unadjusted Expenses (A21 + A23)]]/AN_TME_PY[[#This Row],[Member Months]],0)</f>
        <v>0</v>
      </c>
      <c r="AB56" s="272">
        <f>IFERROR(AN_TME_PY[[#This Row],[TOTAL Truncated Unadjusted Expenses (A22 + A23)]]/AN_TME_PY[[#This Row],[Member Months]],0)</f>
        <v>0</v>
      </c>
      <c r="AC56" s="237">
        <f>IFERROR(AN_TME_PY[[#This Row],[Total Claims Excluded because of Truncation]]/AN_TME_PY[[#This Row],[Count of Members with Claims Truncated]], 0)</f>
        <v>0</v>
      </c>
      <c r="AD56" s="238">
        <f>IFERROR(AN_TME_PY[[#This Row],[Total Claims Excluded because of Truncation]]/AN_TME_PY[[#This Row],[TOTAL Non-Truncated Unadjusted Claims Expenses]], 0)</f>
        <v>0</v>
      </c>
    </row>
    <row r="57" spans="1:30" x14ac:dyDescent="0.25">
      <c r="A57" s="101"/>
      <c r="B57" s="104"/>
      <c r="C57" s="270"/>
      <c r="D57" s="105"/>
      <c r="E57" s="110"/>
      <c r="F57" s="110"/>
      <c r="G57" s="110"/>
      <c r="H57" s="110"/>
      <c r="I57" s="110"/>
      <c r="J57" s="110"/>
      <c r="K57" s="110"/>
      <c r="L57" s="110"/>
      <c r="M57" s="110"/>
      <c r="N57" s="110"/>
      <c r="O57" s="110"/>
      <c r="P57" s="110"/>
      <c r="Q57" s="110"/>
      <c r="R57" s="110"/>
      <c r="S57" s="110"/>
      <c r="T57" s="110"/>
      <c r="U57" s="263"/>
      <c r="V57" s="108">
        <f t="shared" si="2"/>
        <v>0</v>
      </c>
      <c r="W57" s="108">
        <f>AN_TME_PY[[#This Row],[TOTAL Non-Truncated Unadjusted Claims Expenses]]-AN_TME_PY[[#This Row],[Total Claims Excluded because of Truncation]]</f>
        <v>0</v>
      </c>
      <c r="X57" s="108">
        <f t="shared" si="3"/>
        <v>0</v>
      </c>
      <c r="Y57" s="108">
        <f>AN_TME_PY[[#This Row],[TOTAL Non-Truncated Unadjusted Claims Expenses]]+AN_TME_PY[[#This Row],[TOTAL Non-Claims Expenses]]</f>
        <v>0</v>
      </c>
      <c r="Z57" s="108">
        <f>AN_TME_PY[[#This Row],[TOTAL Truncated Unadjusted Claims Expenses (A21 -A19)]]+AN_TME_PY[[#This Row],[TOTAL Non-Claims Expenses]]</f>
        <v>0</v>
      </c>
      <c r="AA57" s="235">
        <f>IFERROR(AN_TME_PY[[#This Row],[TOTAL Non-Truncated Unadjusted Expenses (A21 + A23)]]/AN_TME_PY[[#This Row],[Member Months]],0)</f>
        <v>0</v>
      </c>
      <c r="AB57" s="272">
        <f>IFERROR(AN_TME_PY[[#This Row],[TOTAL Truncated Unadjusted Expenses (A22 + A23)]]/AN_TME_PY[[#This Row],[Member Months]],0)</f>
        <v>0</v>
      </c>
      <c r="AC57" s="237">
        <f>IFERROR(AN_TME_PY[[#This Row],[Total Claims Excluded because of Truncation]]/AN_TME_PY[[#This Row],[Count of Members with Claims Truncated]], 0)</f>
        <v>0</v>
      </c>
      <c r="AD57" s="238">
        <f>IFERROR(AN_TME_PY[[#This Row],[Total Claims Excluded because of Truncation]]/AN_TME_PY[[#This Row],[TOTAL Non-Truncated Unadjusted Claims Expenses]], 0)</f>
        <v>0</v>
      </c>
    </row>
    <row r="58" spans="1:30" x14ac:dyDescent="0.25">
      <c r="A58" s="101"/>
      <c r="B58" s="104"/>
      <c r="C58" s="267"/>
      <c r="D58" s="105"/>
      <c r="E58" s="110"/>
      <c r="F58" s="110"/>
      <c r="G58" s="110"/>
      <c r="H58" s="110"/>
      <c r="I58" s="110"/>
      <c r="J58" s="110"/>
      <c r="K58" s="110"/>
      <c r="L58" s="110"/>
      <c r="M58" s="110"/>
      <c r="N58" s="110"/>
      <c r="O58" s="110"/>
      <c r="P58" s="110"/>
      <c r="Q58" s="110"/>
      <c r="R58" s="110"/>
      <c r="S58" s="110"/>
      <c r="T58" s="110"/>
      <c r="U58" s="263"/>
      <c r="V58" s="108">
        <f t="shared" si="2"/>
        <v>0</v>
      </c>
      <c r="W58" s="108">
        <f>AN_TME_PY[[#This Row],[TOTAL Non-Truncated Unadjusted Claims Expenses]]-AN_TME_PY[[#This Row],[Total Claims Excluded because of Truncation]]</f>
        <v>0</v>
      </c>
      <c r="X58" s="108">
        <f t="shared" si="3"/>
        <v>0</v>
      </c>
      <c r="Y58" s="108">
        <f>AN_TME_PY[[#This Row],[TOTAL Non-Truncated Unadjusted Claims Expenses]]+AN_TME_PY[[#This Row],[TOTAL Non-Claims Expenses]]</f>
        <v>0</v>
      </c>
      <c r="Z58" s="108">
        <f>AN_TME_PY[[#This Row],[TOTAL Truncated Unadjusted Claims Expenses (A21 -A19)]]+AN_TME_PY[[#This Row],[TOTAL Non-Claims Expenses]]</f>
        <v>0</v>
      </c>
      <c r="AA58" s="235">
        <f>IFERROR(AN_TME_PY[[#This Row],[TOTAL Non-Truncated Unadjusted Expenses (A21 + A23)]]/AN_TME_PY[[#This Row],[Member Months]],0)</f>
        <v>0</v>
      </c>
      <c r="AB58" s="272">
        <f>IFERROR(AN_TME_PY[[#This Row],[TOTAL Truncated Unadjusted Expenses (A22 + A23)]]/AN_TME_PY[[#This Row],[Member Months]],0)</f>
        <v>0</v>
      </c>
      <c r="AC58" s="237">
        <f>IFERROR(AN_TME_PY[[#This Row],[Total Claims Excluded because of Truncation]]/AN_TME_PY[[#This Row],[Count of Members with Claims Truncated]], 0)</f>
        <v>0</v>
      </c>
      <c r="AD58" s="238">
        <f>IFERROR(AN_TME_PY[[#This Row],[Total Claims Excluded because of Truncation]]/AN_TME_PY[[#This Row],[TOTAL Non-Truncated Unadjusted Claims Expenses]], 0)</f>
        <v>0</v>
      </c>
    </row>
    <row r="59" spans="1:30" x14ac:dyDescent="0.25">
      <c r="A59" s="101"/>
      <c r="B59" s="104"/>
      <c r="C59" s="270"/>
      <c r="D59" s="105"/>
      <c r="E59" s="110"/>
      <c r="F59" s="110"/>
      <c r="G59" s="110"/>
      <c r="H59" s="110"/>
      <c r="I59" s="110"/>
      <c r="J59" s="110"/>
      <c r="K59" s="110"/>
      <c r="L59" s="110"/>
      <c r="M59" s="110"/>
      <c r="N59" s="110"/>
      <c r="O59" s="110"/>
      <c r="P59" s="110"/>
      <c r="Q59" s="110"/>
      <c r="R59" s="110"/>
      <c r="S59" s="110"/>
      <c r="T59" s="110"/>
      <c r="U59" s="263"/>
      <c r="V59" s="108">
        <f t="shared" si="2"/>
        <v>0</v>
      </c>
      <c r="W59" s="108">
        <f>AN_TME_PY[[#This Row],[TOTAL Non-Truncated Unadjusted Claims Expenses]]-AN_TME_PY[[#This Row],[Total Claims Excluded because of Truncation]]</f>
        <v>0</v>
      </c>
      <c r="X59" s="108">
        <f t="shared" si="3"/>
        <v>0</v>
      </c>
      <c r="Y59" s="108">
        <f>AN_TME_PY[[#This Row],[TOTAL Non-Truncated Unadjusted Claims Expenses]]+AN_TME_PY[[#This Row],[TOTAL Non-Claims Expenses]]</f>
        <v>0</v>
      </c>
      <c r="Z59" s="108">
        <f>AN_TME_PY[[#This Row],[TOTAL Truncated Unadjusted Claims Expenses (A21 -A19)]]+AN_TME_PY[[#This Row],[TOTAL Non-Claims Expenses]]</f>
        <v>0</v>
      </c>
      <c r="AA59" s="235">
        <f>IFERROR(AN_TME_PY[[#This Row],[TOTAL Non-Truncated Unadjusted Expenses (A21 + A23)]]/AN_TME_PY[[#This Row],[Member Months]],0)</f>
        <v>0</v>
      </c>
      <c r="AB59" s="272">
        <f>IFERROR(AN_TME_PY[[#This Row],[TOTAL Truncated Unadjusted Expenses (A22 + A23)]]/AN_TME_PY[[#This Row],[Member Months]],0)</f>
        <v>0</v>
      </c>
      <c r="AC59" s="237">
        <f>IFERROR(AN_TME_PY[[#This Row],[Total Claims Excluded because of Truncation]]/AN_TME_PY[[#This Row],[Count of Members with Claims Truncated]], 0)</f>
        <v>0</v>
      </c>
      <c r="AD59" s="238">
        <f>IFERROR(AN_TME_PY[[#This Row],[Total Claims Excluded because of Truncation]]/AN_TME_PY[[#This Row],[TOTAL Non-Truncated Unadjusted Claims Expenses]], 0)</f>
        <v>0</v>
      </c>
    </row>
    <row r="60" spans="1:30" x14ac:dyDescent="0.25">
      <c r="A60" s="101"/>
      <c r="B60" s="104"/>
      <c r="C60" s="267"/>
      <c r="D60" s="105"/>
      <c r="E60" s="110"/>
      <c r="F60" s="110"/>
      <c r="G60" s="110"/>
      <c r="H60" s="110"/>
      <c r="I60" s="110"/>
      <c r="J60" s="110"/>
      <c r="K60" s="110"/>
      <c r="L60" s="110"/>
      <c r="M60" s="110"/>
      <c r="N60" s="110"/>
      <c r="O60" s="110"/>
      <c r="P60" s="110"/>
      <c r="Q60" s="110"/>
      <c r="R60" s="110"/>
      <c r="S60" s="110"/>
      <c r="T60" s="110"/>
      <c r="U60" s="263"/>
      <c r="V60" s="108">
        <f t="shared" si="2"/>
        <v>0</v>
      </c>
      <c r="W60" s="108">
        <f>AN_TME_PY[[#This Row],[TOTAL Non-Truncated Unadjusted Claims Expenses]]-AN_TME_PY[[#This Row],[Total Claims Excluded because of Truncation]]</f>
        <v>0</v>
      </c>
      <c r="X60" s="108">
        <f t="shared" si="3"/>
        <v>0</v>
      </c>
      <c r="Y60" s="108">
        <f>AN_TME_PY[[#This Row],[TOTAL Non-Truncated Unadjusted Claims Expenses]]+AN_TME_PY[[#This Row],[TOTAL Non-Claims Expenses]]</f>
        <v>0</v>
      </c>
      <c r="Z60" s="108">
        <f>AN_TME_PY[[#This Row],[TOTAL Truncated Unadjusted Claims Expenses (A21 -A19)]]+AN_TME_PY[[#This Row],[TOTAL Non-Claims Expenses]]</f>
        <v>0</v>
      </c>
      <c r="AA60" s="235">
        <f>IFERROR(AN_TME_PY[[#This Row],[TOTAL Non-Truncated Unadjusted Expenses (A21 + A23)]]/AN_TME_PY[[#This Row],[Member Months]],0)</f>
        <v>0</v>
      </c>
      <c r="AB60" s="272">
        <f>IFERROR(AN_TME_PY[[#This Row],[TOTAL Truncated Unadjusted Expenses (A22 + A23)]]/AN_TME_PY[[#This Row],[Member Months]],0)</f>
        <v>0</v>
      </c>
      <c r="AC60" s="237">
        <f>IFERROR(AN_TME_PY[[#This Row],[Total Claims Excluded because of Truncation]]/AN_TME_PY[[#This Row],[Count of Members with Claims Truncated]], 0)</f>
        <v>0</v>
      </c>
      <c r="AD60" s="238">
        <f>IFERROR(AN_TME_PY[[#This Row],[Total Claims Excluded because of Truncation]]/AN_TME_PY[[#This Row],[TOTAL Non-Truncated Unadjusted Claims Expenses]], 0)</f>
        <v>0</v>
      </c>
    </row>
    <row r="61" spans="1:30" x14ac:dyDescent="0.25">
      <c r="A61" s="101"/>
      <c r="B61" s="104"/>
      <c r="C61" s="270"/>
      <c r="D61" s="105"/>
      <c r="E61" s="110"/>
      <c r="F61" s="110"/>
      <c r="G61" s="110"/>
      <c r="H61" s="110"/>
      <c r="I61" s="110"/>
      <c r="J61" s="110"/>
      <c r="K61" s="110"/>
      <c r="L61" s="110"/>
      <c r="M61" s="110"/>
      <c r="N61" s="110"/>
      <c r="O61" s="110"/>
      <c r="P61" s="110"/>
      <c r="Q61" s="110"/>
      <c r="R61" s="110"/>
      <c r="S61" s="110"/>
      <c r="T61" s="110"/>
      <c r="U61" s="263"/>
      <c r="V61" s="108">
        <f t="shared" si="2"/>
        <v>0</v>
      </c>
      <c r="W61" s="108">
        <f>AN_TME_PY[[#This Row],[TOTAL Non-Truncated Unadjusted Claims Expenses]]-AN_TME_PY[[#This Row],[Total Claims Excluded because of Truncation]]</f>
        <v>0</v>
      </c>
      <c r="X61" s="108">
        <f t="shared" si="3"/>
        <v>0</v>
      </c>
      <c r="Y61" s="108">
        <f>AN_TME_PY[[#This Row],[TOTAL Non-Truncated Unadjusted Claims Expenses]]+AN_TME_PY[[#This Row],[TOTAL Non-Claims Expenses]]</f>
        <v>0</v>
      </c>
      <c r="Z61" s="108">
        <f>AN_TME_PY[[#This Row],[TOTAL Truncated Unadjusted Claims Expenses (A21 -A19)]]+AN_TME_PY[[#This Row],[TOTAL Non-Claims Expenses]]</f>
        <v>0</v>
      </c>
      <c r="AA61" s="235">
        <f>IFERROR(AN_TME_PY[[#This Row],[TOTAL Non-Truncated Unadjusted Expenses (A21 + A23)]]/AN_TME_PY[[#This Row],[Member Months]],0)</f>
        <v>0</v>
      </c>
      <c r="AB61" s="272">
        <f>IFERROR(AN_TME_PY[[#This Row],[TOTAL Truncated Unadjusted Expenses (A22 + A23)]]/AN_TME_PY[[#This Row],[Member Months]],0)</f>
        <v>0</v>
      </c>
      <c r="AC61" s="237">
        <f>IFERROR(AN_TME_PY[[#This Row],[Total Claims Excluded because of Truncation]]/AN_TME_PY[[#This Row],[Count of Members with Claims Truncated]], 0)</f>
        <v>0</v>
      </c>
      <c r="AD61" s="238">
        <f>IFERROR(AN_TME_PY[[#This Row],[Total Claims Excluded because of Truncation]]/AN_TME_PY[[#This Row],[TOTAL Non-Truncated Unadjusted Claims Expenses]], 0)</f>
        <v>0</v>
      </c>
    </row>
    <row r="62" spans="1:30" x14ac:dyDescent="0.25">
      <c r="A62" s="101"/>
      <c r="B62" s="104"/>
      <c r="C62" s="267"/>
      <c r="D62" s="105"/>
      <c r="E62" s="110"/>
      <c r="F62" s="110"/>
      <c r="G62" s="110"/>
      <c r="H62" s="110"/>
      <c r="I62" s="110"/>
      <c r="J62" s="110"/>
      <c r="K62" s="110"/>
      <c r="L62" s="110"/>
      <c r="M62" s="110"/>
      <c r="N62" s="110"/>
      <c r="O62" s="110"/>
      <c r="P62" s="110"/>
      <c r="Q62" s="110"/>
      <c r="R62" s="110"/>
      <c r="S62" s="110"/>
      <c r="T62" s="110"/>
      <c r="U62" s="263"/>
      <c r="V62" s="108">
        <f t="shared" si="2"/>
        <v>0</v>
      </c>
      <c r="W62" s="108">
        <f>AN_TME_PY[[#This Row],[TOTAL Non-Truncated Unadjusted Claims Expenses]]-AN_TME_PY[[#This Row],[Total Claims Excluded because of Truncation]]</f>
        <v>0</v>
      </c>
      <c r="X62" s="108">
        <f t="shared" si="3"/>
        <v>0</v>
      </c>
      <c r="Y62" s="108">
        <f>AN_TME_PY[[#This Row],[TOTAL Non-Truncated Unadjusted Claims Expenses]]+AN_TME_PY[[#This Row],[TOTAL Non-Claims Expenses]]</f>
        <v>0</v>
      </c>
      <c r="Z62" s="108">
        <f>AN_TME_PY[[#This Row],[TOTAL Truncated Unadjusted Claims Expenses (A21 -A19)]]+AN_TME_PY[[#This Row],[TOTAL Non-Claims Expenses]]</f>
        <v>0</v>
      </c>
      <c r="AA62" s="235">
        <f>IFERROR(AN_TME_PY[[#This Row],[TOTAL Non-Truncated Unadjusted Expenses (A21 + A23)]]/AN_TME_PY[[#This Row],[Member Months]],0)</f>
        <v>0</v>
      </c>
      <c r="AB62" s="272">
        <f>IFERROR(AN_TME_PY[[#This Row],[TOTAL Truncated Unadjusted Expenses (A22 + A23)]]/AN_TME_PY[[#This Row],[Member Months]],0)</f>
        <v>0</v>
      </c>
      <c r="AC62" s="237">
        <f>IFERROR(AN_TME_PY[[#This Row],[Total Claims Excluded because of Truncation]]/AN_TME_PY[[#This Row],[Count of Members with Claims Truncated]], 0)</f>
        <v>0</v>
      </c>
      <c r="AD62" s="238">
        <f>IFERROR(AN_TME_PY[[#This Row],[Total Claims Excluded because of Truncation]]/AN_TME_PY[[#This Row],[TOTAL Non-Truncated Unadjusted Claims Expenses]], 0)</f>
        <v>0</v>
      </c>
    </row>
    <row r="63" spans="1:30" x14ac:dyDescent="0.25">
      <c r="A63" s="101"/>
      <c r="B63" s="104"/>
      <c r="C63" s="270"/>
      <c r="D63" s="105"/>
      <c r="E63" s="110"/>
      <c r="F63" s="110"/>
      <c r="G63" s="110"/>
      <c r="H63" s="110"/>
      <c r="I63" s="110"/>
      <c r="J63" s="110"/>
      <c r="K63" s="110"/>
      <c r="L63" s="110"/>
      <c r="M63" s="110"/>
      <c r="N63" s="110"/>
      <c r="O63" s="110"/>
      <c r="P63" s="110"/>
      <c r="Q63" s="110"/>
      <c r="R63" s="110"/>
      <c r="S63" s="110"/>
      <c r="T63" s="110"/>
      <c r="U63" s="263"/>
      <c r="V63" s="108">
        <f t="shared" si="2"/>
        <v>0</v>
      </c>
      <c r="W63" s="108">
        <f>AN_TME_PY[[#This Row],[TOTAL Non-Truncated Unadjusted Claims Expenses]]-AN_TME_PY[[#This Row],[Total Claims Excluded because of Truncation]]</f>
        <v>0</v>
      </c>
      <c r="X63" s="108">
        <f t="shared" si="3"/>
        <v>0</v>
      </c>
      <c r="Y63" s="108">
        <f>AN_TME_PY[[#This Row],[TOTAL Non-Truncated Unadjusted Claims Expenses]]+AN_TME_PY[[#This Row],[TOTAL Non-Claims Expenses]]</f>
        <v>0</v>
      </c>
      <c r="Z63" s="108">
        <f>AN_TME_PY[[#This Row],[TOTAL Truncated Unadjusted Claims Expenses (A21 -A19)]]+AN_TME_PY[[#This Row],[TOTAL Non-Claims Expenses]]</f>
        <v>0</v>
      </c>
      <c r="AA63" s="235">
        <f>IFERROR(AN_TME_PY[[#This Row],[TOTAL Non-Truncated Unadjusted Expenses (A21 + A23)]]/AN_TME_PY[[#This Row],[Member Months]],0)</f>
        <v>0</v>
      </c>
      <c r="AB63" s="272">
        <f>IFERROR(AN_TME_PY[[#This Row],[TOTAL Truncated Unadjusted Expenses (A22 + A23)]]/AN_TME_PY[[#This Row],[Member Months]],0)</f>
        <v>0</v>
      </c>
      <c r="AC63" s="237">
        <f>IFERROR(AN_TME_PY[[#This Row],[Total Claims Excluded because of Truncation]]/AN_TME_PY[[#This Row],[Count of Members with Claims Truncated]], 0)</f>
        <v>0</v>
      </c>
      <c r="AD63" s="238">
        <f>IFERROR(AN_TME_PY[[#This Row],[Total Claims Excluded because of Truncation]]/AN_TME_PY[[#This Row],[TOTAL Non-Truncated Unadjusted Claims Expenses]], 0)</f>
        <v>0</v>
      </c>
    </row>
    <row r="64" spans="1:30" x14ac:dyDescent="0.25">
      <c r="A64" s="101"/>
      <c r="B64" s="104"/>
      <c r="C64" s="267"/>
      <c r="D64" s="105"/>
      <c r="E64" s="110"/>
      <c r="F64" s="110"/>
      <c r="G64" s="110"/>
      <c r="H64" s="110"/>
      <c r="I64" s="110"/>
      <c r="J64" s="110"/>
      <c r="K64" s="110"/>
      <c r="L64" s="110"/>
      <c r="M64" s="110"/>
      <c r="N64" s="110"/>
      <c r="O64" s="110"/>
      <c r="P64" s="110"/>
      <c r="Q64" s="110"/>
      <c r="R64" s="110"/>
      <c r="S64" s="110"/>
      <c r="T64" s="110"/>
      <c r="U64" s="263"/>
      <c r="V64" s="108">
        <f t="shared" si="2"/>
        <v>0</v>
      </c>
      <c r="W64" s="108">
        <f>AN_TME_PY[[#This Row],[TOTAL Non-Truncated Unadjusted Claims Expenses]]-AN_TME_PY[[#This Row],[Total Claims Excluded because of Truncation]]</f>
        <v>0</v>
      </c>
      <c r="X64" s="108">
        <f t="shared" si="3"/>
        <v>0</v>
      </c>
      <c r="Y64" s="108">
        <f>AN_TME_PY[[#This Row],[TOTAL Non-Truncated Unadjusted Claims Expenses]]+AN_TME_PY[[#This Row],[TOTAL Non-Claims Expenses]]</f>
        <v>0</v>
      </c>
      <c r="Z64" s="108">
        <f>AN_TME_PY[[#This Row],[TOTAL Truncated Unadjusted Claims Expenses (A21 -A19)]]+AN_TME_PY[[#This Row],[TOTAL Non-Claims Expenses]]</f>
        <v>0</v>
      </c>
      <c r="AA64" s="235">
        <f>IFERROR(AN_TME_PY[[#This Row],[TOTAL Non-Truncated Unadjusted Expenses (A21 + A23)]]/AN_TME_PY[[#This Row],[Member Months]],0)</f>
        <v>0</v>
      </c>
      <c r="AB64" s="272">
        <f>IFERROR(AN_TME_PY[[#This Row],[TOTAL Truncated Unadjusted Expenses (A22 + A23)]]/AN_TME_PY[[#This Row],[Member Months]],0)</f>
        <v>0</v>
      </c>
      <c r="AC64" s="237">
        <f>IFERROR(AN_TME_PY[[#This Row],[Total Claims Excluded because of Truncation]]/AN_TME_PY[[#This Row],[Count of Members with Claims Truncated]], 0)</f>
        <v>0</v>
      </c>
      <c r="AD64" s="238">
        <f>IFERROR(AN_TME_PY[[#This Row],[Total Claims Excluded because of Truncation]]/AN_TME_PY[[#This Row],[TOTAL Non-Truncated Unadjusted Claims Expenses]], 0)</f>
        <v>0</v>
      </c>
    </row>
    <row r="65" spans="1:30" x14ac:dyDescent="0.25">
      <c r="A65" s="101"/>
      <c r="B65" s="104"/>
      <c r="C65" s="270"/>
      <c r="D65" s="105"/>
      <c r="E65" s="110"/>
      <c r="F65" s="110"/>
      <c r="G65" s="110"/>
      <c r="H65" s="110"/>
      <c r="I65" s="110"/>
      <c r="J65" s="110"/>
      <c r="K65" s="110"/>
      <c r="L65" s="110"/>
      <c r="M65" s="110"/>
      <c r="N65" s="110"/>
      <c r="O65" s="110"/>
      <c r="P65" s="110"/>
      <c r="Q65" s="110"/>
      <c r="R65" s="110"/>
      <c r="S65" s="110"/>
      <c r="T65" s="110"/>
      <c r="U65" s="263"/>
      <c r="V65" s="108">
        <f t="shared" si="2"/>
        <v>0</v>
      </c>
      <c r="W65" s="108">
        <f>AN_TME_PY[[#This Row],[TOTAL Non-Truncated Unadjusted Claims Expenses]]-AN_TME_PY[[#This Row],[Total Claims Excluded because of Truncation]]</f>
        <v>0</v>
      </c>
      <c r="X65" s="108">
        <f t="shared" si="3"/>
        <v>0</v>
      </c>
      <c r="Y65" s="108">
        <f>AN_TME_PY[[#This Row],[TOTAL Non-Truncated Unadjusted Claims Expenses]]+AN_TME_PY[[#This Row],[TOTAL Non-Claims Expenses]]</f>
        <v>0</v>
      </c>
      <c r="Z65" s="108">
        <f>AN_TME_PY[[#This Row],[TOTAL Truncated Unadjusted Claims Expenses (A21 -A19)]]+AN_TME_PY[[#This Row],[TOTAL Non-Claims Expenses]]</f>
        <v>0</v>
      </c>
      <c r="AA65" s="235">
        <f>IFERROR(AN_TME_PY[[#This Row],[TOTAL Non-Truncated Unadjusted Expenses (A21 + A23)]]/AN_TME_PY[[#This Row],[Member Months]],0)</f>
        <v>0</v>
      </c>
      <c r="AB65" s="272">
        <f>IFERROR(AN_TME_PY[[#This Row],[TOTAL Truncated Unadjusted Expenses (A22 + A23)]]/AN_TME_PY[[#This Row],[Member Months]],0)</f>
        <v>0</v>
      </c>
      <c r="AC65" s="237">
        <f>IFERROR(AN_TME_PY[[#This Row],[Total Claims Excluded because of Truncation]]/AN_TME_PY[[#This Row],[Count of Members with Claims Truncated]], 0)</f>
        <v>0</v>
      </c>
      <c r="AD65" s="238">
        <f>IFERROR(AN_TME_PY[[#This Row],[Total Claims Excluded because of Truncation]]/AN_TME_PY[[#This Row],[TOTAL Non-Truncated Unadjusted Claims Expenses]], 0)</f>
        <v>0</v>
      </c>
    </row>
    <row r="66" spans="1:30" x14ac:dyDescent="0.25">
      <c r="A66" s="101"/>
      <c r="B66" s="104"/>
      <c r="C66" s="267"/>
      <c r="D66" s="105"/>
      <c r="E66" s="110"/>
      <c r="F66" s="110"/>
      <c r="G66" s="110"/>
      <c r="H66" s="110"/>
      <c r="I66" s="110"/>
      <c r="J66" s="110"/>
      <c r="K66" s="110"/>
      <c r="L66" s="110"/>
      <c r="M66" s="110"/>
      <c r="N66" s="110"/>
      <c r="O66" s="110"/>
      <c r="P66" s="110"/>
      <c r="Q66" s="110"/>
      <c r="R66" s="110"/>
      <c r="S66" s="110"/>
      <c r="T66" s="110"/>
      <c r="U66" s="263"/>
      <c r="V66" s="108">
        <f t="shared" si="2"/>
        <v>0</v>
      </c>
      <c r="W66" s="108">
        <f>AN_TME_PY[[#This Row],[TOTAL Non-Truncated Unadjusted Claims Expenses]]-AN_TME_PY[[#This Row],[Total Claims Excluded because of Truncation]]</f>
        <v>0</v>
      </c>
      <c r="X66" s="108">
        <f t="shared" si="3"/>
        <v>0</v>
      </c>
      <c r="Y66" s="108">
        <f>AN_TME_PY[[#This Row],[TOTAL Non-Truncated Unadjusted Claims Expenses]]+AN_TME_PY[[#This Row],[TOTAL Non-Claims Expenses]]</f>
        <v>0</v>
      </c>
      <c r="Z66" s="108">
        <f>AN_TME_PY[[#This Row],[TOTAL Truncated Unadjusted Claims Expenses (A21 -A19)]]+AN_TME_PY[[#This Row],[TOTAL Non-Claims Expenses]]</f>
        <v>0</v>
      </c>
      <c r="AA66" s="235">
        <f>IFERROR(AN_TME_PY[[#This Row],[TOTAL Non-Truncated Unadjusted Expenses (A21 + A23)]]/AN_TME_PY[[#This Row],[Member Months]],0)</f>
        <v>0</v>
      </c>
      <c r="AB66" s="272">
        <f>IFERROR(AN_TME_PY[[#This Row],[TOTAL Truncated Unadjusted Expenses (A22 + A23)]]/AN_TME_PY[[#This Row],[Member Months]],0)</f>
        <v>0</v>
      </c>
      <c r="AC66" s="237">
        <f>IFERROR(AN_TME_PY[[#This Row],[Total Claims Excluded because of Truncation]]/AN_TME_PY[[#This Row],[Count of Members with Claims Truncated]], 0)</f>
        <v>0</v>
      </c>
      <c r="AD66" s="238">
        <f>IFERROR(AN_TME_PY[[#This Row],[Total Claims Excluded because of Truncation]]/AN_TME_PY[[#This Row],[TOTAL Non-Truncated Unadjusted Claims Expenses]], 0)</f>
        <v>0</v>
      </c>
    </row>
    <row r="67" spans="1:30" x14ac:dyDescent="0.25">
      <c r="A67" s="101"/>
      <c r="B67" s="104"/>
      <c r="C67" s="270"/>
      <c r="D67" s="105"/>
      <c r="E67" s="110"/>
      <c r="F67" s="110"/>
      <c r="G67" s="110"/>
      <c r="H67" s="110"/>
      <c r="I67" s="110"/>
      <c r="J67" s="110"/>
      <c r="K67" s="110"/>
      <c r="L67" s="110"/>
      <c r="M67" s="110"/>
      <c r="N67" s="110"/>
      <c r="O67" s="110"/>
      <c r="P67" s="110"/>
      <c r="Q67" s="110"/>
      <c r="R67" s="110"/>
      <c r="S67" s="110"/>
      <c r="T67" s="110"/>
      <c r="U67" s="263"/>
      <c r="V67" s="108">
        <f t="shared" si="2"/>
        <v>0</v>
      </c>
      <c r="W67" s="108">
        <f>AN_TME_PY[[#This Row],[TOTAL Non-Truncated Unadjusted Claims Expenses]]-AN_TME_PY[[#This Row],[Total Claims Excluded because of Truncation]]</f>
        <v>0</v>
      </c>
      <c r="X67" s="108">
        <f t="shared" si="3"/>
        <v>0</v>
      </c>
      <c r="Y67" s="108">
        <f>AN_TME_PY[[#This Row],[TOTAL Non-Truncated Unadjusted Claims Expenses]]+AN_TME_PY[[#This Row],[TOTAL Non-Claims Expenses]]</f>
        <v>0</v>
      </c>
      <c r="Z67" s="108">
        <f>AN_TME_PY[[#This Row],[TOTAL Truncated Unadjusted Claims Expenses (A21 -A19)]]+AN_TME_PY[[#This Row],[TOTAL Non-Claims Expenses]]</f>
        <v>0</v>
      </c>
      <c r="AA67" s="235">
        <f>IFERROR(AN_TME_PY[[#This Row],[TOTAL Non-Truncated Unadjusted Expenses (A21 + A23)]]/AN_TME_PY[[#This Row],[Member Months]],0)</f>
        <v>0</v>
      </c>
      <c r="AB67" s="272">
        <f>IFERROR(AN_TME_PY[[#This Row],[TOTAL Truncated Unadjusted Expenses (A22 + A23)]]/AN_TME_PY[[#This Row],[Member Months]],0)</f>
        <v>0</v>
      </c>
      <c r="AC67" s="237">
        <f>IFERROR(AN_TME_PY[[#This Row],[Total Claims Excluded because of Truncation]]/AN_TME_PY[[#This Row],[Count of Members with Claims Truncated]], 0)</f>
        <v>0</v>
      </c>
      <c r="AD67" s="238">
        <f>IFERROR(AN_TME_PY[[#This Row],[Total Claims Excluded because of Truncation]]/AN_TME_PY[[#This Row],[TOTAL Non-Truncated Unadjusted Claims Expenses]], 0)</f>
        <v>0</v>
      </c>
    </row>
    <row r="68" spans="1:30" x14ac:dyDescent="0.25">
      <c r="A68" s="101"/>
      <c r="B68" s="104"/>
      <c r="C68" s="267"/>
      <c r="D68" s="105"/>
      <c r="E68" s="110"/>
      <c r="F68" s="110"/>
      <c r="G68" s="110"/>
      <c r="H68" s="110"/>
      <c r="I68" s="110"/>
      <c r="J68" s="110"/>
      <c r="K68" s="110"/>
      <c r="L68" s="110"/>
      <c r="M68" s="110"/>
      <c r="N68" s="110"/>
      <c r="O68" s="110"/>
      <c r="P68" s="110"/>
      <c r="Q68" s="110"/>
      <c r="R68" s="110"/>
      <c r="S68" s="110"/>
      <c r="T68" s="110"/>
      <c r="U68" s="263"/>
      <c r="V68" s="108">
        <f t="shared" si="2"/>
        <v>0</v>
      </c>
      <c r="W68" s="108">
        <f>AN_TME_PY[[#This Row],[TOTAL Non-Truncated Unadjusted Claims Expenses]]-AN_TME_PY[[#This Row],[Total Claims Excluded because of Truncation]]</f>
        <v>0</v>
      </c>
      <c r="X68" s="108">
        <f t="shared" si="3"/>
        <v>0</v>
      </c>
      <c r="Y68" s="108">
        <f>AN_TME_PY[[#This Row],[TOTAL Non-Truncated Unadjusted Claims Expenses]]+AN_TME_PY[[#This Row],[TOTAL Non-Claims Expenses]]</f>
        <v>0</v>
      </c>
      <c r="Z68" s="108">
        <f>AN_TME_PY[[#This Row],[TOTAL Truncated Unadjusted Claims Expenses (A21 -A19)]]+AN_TME_PY[[#This Row],[TOTAL Non-Claims Expenses]]</f>
        <v>0</v>
      </c>
      <c r="AA68" s="235">
        <f>IFERROR(AN_TME_PY[[#This Row],[TOTAL Non-Truncated Unadjusted Expenses (A21 + A23)]]/AN_TME_PY[[#This Row],[Member Months]],0)</f>
        <v>0</v>
      </c>
      <c r="AB68" s="272">
        <f>IFERROR(AN_TME_PY[[#This Row],[TOTAL Truncated Unadjusted Expenses (A22 + A23)]]/AN_TME_PY[[#This Row],[Member Months]],0)</f>
        <v>0</v>
      </c>
      <c r="AC68" s="237">
        <f>IFERROR(AN_TME_PY[[#This Row],[Total Claims Excluded because of Truncation]]/AN_TME_PY[[#This Row],[Count of Members with Claims Truncated]], 0)</f>
        <v>0</v>
      </c>
      <c r="AD68" s="238">
        <f>IFERROR(AN_TME_PY[[#This Row],[Total Claims Excluded because of Truncation]]/AN_TME_PY[[#This Row],[TOTAL Non-Truncated Unadjusted Claims Expenses]], 0)</f>
        <v>0</v>
      </c>
    </row>
    <row r="69" spans="1:30" x14ac:dyDescent="0.25">
      <c r="A69" s="101"/>
      <c r="B69" s="104"/>
      <c r="C69" s="270"/>
      <c r="D69" s="105"/>
      <c r="E69" s="110"/>
      <c r="F69" s="110"/>
      <c r="G69" s="110"/>
      <c r="H69" s="110"/>
      <c r="I69" s="110"/>
      <c r="J69" s="110"/>
      <c r="K69" s="110"/>
      <c r="L69" s="110"/>
      <c r="M69" s="110"/>
      <c r="N69" s="110"/>
      <c r="O69" s="110"/>
      <c r="P69" s="110"/>
      <c r="Q69" s="110"/>
      <c r="R69" s="110"/>
      <c r="S69" s="110"/>
      <c r="T69" s="110"/>
      <c r="U69" s="263"/>
      <c r="V69" s="108">
        <f t="shared" si="2"/>
        <v>0</v>
      </c>
      <c r="W69" s="108">
        <f>AN_TME_PY[[#This Row],[TOTAL Non-Truncated Unadjusted Claims Expenses]]-AN_TME_PY[[#This Row],[Total Claims Excluded because of Truncation]]</f>
        <v>0</v>
      </c>
      <c r="X69" s="108">
        <f t="shared" si="3"/>
        <v>0</v>
      </c>
      <c r="Y69" s="108">
        <f>AN_TME_PY[[#This Row],[TOTAL Non-Truncated Unadjusted Claims Expenses]]+AN_TME_PY[[#This Row],[TOTAL Non-Claims Expenses]]</f>
        <v>0</v>
      </c>
      <c r="Z69" s="108">
        <f>AN_TME_PY[[#This Row],[TOTAL Truncated Unadjusted Claims Expenses (A21 -A19)]]+AN_TME_PY[[#This Row],[TOTAL Non-Claims Expenses]]</f>
        <v>0</v>
      </c>
      <c r="AA69" s="235">
        <f>IFERROR(AN_TME_PY[[#This Row],[TOTAL Non-Truncated Unadjusted Expenses (A21 + A23)]]/AN_TME_PY[[#This Row],[Member Months]],0)</f>
        <v>0</v>
      </c>
      <c r="AB69" s="272">
        <f>IFERROR(AN_TME_PY[[#This Row],[TOTAL Truncated Unadjusted Expenses (A22 + A23)]]/AN_TME_PY[[#This Row],[Member Months]],0)</f>
        <v>0</v>
      </c>
      <c r="AC69" s="237">
        <f>IFERROR(AN_TME_PY[[#This Row],[Total Claims Excluded because of Truncation]]/AN_TME_PY[[#This Row],[Count of Members with Claims Truncated]], 0)</f>
        <v>0</v>
      </c>
      <c r="AD69" s="238">
        <f>IFERROR(AN_TME_PY[[#This Row],[Total Claims Excluded because of Truncation]]/AN_TME_PY[[#This Row],[TOTAL Non-Truncated Unadjusted Claims Expenses]], 0)</f>
        <v>0</v>
      </c>
    </row>
    <row r="70" spans="1:30" x14ac:dyDescent="0.25">
      <c r="A70" s="101"/>
      <c r="B70" s="104"/>
      <c r="C70" s="267"/>
      <c r="D70" s="105"/>
      <c r="E70" s="110"/>
      <c r="F70" s="110"/>
      <c r="G70" s="110"/>
      <c r="H70" s="110"/>
      <c r="I70" s="110"/>
      <c r="J70" s="110"/>
      <c r="K70" s="110"/>
      <c r="L70" s="110"/>
      <c r="M70" s="110"/>
      <c r="N70" s="110"/>
      <c r="O70" s="110"/>
      <c r="P70" s="110"/>
      <c r="Q70" s="110"/>
      <c r="R70" s="110"/>
      <c r="S70" s="110"/>
      <c r="T70" s="110"/>
      <c r="U70" s="263"/>
      <c r="V70" s="108">
        <f t="shared" si="2"/>
        <v>0</v>
      </c>
      <c r="W70" s="108">
        <f>AN_TME_PY[[#This Row],[TOTAL Non-Truncated Unadjusted Claims Expenses]]-AN_TME_PY[[#This Row],[Total Claims Excluded because of Truncation]]</f>
        <v>0</v>
      </c>
      <c r="X70" s="108">
        <f t="shared" si="3"/>
        <v>0</v>
      </c>
      <c r="Y70" s="108">
        <f>AN_TME_PY[[#This Row],[TOTAL Non-Truncated Unadjusted Claims Expenses]]+AN_TME_PY[[#This Row],[TOTAL Non-Claims Expenses]]</f>
        <v>0</v>
      </c>
      <c r="Z70" s="108">
        <f>AN_TME_PY[[#This Row],[TOTAL Truncated Unadjusted Claims Expenses (A21 -A19)]]+AN_TME_PY[[#This Row],[TOTAL Non-Claims Expenses]]</f>
        <v>0</v>
      </c>
      <c r="AA70" s="235">
        <f>IFERROR(AN_TME_PY[[#This Row],[TOTAL Non-Truncated Unadjusted Expenses (A21 + A23)]]/AN_TME_PY[[#This Row],[Member Months]],0)</f>
        <v>0</v>
      </c>
      <c r="AB70" s="272">
        <f>IFERROR(AN_TME_PY[[#This Row],[TOTAL Truncated Unadjusted Expenses (A22 + A23)]]/AN_TME_PY[[#This Row],[Member Months]],0)</f>
        <v>0</v>
      </c>
      <c r="AC70" s="237">
        <f>IFERROR(AN_TME_PY[[#This Row],[Total Claims Excluded because of Truncation]]/AN_TME_PY[[#This Row],[Count of Members with Claims Truncated]], 0)</f>
        <v>0</v>
      </c>
      <c r="AD70" s="238">
        <f>IFERROR(AN_TME_PY[[#This Row],[Total Claims Excluded because of Truncation]]/AN_TME_PY[[#This Row],[TOTAL Non-Truncated Unadjusted Claims Expenses]], 0)</f>
        <v>0</v>
      </c>
    </row>
    <row r="71" spans="1:30" x14ac:dyDescent="0.25">
      <c r="A71" s="101"/>
      <c r="B71" s="104"/>
      <c r="C71" s="270"/>
      <c r="D71" s="105"/>
      <c r="E71" s="110"/>
      <c r="F71" s="110"/>
      <c r="G71" s="110"/>
      <c r="H71" s="110"/>
      <c r="I71" s="110"/>
      <c r="J71" s="110"/>
      <c r="K71" s="110"/>
      <c r="L71" s="110"/>
      <c r="M71" s="110"/>
      <c r="N71" s="110"/>
      <c r="O71" s="110"/>
      <c r="P71" s="110"/>
      <c r="Q71" s="110"/>
      <c r="R71" s="110"/>
      <c r="S71" s="110"/>
      <c r="T71" s="110"/>
      <c r="U71" s="263"/>
      <c r="V71" s="108">
        <f t="shared" si="2"/>
        <v>0</v>
      </c>
      <c r="W71" s="108">
        <f>AN_TME_PY[[#This Row],[TOTAL Non-Truncated Unadjusted Claims Expenses]]-AN_TME_PY[[#This Row],[Total Claims Excluded because of Truncation]]</f>
        <v>0</v>
      </c>
      <c r="X71" s="108">
        <f t="shared" si="3"/>
        <v>0</v>
      </c>
      <c r="Y71" s="108">
        <f>AN_TME_PY[[#This Row],[TOTAL Non-Truncated Unadjusted Claims Expenses]]+AN_TME_PY[[#This Row],[TOTAL Non-Claims Expenses]]</f>
        <v>0</v>
      </c>
      <c r="Z71" s="108">
        <f>AN_TME_PY[[#This Row],[TOTAL Truncated Unadjusted Claims Expenses (A21 -A19)]]+AN_TME_PY[[#This Row],[TOTAL Non-Claims Expenses]]</f>
        <v>0</v>
      </c>
      <c r="AA71" s="235">
        <f>IFERROR(AN_TME_PY[[#This Row],[TOTAL Non-Truncated Unadjusted Expenses (A21 + A23)]]/AN_TME_PY[[#This Row],[Member Months]],0)</f>
        <v>0</v>
      </c>
      <c r="AB71" s="272">
        <f>IFERROR(AN_TME_PY[[#This Row],[TOTAL Truncated Unadjusted Expenses (A22 + A23)]]/AN_TME_PY[[#This Row],[Member Months]],0)</f>
        <v>0</v>
      </c>
      <c r="AC71" s="237">
        <f>IFERROR(AN_TME_PY[[#This Row],[Total Claims Excluded because of Truncation]]/AN_TME_PY[[#This Row],[Count of Members with Claims Truncated]], 0)</f>
        <v>0</v>
      </c>
      <c r="AD71" s="238">
        <f>IFERROR(AN_TME_PY[[#This Row],[Total Claims Excluded because of Truncation]]/AN_TME_PY[[#This Row],[TOTAL Non-Truncated Unadjusted Claims Expenses]], 0)</f>
        <v>0</v>
      </c>
    </row>
    <row r="72" spans="1:30" x14ac:dyDescent="0.25">
      <c r="A72" s="101"/>
      <c r="B72" s="104"/>
      <c r="C72" s="267"/>
      <c r="D72" s="105"/>
      <c r="E72" s="110"/>
      <c r="F72" s="110"/>
      <c r="G72" s="110"/>
      <c r="H72" s="110"/>
      <c r="I72" s="110"/>
      <c r="J72" s="110"/>
      <c r="K72" s="110"/>
      <c r="L72" s="110"/>
      <c r="M72" s="110"/>
      <c r="N72" s="110"/>
      <c r="O72" s="110"/>
      <c r="P72" s="110"/>
      <c r="Q72" s="110"/>
      <c r="R72" s="110"/>
      <c r="S72" s="110"/>
      <c r="T72" s="110"/>
      <c r="U72" s="263"/>
      <c r="V72" s="108">
        <f t="shared" si="2"/>
        <v>0</v>
      </c>
      <c r="W72" s="108">
        <f>AN_TME_PY[[#This Row],[TOTAL Non-Truncated Unadjusted Claims Expenses]]-AN_TME_PY[[#This Row],[Total Claims Excluded because of Truncation]]</f>
        <v>0</v>
      </c>
      <c r="X72" s="108">
        <f t="shared" si="3"/>
        <v>0</v>
      </c>
      <c r="Y72" s="108">
        <f>AN_TME_PY[[#This Row],[TOTAL Non-Truncated Unadjusted Claims Expenses]]+AN_TME_PY[[#This Row],[TOTAL Non-Claims Expenses]]</f>
        <v>0</v>
      </c>
      <c r="Z72" s="108">
        <f>AN_TME_PY[[#This Row],[TOTAL Truncated Unadjusted Claims Expenses (A21 -A19)]]+AN_TME_PY[[#This Row],[TOTAL Non-Claims Expenses]]</f>
        <v>0</v>
      </c>
      <c r="AA72" s="235">
        <f>IFERROR(AN_TME_PY[[#This Row],[TOTAL Non-Truncated Unadjusted Expenses (A21 + A23)]]/AN_TME_PY[[#This Row],[Member Months]],0)</f>
        <v>0</v>
      </c>
      <c r="AB72" s="272">
        <f>IFERROR(AN_TME_PY[[#This Row],[TOTAL Truncated Unadjusted Expenses (A22 + A23)]]/AN_TME_PY[[#This Row],[Member Months]],0)</f>
        <v>0</v>
      </c>
      <c r="AC72" s="237">
        <f>IFERROR(AN_TME_PY[[#This Row],[Total Claims Excluded because of Truncation]]/AN_TME_PY[[#This Row],[Count of Members with Claims Truncated]], 0)</f>
        <v>0</v>
      </c>
      <c r="AD72" s="238">
        <f>IFERROR(AN_TME_PY[[#This Row],[Total Claims Excluded because of Truncation]]/AN_TME_PY[[#This Row],[TOTAL Non-Truncated Unadjusted Claims Expenses]], 0)</f>
        <v>0</v>
      </c>
    </row>
    <row r="73" spans="1:30" x14ac:dyDescent="0.25">
      <c r="A73" s="101"/>
      <c r="B73" s="104"/>
      <c r="C73" s="270"/>
      <c r="D73" s="105"/>
      <c r="E73" s="110"/>
      <c r="F73" s="110"/>
      <c r="G73" s="110"/>
      <c r="H73" s="110"/>
      <c r="I73" s="110"/>
      <c r="J73" s="110"/>
      <c r="K73" s="110"/>
      <c r="L73" s="110"/>
      <c r="M73" s="110"/>
      <c r="N73" s="110"/>
      <c r="O73" s="110"/>
      <c r="P73" s="110"/>
      <c r="Q73" s="110"/>
      <c r="R73" s="110"/>
      <c r="S73" s="110"/>
      <c r="T73" s="110"/>
      <c r="U73" s="263"/>
      <c r="V73" s="108">
        <f t="shared" si="2"/>
        <v>0</v>
      </c>
      <c r="W73" s="108">
        <f>AN_TME_PY[[#This Row],[TOTAL Non-Truncated Unadjusted Claims Expenses]]-AN_TME_PY[[#This Row],[Total Claims Excluded because of Truncation]]</f>
        <v>0</v>
      </c>
      <c r="X73" s="108">
        <f t="shared" si="3"/>
        <v>0</v>
      </c>
      <c r="Y73" s="108">
        <f>AN_TME_PY[[#This Row],[TOTAL Non-Truncated Unadjusted Claims Expenses]]+AN_TME_PY[[#This Row],[TOTAL Non-Claims Expenses]]</f>
        <v>0</v>
      </c>
      <c r="Z73" s="108">
        <f>AN_TME_PY[[#This Row],[TOTAL Truncated Unadjusted Claims Expenses (A21 -A19)]]+AN_TME_PY[[#This Row],[TOTAL Non-Claims Expenses]]</f>
        <v>0</v>
      </c>
      <c r="AA73" s="235">
        <f>IFERROR(AN_TME_PY[[#This Row],[TOTAL Non-Truncated Unadjusted Expenses (A21 + A23)]]/AN_TME_PY[[#This Row],[Member Months]],0)</f>
        <v>0</v>
      </c>
      <c r="AB73" s="272">
        <f>IFERROR(AN_TME_PY[[#This Row],[TOTAL Truncated Unadjusted Expenses (A22 + A23)]]/AN_TME_PY[[#This Row],[Member Months]],0)</f>
        <v>0</v>
      </c>
      <c r="AC73" s="237">
        <f>IFERROR(AN_TME_PY[[#This Row],[Total Claims Excluded because of Truncation]]/AN_TME_PY[[#This Row],[Count of Members with Claims Truncated]], 0)</f>
        <v>0</v>
      </c>
      <c r="AD73" s="238">
        <f>IFERROR(AN_TME_PY[[#This Row],[Total Claims Excluded because of Truncation]]/AN_TME_PY[[#This Row],[TOTAL Non-Truncated Unadjusted Claims Expenses]], 0)</f>
        <v>0</v>
      </c>
    </row>
    <row r="74" spans="1:30" x14ac:dyDescent="0.25">
      <c r="A74" s="101"/>
      <c r="B74" s="104"/>
      <c r="C74" s="267"/>
      <c r="D74" s="105"/>
      <c r="E74" s="110"/>
      <c r="F74" s="110"/>
      <c r="G74" s="110"/>
      <c r="H74" s="110"/>
      <c r="I74" s="110"/>
      <c r="J74" s="110"/>
      <c r="K74" s="110"/>
      <c r="L74" s="110"/>
      <c r="M74" s="110"/>
      <c r="N74" s="110"/>
      <c r="O74" s="110"/>
      <c r="P74" s="110"/>
      <c r="Q74" s="110"/>
      <c r="R74" s="110"/>
      <c r="S74" s="110"/>
      <c r="T74" s="110"/>
      <c r="U74" s="263"/>
      <c r="V74" s="108">
        <f t="shared" si="2"/>
        <v>0</v>
      </c>
      <c r="W74" s="108">
        <f>AN_TME_PY[[#This Row],[TOTAL Non-Truncated Unadjusted Claims Expenses]]-AN_TME_PY[[#This Row],[Total Claims Excluded because of Truncation]]</f>
        <v>0</v>
      </c>
      <c r="X74" s="108">
        <f t="shared" si="3"/>
        <v>0</v>
      </c>
      <c r="Y74" s="108">
        <f>AN_TME_PY[[#This Row],[TOTAL Non-Truncated Unadjusted Claims Expenses]]+AN_TME_PY[[#This Row],[TOTAL Non-Claims Expenses]]</f>
        <v>0</v>
      </c>
      <c r="Z74" s="108">
        <f>AN_TME_PY[[#This Row],[TOTAL Truncated Unadjusted Claims Expenses (A21 -A19)]]+AN_TME_PY[[#This Row],[TOTAL Non-Claims Expenses]]</f>
        <v>0</v>
      </c>
      <c r="AA74" s="235">
        <f>IFERROR(AN_TME_PY[[#This Row],[TOTAL Non-Truncated Unadjusted Expenses (A21 + A23)]]/AN_TME_PY[[#This Row],[Member Months]],0)</f>
        <v>0</v>
      </c>
      <c r="AB74" s="272">
        <f>IFERROR(AN_TME_PY[[#This Row],[TOTAL Truncated Unadjusted Expenses (A22 + A23)]]/AN_TME_PY[[#This Row],[Member Months]],0)</f>
        <v>0</v>
      </c>
      <c r="AC74" s="237">
        <f>IFERROR(AN_TME_PY[[#This Row],[Total Claims Excluded because of Truncation]]/AN_TME_PY[[#This Row],[Count of Members with Claims Truncated]], 0)</f>
        <v>0</v>
      </c>
      <c r="AD74" s="238">
        <f>IFERROR(AN_TME_PY[[#This Row],[Total Claims Excluded because of Truncation]]/AN_TME_PY[[#This Row],[TOTAL Non-Truncated Unadjusted Claims Expenses]], 0)</f>
        <v>0</v>
      </c>
    </row>
    <row r="75" spans="1:30" x14ac:dyDescent="0.25">
      <c r="A75" s="101"/>
      <c r="B75" s="104"/>
      <c r="C75" s="270"/>
      <c r="D75" s="105"/>
      <c r="E75" s="110"/>
      <c r="F75" s="110"/>
      <c r="G75" s="110"/>
      <c r="H75" s="110"/>
      <c r="I75" s="110"/>
      <c r="J75" s="110"/>
      <c r="K75" s="110"/>
      <c r="L75" s="110"/>
      <c r="M75" s="110"/>
      <c r="N75" s="110"/>
      <c r="O75" s="110"/>
      <c r="P75" s="110"/>
      <c r="Q75" s="110"/>
      <c r="R75" s="110"/>
      <c r="S75" s="110"/>
      <c r="T75" s="110"/>
      <c r="U75" s="263"/>
      <c r="V75" s="108">
        <f t="shared" ref="V75:V106" si="4">SUM(E75:G75)+SUM(I75:M75)</f>
        <v>0</v>
      </c>
      <c r="W75" s="108">
        <f>AN_TME_PY[[#This Row],[TOTAL Non-Truncated Unadjusted Claims Expenses]]-AN_TME_PY[[#This Row],[Total Claims Excluded because of Truncation]]</f>
        <v>0</v>
      </c>
      <c r="X75" s="108">
        <f t="shared" ref="X75:X106" si="5">SUM(N75:R75)</f>
        <v>0</v>
      </c>
      <c r="Y75" s="108">
        <f>AN_TME_PY[[#This Row],[TOTAL Non-Truncated Unadjusted Claims Expenses]]+AN_TME_PY[[#This Row],[TOTAL Non-Claims Expenses]]</f>
        <v>0</v>
      </c>
      <c r="Z75" s="108">
        <f>AN_TME_PY[[#This Row],[TOTAL Truncated Unadjusted Claims Expenses (A21 -A19)]]+AN_TME_PY[[#This Row],[TOTAL Non-Claims Expenses]]</f>
        <v>0</v>
      </c>
      <c r="AA75" s="235">
        <f>IFERROR(AN_TME_PY[[#This Row],[TOTAL Non-Truncated Unadjusted Expenses (A21 + A23)]]/AN_TME_PY[[#This Row],[Member Months]],0)</f>
        <v>0</v>
      </c>
      <c r="AB75" s="272">
        <f>IFERROR(AN_TME_PY[[#This Row],[TOTAL Truncated Unadjusted Expenses (A22 + A23)]]/AN_TME_PY[[#This Row],[Member Months]],0)</f>
        <v>0</v>
      </c>
      <c r="AC75" s="237">
        <f>IFERROR(AN_TME_PY[[#This Row],[Total Claims Excluded because of Truncation]]/AN_TME_PY[[#This Row],[Count of Members with Claims Truncated]], 0)</f>
        <v>0</v>
      </c>
      <c r="AD75" s="238">
        <f>IFERROR(AN_TME_PY[[#This Row],[Total Claims Excluded because of Truncation]]/AN_TME_PY[[#This Row],[TOTAL Non-Truncated Unadjusted Claims Expenses]], 0)</f>
        <v>0</v>
      </c>
    </row>
    <row r="76" spans="1:30" x14ac:dyDescent="0.25">
      <c r="A76" s="101"/>
      <c r="B76" s="104"/>
      <c r="C76" s="267"/>
      <c r="D76" s="105"/>
      <c r="E76" s="110"/>
      <c r="F76" s="110"/>
      <c r="G76" s="110"/>
      <c r="H76" s="110"/>
      <c r="I76" s="110"/>
      <c r="J76" s="110"/>
      <c r="K76" s="110"/>
      <c r="L76" s="110"/>
      <c r="M76" s="110"/>
      <c r="N76" s="110"/>
      <c r="O76" s="110"/>
      <c r="P76" s="110"/>
      <c r="Q76" s="110"/>
      <c r="R76" s="110"/>
      <c r="S76" s="110"/>
      <c r="T76" s="110"/>
      <c r="U76" s="263"/>
      <c r="V76" s="108">
        <f t="shared" si="4"/>
        <v>0</v>
      </c>
      <c r="W76" s="108">
        <f>AN_TME_PY[[#This Row],[TOTAL Non-Truncated Unadjusted Claims Expenses]]-AN_TME_PY[[#This Row],[Total Claims Excluded because of Truncation]]</f>
        <v>0</v>
      </c>
      <c r="X76" s="108">
        <f t="shared" si="5"/>
        <v>0</v>
      </c>
      <c r="Y76" s="108">
        <f>AN_TME_PY[[#This Row],[TOTAL Non-Truncated Unadjusted Claims Expenses]]+AN_TME_PY[[#This Row],[TOTAL Non-Claims Expenses]]</f>
        <v>0</v>
      </c>
      <c r="Z76" s="108">
        <f>AN_TME_PY[[#This Row],[TOTAL Truncated Unadjusted Claims Expenses (A21 -A19)]]+AN_TME_PY[[#This Row],[TOTAL Non-Claims Expenses]]</f>
        <v>0</v>
      </c>
      <c r="AA76" s="235">
        <f>IFERROR(AN_TME_PY[[#This Row],[TOTAL Non-Truncated Unadjusted Expenses (A21 + A23)]]/AN_TME_PY[[#This Row],[Member Months]],0)</f>
        <v>0</v>
      </c>
      <c r="AB76" s="272">
        <f>IFERROR(AN_TME_PY[[#This Row],[TOTAL Truncated Unadjusted Expenses (A22 + A23)]]/AN_TME_PY[[#This Row],[Member Months]],0)</f>
        <v>0</v>
      </c>
      <c r="AC76" s="237">
        <f>IFERROR(AN_TME_PY[[#This Row],[Total Claims Excluded because of Truncation]]/AN_TME_PY[[#This Row],[Count of Members with Claims Truncated]], 0)</f>
        <v>0</v>
      </c>
      <c r="AD76" s="238">
        <f>IFERROR(AN_TME_PY[[#This Row],[Total Claims Excluded because of Truncation]]/AN_TME_PY[[#This Row],[TOTAL Non-Truncated Unadjusted Claims Expenses]], 0)</f>
        <v>0</v>
      </c>
    </row>
    <row r="77" spans="1:30" x14ac:dyDescent="0.25">
      <c r="A77" s="101"/>
      <c r="B77" s="104"/>
      <c r="C77" s="270"/>
      <c r="D77" s="105"/>
      <c r="E77" s="110"/>
      <c r="F77" s="110"/>
      <c r="G77" s="110"/>
      <c r="H77" s="110"/>
      <c r="I77" s="110"/>
      <c r="J77" s="110"/>
      <c r="K77" s="110"/>
      <c r="L77" s="110"/>
      <c r="M77" s="110"/>
      <c r="N77" s="110"/>
      <c r="O77" s="110"/>
      <c r="P77" s="110"/>
      <c r="Q77" s="110"/>
      <c r="R77" s="110"/>
      <c r="S77" s="110"/>
      <c r="T77" s="110"/>
      <c r="U77" s="263"/>
      <c r="V77" s="108">
        <f t="shared" si="4"/>
        <v>0</v>
      </c>
      <c r="W77" s="108">
        <f>AN_TME_PY[[#This Row],[TOTAL Non-Truncated Unadjusted Claims Expenses]]-AN_TME_PY[[#This Row],[Total Claims Excluded because of Truncation]]</f>
        <v>0</v>
      </c>
      <c r="X77" s="108">
        <f t="shared" si="5"/>
        <v>0</v>
      </c>
      <c r="Y77" s="108">
        <f>AN_TME_PY[[#This Row],[TOTAL Non-Truncated Unadjusted Claims Expenses]]+AN_TME_PY[[#This Row],[TOTAL Non-Claims Expenses]]</f>
        <v>0</v>
      </c>
      <c r="Z77" s="108">
        <f>AN_TME_PY[[#This Row],[TOTAL Truncated Unadjusted Claims Expenses (A21 -A19)]]+AN_TME_PY[[#This Row],[TOTAL Non-Claims Expenses]]</f>
        <v>0</v>
      </c>
      <c r="AA77" s="235">
        <f>IFERROR(AN_TME_PY[[#This Row],[TOTAL Non-Truncated Unadjusted Expenses (A21 + A23)]]/AN_TME_PY[[#This Row],[Member Months]],0)</f>
        <v>0</v>
      </c>
      <c r="AB77" s="272">
        <f>IFERROR(AN_TME_PY[[#This Row],[TOTAL Truncated Unadjusted Expenses (A22 + A23)]]/AN_TME_PY[[#This Row],[Member Months]],0)</f>
        <v>0</v>
      </c>
      <c r="AC77" s="237">
        <f>IFERROR(AN_TME_PY[[#This Row],[Total Claims Excluded because of Truncation]]/AN_TME_PY[[#This Row],[Count of Members with Claims Truncated]], 0)</f>
        <v>0</v>
      </c>
      <c r="AD77" s="238">
        <f>IFERROR(AN_TME_PY[[#This Row],[Total Claims Excluded because of Truncation]]/AN_TME_PY[[#This Row],[TOTAL Non-Truncated Unadjusted Claims Expenses]], 0)</f>
        <v>0</v>
      </c>
    </row>
    <row r="78" spans="1:30" x14ac:dyDescent="0.25">
      <c r="A78" s="101"/>
      <c r="B78" s="104"/>
      <c r="C78" s="267"/>
      <c r="D78" s="105"/>
      <c r="E78" s="110"/>
      <c r="F78" s="110"/>
      <c r="G78" s="110"/>
      <c r="H78" s="110"/>
      <c r="I78" s="110"/>
      <c r="J78" s="110"/>
      <c r="K78" s="110"/>
      <c r="L78" s="110"/>
      <c r="M78" s="110"/>
      <c r="N78" s="110"/>
      <c r="O78" s="110"/>
      <c r="P78" s="110"/>
      <c r="Q78" s="110"/>
      <c r="R78" s="110"/>
      <c r="S78" s="110"/>
      <c r="T78" s="110"/>
      <c r="U78" s="263"/>
      <c r="V78" s="108">
        <f t="shared" si="4"/>
        <v>0</v>
      </c>
      <c r="W78" s="108">
        <f>AN_TME_PY[[#This Row],[TOTAL Non-Truncated Unadjusted Claims Expenses]]-AN_TME_PY[[#This Row],[Total Claims Excluded because of Truncation]]</f>
        <v>0</v>
      </c>
      <c r="X78" s="108">
        <f t="shared" si="5"/>
        <v>0</v>
      </c>
      <c r="Y78" s="108">
        <f>AN_TME_PY[[#This Row],[TOTAL Non-Truncated Unadjusted Claims Expenses]]+AN_TME_PY[[#This Row],[TOTAL Non-Claims Expenses]]</f>
        <v>0</v>
      </c>
      <c r="Z78" s="108">
        <f>AN_TME_PY[[#This Row],[TOTAL Truncated Unadjusted Claims Expenses (A21 -A19)]]+AN_TME_PY[[#This Row],[TOTAL Non-Claims Expenses]]</f>
        <v>0</v>
      </c>
      <c r="AA78" s="235">
        <f>IFERROR(AN_TME_PY[[#This Row],[TOTAL Non-Truncated Unadjusted Expenses (A21 + A23)]]/AN_TME_PY[[#This Row],[Member Months]],0)</f>
        <v>0</v>
      </c>
      <c r="AB78" s="272">
        <f>IFERROR(AN_TME_PY[[#This Row],[TOTAL Truncated Unadjusted Expenses (A22 + A23)]]/AN_TME_PY[[#This Row],[Member Months]],0)</f>
        <v>0</v>
      </c>
      <c r="AC78" s="237">
        <f>IFERROR(AN_TME_PY[[#This Row],[Total Claims Excluded because of Truncation]]/AN_TME_PY[[#This Row],[Count of Members with Claims Truncated]], 0)</f>
        <v>0</v>
      </c>
      <c r="AD78" s="238">
        <f>IFERROR(AN_TME_PY[[#This Row],[Total Claims Excluded because of Truncation]]/AN_TME_PY[[#This Row],[TOTAL Non-Truncated Unadjusted Claims Expenses]], 0)</f>
        <v>0</v>
      </c>
    </row>
    <row r="79" spans="1:30" x14ac:dyDescent="0.25">
      <c r="A79" s="101"/>
      <c r="B79" s="104"/>
      <c r="C79" s="270"/>
      <c r="D79" s="105"/>
      <c r="E79" s="110"/>
      <c r="F79" s="110"/>
      <c r="G79" s="110"/>
      <c r="H79" s="110"/>
      <c r="I79" s="110"/>
      <c r="J79" s="110"/>
      <c r="K79" s="110"/>
      <c r="L79" s="110"/>
      <c r="M79" s="110"/>
      <c r="N79" s="110"/>
      <c r="O79" s="110"/>
      <c r="P79" s="110"/>
      <c r="Q79" s="110"/>
      <c r="R79" s="110"/>
      <c r="S79" s="110"/>
      <c r="T79" s="110"/>
      <c r="U79" s="263"/>
      <c r="V79" s="108">
        <f t="shared" si="4"/>
        <v>0</v>
      </c>
      <c r="W79" s="108">
        <f>AN_TME_PY[[#This Row],[TOTAL Non-Truncated Unadjusted Claims Expenses]]-AN_TME_PY[[#This Row],[Total Claims Excluded because of Truncation]]</f>
        <v>0</v>
      </c>
      <c r="X79" s="108">
        <f t="shared" si="5"/>
        <v>0</v>
      </c>
      <c r="Y79" s="108">
        <f>AN_TME_PY[[#This Row],[TOTAL Non-Truncated Unadjusted Claims Expenses]]+AN_TME_PY[[#This Row],[TOTAL Non-Claims Expenses]]</f>
        <v>0</v>
      </c>
      <c r="Z79" s="108">
        <f>AN_TME_PY[[#This Row],[TOTAL Truncated Unadjusted Claims Expenses (A21 -A19)]]+AN_TME_PY[[#This Row],[TOTAL Non-Claims Expenses]]</f>
        <v>0</v>
      </c>
      <c r="AA79" s="235">
        <f>IFERROR(AN_TME_PY[[#This Row],[TOTAL Non-Truncated Unadjusted Expenses (A21 + A23)]]/AN_TME_PY[[#This Row],[Member Months]],0)</f>
        <v>0</v>
      </c>
      <c r="AB79" s="272">
        <f>IFERROR(AN_TME_PY[[#This Row],[TOTAL Truncated Unadjusted Expenses (A22 + A23)]]/AN_TME_PY[[#This Row],[Member Months]],0)</f>
        <v>0</v>
      </c>
      <c r="AC79" s="237">
        <f>IFERROR(AN_TME_PY[[#This Row],[Total Claims Excluded because of Truncation]]/AN_TME_PY[[#This Row],[Count of Members with Claims Truncated]], 0)</f>
        <v>0</v>
      </c>
      <c r="AD79" s="238">
        <f>IFERROR(AN_TME_PY[[#This Row],[Total Claims Excluded because of Truncation]]/AN_TME_PY[[#This Row],[TOTAL Non-Truncated Unadjusted Claims Expenses]], 0)</f>
        <v>0</v>
      </c>
    </row>
    <row r="80" spans="1:30" x14ac:dyDescent="0.25">
      <c r="A80" s="101"/>
      <c r="B80" s="104"/>
      <c r="C80" s="267"/>
      <c r="D80" s="105"/>
      <c r="E80" s="110"/>
      <c r="F80" s="110"/>
      <c r="G80" s="110"/>
      <c r="H80" s="110"/>
      <c r="I80" s="110"/>
      <c r="J80" s="110"/>
      <c r="K80" s="110"/>
      <c r="L80" s="110"/>
      <c r="M80" s="110"/>
      <c r="N80" s="110"/>
      <c r="O80" s="110"/>
      <c r="P80" s="110"/>
      <c r="Q80" s="110"/>
      <c r="R80" s="110"/>
      <c r="S80" s="110"/>
      <c r="T80" s="110"/>
      <c r="U80" s="263"/>
      <c r="V80" s="108">
        <f t="shared" si="4"/>
        <v>0</v>
      </c>
      <c r="W80" s="108">
        <f>AN_TME_PY[[#This Row],[TOTAL Non-Truncated Unadjusted Claims Expenses]]-AN_TME_PY[[#This Row],[Total Claims Excluded because of Truncation]]</f>
        <v>0</v>
      </c>
      <c r="X80" s="108">
        <f t="shared" si="5"/>
        <v>0</v>
      </c>
      <c r="Y80" s="108">
        <f>AN_TME_PY[[#This Row],[TOTAL Non-Truncated Unadjusted Claims Expenses]]+AN_TME_PY[[#This Row],[TOTAL Non-Claims Expenses]]</f>
        <v>0</v>
      </c>
      <c r="Z80" s="108">
        <f>AN_TME_PY[[#This Row],[TOTAL Truncated Unadjusted Claims Expenses (A21 -A19)]]+AN_TME_PY[[#This Row],[TOTAL Non-Claims Expenses]]</f>
        <v>0</v>
      </c>
      <c r="AA80" s="235">
        <f>IFERROR(AN_TME_PY[[#This Row],[TOTAL Non-Truncated Unadjusted Expenses (A21 + A23)]]/AN_TME_PY[[#This Row],[Member Months]],0)</f>
        <v>0</v>
      </c>
      <c r="AB80" s="272">
        <f>IFERROR(AN_TME_PY[[#This Row],[TOTAL Truncated Unadjusted Expenses (A22 + A23)]]/AN_TME_PY[[#This Row],[Member Months]],0)</f>
        <v>0</v>
      </c>
      <c r="AC80" s="237">
        <f>IFERROR(AN_TME_PY[[#This Row],[Total Claims Excluded because of Truncation]]/AN_TME_PY[[#This Row],[Count of Members with Claims Truncated]], 0)</f>
        <v>0</v>
      </c>
      <c r="AD80" s="238">
        <f>IFERROR(AN_TME_PY[[#This Row],[Total Claims Excluded because of Truncation]]/AN_TME_PY[[#This Row],[TOTAL Non-Truncated Unadjusted Claims Expenses]], 0)</f>
        <v>0</v>
      </c>
    </row>
    <row r="81" spans="1:30" x14ac:dyDescent="0.25">
      <c r="A81" s="101"/>
      <c r="B81" s="104"/>
      <c r="C81" s="270"/>
      <c r="D81" s="105"/>
      <c r="E81" s="110"/>
      <c r="F81" s="110"/>
      <c r="G81" s="110"/>
      <c r="H81" s="110"/>
      <c r="I81" s="110"/>
      <c r="J81" s="110"/>
      <c r="K81" s="110"/>
      <c r="L81" s="110"/>
      <c r="M81" s="110"/>
      <c r="N81" s="110"/>
      <c r="O81" s="110"/>
      <c r="P81" s="110"/>
      <c r="Q81" s="110"/>
      <c r="R81" s="110"/>
      <c r="S81" s="110"/>
      <c r="T81" s="110"/>
      <c r="U81" s="263"/>
      <c r="V81" s="108">
        <f t="shared" si="4"/>
        <v>0</v>
      </c>
      <c r="W81" s="108">
        <f>AN_TME_PY[[#This Row],[TOTAL Non-Truncated Unadjusted Claims Expenses]]-AN_TME_PY[[#This Row],[Total Claims Excluded because of Truncation]]</f>
        <v>0</v>
      </c>
      <c r="X81" s="108">
        <f t="shared" si="5"/>
        <v>0</v>
      </c>
      <c r="Y81" s="108">
        <f>AN_TME_PY[[#This Row],[TOTAL Non-Truncated Unadjusted Claims Expenses]]+AN_TME_PY[[#This Row],[TOTAL Non-Claims Expenses]]</f>
        <v>0</v>
      </c>
      <c r="Z81" s="108">
        <f>AN_TME_PY[[#This Row],[TOTAL Truncated Unadjusted Claims Expenses (A21 -A19)]]+AN_TME_PY[[#This Row],[TOTAL Non-Claims Expenses]]</f>
        <v>0</v>
      </c>
      <c r="AA81" s="235">
        <f>IFERROR(AN_TME_PY[[#This Row],[TOTAL Non-Truncated Unadjusted Expenses (A21 + A23)]]/AN_TME_PY[[#This Row],[Member Months]],0)</f>
        <v>0</v>
      </c>
      <c r="AB81" s="272">
        <f>IFERROR(AN_TME_PY[[#This Row],[TOTAL Truncated Unadjusted Expenses (A22 + A23)]]/AN_TME_PY[[#This Row],[Member Months]],0)</f>
        <v>0</v>
      </c>
      <c r="AC81" s="237">
        <f>IFERROR(AN_TME_PY[[#This Row],[Total Claims Excluded because of Truncation]]/AN_TME_PY[[#This Row],[Count of Members with Claims Truncated]], 0)</f>
        <v>0</v>
      </c>
      <c r="AD81" s="238">
        <f>IFERROR(AN_TME_PY[[#This Row],[Total Claims Excluded because of Truncation]]/AN_TME_PY[[#This Row],[TOTAL Non-Truncated Unadjusted Claims Expenses]], 0)</f>
        <v>0</v>
      </c>
    </row>
    <row r="82" spans="1:30" x14ac:dyDescent="0.25">
      <c r="A82" s="101"/>
      <c r="B82" s="104"/>
      <c r="C82" s="267"/>
      <c r="D82" s="105"/>
      <c r="E82" s="110"/>
      <c r="F82" s="110"/>
      <c r="G82" s="110"/>
      <c r="H82" s="110"/>
      <c r="I82" s="110"/>
      <c r="J82" s="110"/>
      <c r="K82" s="110"/>
      <c r="L82" s="110"/>
      <c r="M82" s="110"/>
      <c r="N82" s="110"/>
      <c r="O82" s="110"/>
      <c r="P82" s="110"/>
      <c r="Q82" s="110"/>
      <c r="R82" s="110"/>
      <c r="S82" s="110"/>
      <c r="T82" s="110"/>
      <c r="U82" s="263"/>
      <c r="V82" s="108">
        <f t="shared" si="4"/>
        <v>0</v>
      </c>
      <c r="W82" s="108">
        <f>AN_TME_PY[[#This Row],[TOTAL Non-Truncated Unadjusted Claims Expenses]]-AN_TME_PY[[#This Row],[Total Claims Excluded because of Truncation]]</f>
        <v>0</v>
      </c>
      <c r="X82" s="108">
        <f t="shared" si="5"/>
        <v>0</v>
      </c>
      <c r="Y82" s="108">
        <f>AN_TME_PY[[#This Row],[TOTAL Non-Truncated Unadjusted Claims Expenses]]+AN_TME_PY[[#This Row],[TOTAL Non-Claims Expenses]]</f>
        <v>0</v>
      </c>
      <c r="Z82" s="108">
        <f>AN_TME_PY[[#This Row],[TOTAL Truncated Unadjusted Claims Expenses (A21 -A19)]]+AN_TME_PY[[#This Row],[TOTAL Non-Claims Expenses]]</f>
        <v>0</v>
      </c>
      <c r="AA82" s="235">
        <f>IFERROR(AN_TME_PY[[#This Row],[TOTAL Non-Truncated Unadjusted Expenses (A21 + A23)]]/AN_TME_PY[[#This Row],[Member Months]],0)</f>
        <v>0</v>
      </c>
      <c r="AB82" s="272">
        <f>IFERROR(AN_TME_PY[[#This Row],[TOTAL Truncated Unadjusted Expenses (A22 + A23)]]/AN_TME_PY[[#This Row],[Member Months]],0)</f>
        <v>0</v>
      </c>
      <c r="AC82" s="237">
        <f>IFERROR(AN_TME_PY[[#This Row],[Total Claims Excluded because of Truncation]]/AN_TME_PY[[#This Row],[Count of Members with Claims Truncated]], 0)</f>
        <v>0</v>
      </c>
      <c r="AD82" s="238">
        <f>IFERROR(AN_TME_PY[[#This Row],[Total Claims Excluded because of Truncation]]/AN_TME_PY[[#This Row],[TOTAL Non-Truncated Unadjusted Claims Expenses]], 0)</f>
        <v>0</v>
      </c>
    </row>
    <row r="83" spans="1:30" x14ac:dyDescent="0.25">
      <c r="A83" s="101"/>
      <c r="B83" s="104"/>
      <c r="C83" s="270"/>
      <c r="D83" s="105"/>
      <c r="E83" s="110"/>
      <c r="F83" s="110"/>
      <c r="G83" s="110"/>
      <c r="H83" s="110"/>
      <c r="I83" s="110"/>
      <c r="J83" s="110"/>
      <c r="K83" s="110"/>
      <c r="L83" s="110"/>
      <c r="M83" s="110"/>
      <c r="N83" s="110"/>
      <c r="O83" s="110"/>
      <c r="P83" s="110"/>
      <c r="Q83" s="110"/>
      <c r="R83" s="110"/>
      <c r="S83" s="110"/>
      <c r="T83" s="110"/>
      <c r="U83" s="263"/>
      <c r="V83" s="108">
        <f t="shared" si="4"/>
        <v>0</v>
      </c>
      <c r="W83" s="108">
        <f>AN_TME_PY[[#This Row],[TOTAL Non-Truncated Unadjusted Claims Expenses]]-AN_TME_PY[[#This Row],[Total Claims Excluded because of Truncation]]</f>
        <v>0</v>
      </c>
      <c r="X83" s="108">
        <f t="shared" si="5"/>
        <v>0</v>
      </c>
      <c r="Y83" s="108">
        <f>AN_TME_PY[[#This Row],[TOTAL Non-Truncated Unadjusted Claims Expenses]]+AN_TME_PY[[#This Row],[TOTAL Non-Claims Expenses]]</f>
        <v>0</v>
      </c>
      <c r="Z83" s="108">
        <f>AN_TME_PY[[#This Row],[TOTAL Truncated Unadjusted Claims Expenses (A21 -A19)]]+AN_TME_PY[[#This Row],[TOTAL Non-Claims Expenses]]</f>
        <v>0</v>
      </c>
      <c r="AA83" s="235">
        <f>IFERROR(AN_TME_PY[[#This Row],[TOTAL Non-Truncated Unadjusted Expenses (A21 + A23)]]/AN_TME_PY[[#This Row],[Member Months]],0)</f>
        <v>0</v>
      </c>
      <c r="AB83" s="272">
        <f>IFERROR(AN_TME_PY[[#This Row],[TOTAL Truncated Unadjusted Expenses (A22 + A23)]]/AN_TME_PY[[#This Row],[Member Months]],0)</f>
        <v>0</v>
      </c>
      <c r="AC83" s="237">
        <f>IFERROR(AN_TME_PY[[#This Row],[Total Claims Excluded because of Truncation]]/AN_TME_PY[[#This Row],[Count of Members with Claims Truncated]], 0)</f>
        <v>0</v>
      </c>
      <c r="AD83" s="238">
        <f>IFERROR(AN_TME_PY[[#This Row],[Total Claims Excluded because of Truncation]]/AN_TME_PY[[#This Row],[TOTAL Non-Truncated Unadjusted Claims Expenses]], 0)</f>
        <v>0</v>
      </c>
    </row>
    <row r="84" spans="1:30" x14ac:dyDescent="0.25">
      <c r="A84" s="101"/>
      <c r="B84" s="104"/>
      <c r="C84" s="267"/>
      <c r="D84" s="105"/>
      <c r="E84" s="110"/>
      <c r="F84" s="110"/>
      <c r="G84" s="110"/>
      <c r="H84" s="110"/>
      <c r="I84" s="110"/>
      <c r="J84" s="110"/>
      <c r="K84" s="110"/>
      <c r="L84" s="110"/>
      <c r="M84" s="110"/>
      <c r="N84" s="110"/>
      <c r="O84" s="110"/>
      <c r="P84" s="110"/>
      <c r="Q84" s="110"/>
      <c r="R84" s="110"/>
      <c r="S84" s="110"/>
      <c r="T84" s="110"/>
      <c r="U84" s="263"/>
      <c r="V84" s="108">
        <f t="shared" si="4"/>
        <v>0</v>
      </c>
      <c r="W84" s="108">
        <f>AN_TME_PY[[#This Row],[TOTAL Non-Truncated Unadjusted Claims Expenses]]-AN_TME_PY[[#This Row],[Total Claims Excluded because of Truncation]]</f>
        <v>0</v>
      </c>
      <c r="X84" s="108">
        <f t="shared" si="5"/>
        <v>0</v>
      </c>
      <c r="Y84" s="108">
        <f>AN_TME_PY[[#This Row],[TOTAL Non-Truncated Unadjusted Claims Expenses]]+AN_TME_PY[[#This Row],[TOTAL Non-Claims Expenses]]</f>
        <v>0</v>
      </c>
      <c r="Z84" s="108">
        <f>AN_TME_PY[[#This Row],[TOTAL Truncated Unadjusted Claims Expenses (A21 -A19)]]+AN_TME_PY[[#This Row],[TOTAL Non-Claims Expenses]]</f>
        <v>0</v>
      </c>
      <c r="AA84" s="235">
        <f>IFERROR(AN_TME_PY[[#This Row],[TOTAL Non-Truncated Unadjusted Expenses (A21 + A23)]]/AN_TME_PY[[#This Row],[Member Months]],0)</f>
        <v>0</v>
      </c>
      <c r="AB84" s="272">
        <f>IFERROR(AN_TME_PY[[#This Row],[TOTAL Truncated Unadjusted Expenses (A22 + A23)]]/AN_TME_PY[[#This Row],[Member Months]],0)</f>
        <v>0</v>
      </c>
      <c r="AC84" s="237">
        <f>IFERROR(AN_TME_PY[[#This Row],[Total Claims Excluded because of Truncation]]/AN_TME_PY[[#This Row],[Count of Members with Claims Truncated]], 0)</f>
        <v>0</v>
      </c>
      <c r="AD84" s="238">
        <f>IFERROR(AN_TME_PY[[#This Row],[Total Claims Excluded because of Truncation]]/AN_TME_PY[[#This Row],[TOTAL Non-Truncated Unadjusted Claims Expenses]], 0)</f>
        <v>0</v>
      </c>
    </row>
    <row r="85" spans="1:30" x14ac:dyDescent="0.25">
      <c r="A85" s="101"/>
      <c r="B85" s="104"/>
      <c r="C85" s="270"/>
      <c r="D85" s="105"/>
      <c r="E85" s="110"/>
      <c r="F85" s="110"/>
      <c r="G85" s="110"/>
      <c r="H85" s="110"/>
      <c r="I85" s="110"/>
      <c r="J85" s="110"/>
      <c r="K85" s="110"/>
      <c r="L85" s="110"/>
      <c r="M85" s="110"/>
      <c r="N85" s="110"/>
      <c r="O85" s="110"/>
      <c r="P85" s="110"/>
      <c r="Q85" s="110"/>
      <c r="R85" s="110"/>
      <c r="S85" s="110"/>
      <c r="T85" s="110"/>
      <c r="U85" s="263"/>
      <c r="V85" s="108">
        <f t="shared" si="4"/>
        <v>0</v>
      </c>
      <c r="W85" s="108">
        <f>AN_TME_PY[[#This Row],[TOTAL Non-Truncated Unadjusted Claims Expenses]]-AN_TME_PY[[#This Row],[Total Claims Excluded because of Truncation]]</f>
        <v>0</v>
      </c>
      <c r="X85" s="108">
        <f t="shared" si="5"/>
        <v>0</v>
      </c>
      <c r="Y85" s="108">
        <f>AN_TME_PY[[#This Row],[TOTAL Non-Truncated Unadjusted Claims Expenses]]+AN_TME_PY[[#This Row],[TOTAL Non-Claims Expenses]]</f>
        <v>0</v>
      </c>
      <c r="Z85" s="108">
        <f>AN_TME_PY[[#This Row],[TOTAL Truncated Unadjusted Claims Expenses (A21 -A19)]]+AN_TME_PY[[#This Row],[TOTAL Non-Claims Expenses]]</f>
        <v>0</v>
      </c>
      <c r="AA85" s="235">
        <f>IFERROR(AN_TME_PY[[#This Row],[TOTAL Non-Truncated Unadjusted Expenses (A21 + A23)]]/AN_TME_PY[[#This Row],[Member Months]],0)</f>
        <v>0</v>
      </c>
      <c r="AB85" s="272">
        <f>IFERROR(AN_TME_PY[[#This Row],[TOTAL Truncated Unadjusted Expenses (A22 + A23)]]/AN_TME_PY[[#This Row],[Member Months]],0)</f>
        <v>0</v>
      </c>
      <c r="AC85" s="237">
        <f>IFERROR(AN_TME_PY[[#This Row],[Total Claims Excluded because of Truncation]]/AN_TME_PY[[#This Row],[Count of Members with Claims Truncated]], 0)</f>
        <v>0</v>
      </c>
      <c r="AD85" s="238">
        <f>IFERROR(AN_TME_PY[[#This Row],[Total Claims Excluded because of Truncation]]/AN_TME_PY[[#This Row],[TOTAL Non-Truncated Unadjusted Claims Expenses]], 0)</f>
        <v>0</v>
      </c>
    </row>
    <row r="86" spans="1:30" x14ac:dyDescent="0.25">
      <c r="A86" s="101"/>
      <c r="B86" s="104"/>
      <c r="C86" s="267"/>
      <c r="D86" s="105"/>
      <c r="E86" s="110"/>
      <c r="F86" s="110"/>
      <c r="G86" s="110"/>
      <c r="H86" s="110"/>
      <c r="I86" s="110"/>
      <c r="J86" s="110"/>
      <c r="K86" s="110"/>
      <c r="L86" s="110"/>
      <c r="M86" s="110"/>
      <c r="N86" s="110"/>
      <c r="O86" s="110"/>
      <c r="P86" s="110"/>
      <c r="Q86" s="110"/>
      <c r="R86" s="110"/>
      <c r="S86" s="110"/>
      <c r="T86" s="110"/>
      <c r="U86" s="263"/>
      <c r="V86" s="108">
        <f t="shared" si="4"/>
        <v>0</v>
      </c>
      <c r="W86" s="108">
        <f>AN_TME_PY[[#This Row],[TOTAL Non-Truncated Unadjusted Claims Expenses]]-AN_TME_PY[[#This Row],[Total Claims Excluded because of Truncation]]</f>
        <v>0</v>
      </c>
      <c r="X86" s="108">
        <f t="shared" si="5"/>
        <v>0</v>
      </c>
      <c r="Y86" s="108">
        <f>AN_TME_PY[[#This Row],[TOTAL Non-Truncated Unadjusted Claims Expenses]]+AN_TME_PY[[#This Row],[TOTAL Non-Claims Expenses]]</f>
        <v>0</v>
      </c>
      <c r="Z86" s="108">
        <f>AN_TME_PY[[#This Row],[TOTAL Truncated Unadjusted Claims Expenses (A21 -A19)]]+AN_TME_PY[[#This Row],[TOTAL Non-Claims Expenses]]</f>
        <v>0</v>
      </c>
      <c r="AA86" s="235">
        <f>IFERROR(AN_TME_PY[[#This Row],[TOTAL Non-Truncated Unadjusted Expenses (A21 + A23)]]/AN_TME_PY[[#This Row],[Member Months]],0)</f>
        <v>0</v>
      </c>
      <c r="AB86" s="272">
        <f>IFERROR(AN_TME_PY[[#This Row],[TOTAL Truncated Unadjusted Expenses (A22 + A23)]]/AN_TME_PY[[#This Row],[Member Months]],0)</f>
        <v>0</v>
      </c>
      <c r="AC86" s="237">
        <f>IFERROR(AN_TME_PY[[#This Row],[Total Claims Excluded because of Truncation]]/AN_TME_PY[[#This Row],[Count of Members with Claims Truncated]], 0)</f>
        <v>0</v>
      </c>
      <c r="AD86" s="238">
        <f>IFERROR(AN_TME_PY[[#This Row],[Total Claims Excluded because of Truncation]]/AN_TME_PY[[#This Row],[TOTAL Non-Truncated Unadjusted Claims Expenses]], 0)</f>
        <v>0</v>
      </c>
    </row>
    <row r="87" spans="1:30" x14ac:dyDescent="0.25">
      <c r="A87" s="101"/>
      <c r="B87" s="104"/>
      <c r="C87" s="270"/>
      <c r="D87" s="105"/>
      <c r="E87" s="110"/>
      <c r="F87" s="110"/>
      <c r="G87" s="110"/>
      <c r="H87" s="110"/>
      <c r="I87" s="110"/>
      <c r="J87" s="110"/>
      <c r="K87" s="110"/>
      <c r="L87" s="110"/>
      <c r="M87" s="110"/>
      <c r="N87" s="110"/>
      <c r="O87" s="110"/>
      <c r="P87" s="110"/>
      <c r="Q87" s="110"/>
      <c r="R87" s="110"/>
      <c r="S87" s="110"/>
      <c r="T87" s="110"/>
      <c r="U87" s="263"/>
      <c r="V87" s="108">
        <f t="shared" si="4"/>
        <v>0</v>
      </c>
      <c r="W87" s="108">
        <f>AN_TME_PY[[#This Row],[TOTAL Non-Truncated Unadjusted Claims Expenses]]-AN_TME_PY[[#This Row],[Total Claims Excluded because of Truncation]]</f>
        <v>0</v>
      </c>
      <c r="X87" s="108">
        <f t="shared" si="5"/>
        <v>0</v>
      </c>
      <c r="Y87" s="108">
        <f>AN_TME_PY[[#This Row],[TOTAL Non-Truncated Unadjusted Claims Expenses]]+AN_TME_PY[[#This Row],[TOTAL Non-Claims Expenses]]</f>
        <v>0</v>
      </c>
      <c r="Z87" s="108">
        <f>AN_TME_PY[[#This Row],[TOTAL Truncated Unadjusted Claims Expenses (A21 -A19)]]+AN_TME_PY[[#This Row],[TOTAL Non-Claims Expenses]]</f>
        <v>0</v>
      </c>
      <c r="AA87" s="235">
        <f>IFERROR(AN_TME_PY[[#This Row],[TOTAL Non-Truncated Unadjusted Expenses (A21 + A23)]]/AN_TME_PY[[#This Row],[Member Months]],0)</f>
        <v>0</v>
      </c>
      <c r="AB87" s="272">
        <f>IFERROR(AN_TME_PY[[#This Row],[TOTAL Truncated Unadjusted Expenses (A22 + A23)]]/AN_TME_PY[[#This Row],[Member Months]],0)</f>
        <v>0</v>
      </c>
      <c r="AC87" s="237">
        <f>IFERROR(AN_TME_PY[[#This Row],[Total Claims Excluded because of Truncation]]/AN_TME_PY[[#This Row],[Count of Members with Claims Truncated]], 0)</f>
        <v>0</v>
      </c>
      <c r="AD87" s="238">
        <f>IFERROR(AN_TME_PY[[#This Row],[Total Claims Excluded because of Truncation]]/AN_TME_PY[[#This Row],[TOTAL Non-Truncated Unadjusted Claims Expenses]], 0)</f>
        <v>0</v>
      </c>
    </row>
    <row r="88" spans="1:30" x14ac:dyDescent="0.25">
      <c r="A88" s="101"/>
      <c r="B88" s="104"/>
      <c r="C88" s="267"/>
      <c r="D88" s="105"/>
      <c r="E88" s="110"/>
      <c r="F88" s="110"/>
      <c r="G88" s="110"/>
      <c r="H88" s="110"/>
      <c r="I88" s="110"/>
      <c r="J88" s="110"/>
      <c r="K88" s="110"/>
      <c r="L88" s="110"/>
      <c r="M88" s="110"/>
      <c r="N88" s="110"/>
      <c r="O88" s="110"/>
      <c r="P88" s="110"/>
      <c r="Q88" s="110"/>
      <c r="R88" s="110"/>
      <c r="S88" s="110"/>
      <c r="T88" s="110"/>
      <c r="U88" s="263"/>
      <c r="V88" s="108">
        <f t="shared" si="4"/>
        <v>0</v>
      </c>
      <c r="W88" s="108">
        <f>AN_TME_PY[[#This Row],[TOTAL Non-Truncated Unadjusted Claims Expenses]]-AN_TME_PY[[#This Row],[Total Claims Excluded because of Truncation]]</f>
        <v>0</v>
      </c>
      <c r="X88" s="108">
        <f t="shared" si="5"/>
        <v>0</v>
      </c>
      <c r="Y88" s="108">
        <f>AN_TME_PY[[#This Row],[TOTAL Non-Truncated Unadjusted Claims Expenses]]+AN_TME_PY[[#This Row],[TOTAL Non-Claims Expenses]]</f>
        <v>0</v>
      </c>
      <c r="Z88" s="108">
        <f>AN_TME_PY[[#This Row],[TOTAL Truncated Unadjusted Claims Expenses (A21 -A19)]]+AN_TME_PY[[#This Row],[TOTAL Non-Claims Expenses]]</f>
        <v>0</v>
      </c>
      <c r="AA88" s="235">
        <f>IFERROR(AN_TME_PY[[#This Row],[TOTAL Non-Truncated Unadjusted Expenses (A21 + A23)]]/AN_TME_PY[[#This Row],[Member Months]],0)</f>
        <v>0</v>
      </c>
      <c r="AB88" s="272">
        <f>IFERROR(AN_TME_PY[[#This Row],[TOTAL Truncated Unadjusted Expenses (A22 + A23)]]/AN_TME_PY[[#This Row],[Member Months]],0)</f>
        <v>0</v>
      </c>
      <c r="AC88" s="237">
        <f>IFERROR(AN_TME_PY[[#This Row],[Total Claims Excluded because of Truncation]]/AN_TME_PY[[#This Row],[Count of Members with Claims Truncated]], 0)</f>
        <v>0</v>
      </c>
      <c r="AD88" s="238">
        <f>IFERROR(AN_TME_PY[[#This Row],[Total Claims Excluded because of Truncation]]/AN_TME_PY[[#This Row],[TOTAL Non-Truncated Unadjusted Claims Expenses]], 0)</f>
        <v>0</v>
      </c>
    </row>
    <row r="89" spans="1:30" x14ac:dyDescent="0.25">
      <c r="A89" s="101"/>
      <c r="B89" s="104"/>
      <c r="C89" s="270"/>
      <c r="D89" s="105"/>
      <c r="E89" s="110"/>
      <c r="F89" s="110"/>
      <c r="G89" s="110"/>
      <c r="H89" s="110"/>
      <c r="I89" s="110"/>
      <c r="J89" s="110"/>
      <c r="K89" s="110"/>
      <c r="L89" s="110"/>
      <c r="M89" s="110"/>
      <c r="N89" s="110"/>
      <c r="O89" s="110"/>
      <c r="P89" s="110"/>
      <c r="Q89" s="110"/>
      <c r="R89" s="110"/>
      <c r="S89" s="110"/>
      <c r="T89" s="110"/>
      <c r="U89" s="263"/>
      <c r="V89" s="108">
        <f t="shared" si="4"/>
        <v>0</v>
      </c>
      <c r="W89" s="108">
        <f>AN_TME_PY[[#This Row],[TOTAL Non-Truncated Unadjusted Claims Expenses]]-AN_TME_PY[[#This Row],[Total Claims Excluded because of Truncation]]</f>
        <v>0</v>
      </c>
      <c r="X89" s="108">
        <f t="shared" si="5"/>
        <v>0</v>
      </c>
      <c r="Y89" s="108">
        <f>AN_TME_PY[[#This Row],[TOTAL Non-Truncated Unadjusted Claims Expenses]]+AN_TME_PY[[#This Row],[TOTAL Non-Claims Expenses]]</f>
        <v>0</v>
      </c>
      <c r="Z89" s="108">
        <f>AN_TME_PY[[#This Row],[TOTAL Truncated Unadjusted Claims Expenses (A21 -A19)]]+AN_TME_PY[[#This Row],[TOTAL Non-Claims Expenses]]</f>
        <v>0</v>
      </c>
      <c r="AA89" s="235">
        <f>IFERROR(AN_TME_PY[[#This Row],[TOTAL Non-Truncated Unadjusted Expenses (A21 + A23)]]/AN_TME_PY[[#This Row],[Member Months]],0)</f>
        <v>0</v>
      </c>
      <c r="AB89" s="272">
        <f>IFERROR(AN_TME_PY[[#This Row],[TOTAL Truncated Unadjusted Expenses (A22 + A23)]]/AN_TME_PY[[#This Row],[Member Months]],0)</f>
        <v>0</v>
      </c>
      <c r="AC89" s="237">
        <f>IFERROR(AN_TME_PY[[#This Row],[Total Claims Excluded because of Truncation]]/AN_TME_PY[[#This Row],[Count of Members with Claims Truncated]], 0)</f>
        <v>0</v>
      </c>
      <c r="AD89" s="238">
        <f>IFERROR(AN_TME_PY[[#This Row],[Total Claims Excluded because of Truncation]]/AN_TME_PY[[#This Row],[TOTAL Non-Truncated Unadjusted Claims Expenses]], 0)</f>
        <v>0</v>
      </c>
    </row>
    <row r="90" spans="1:30" x14ac:dyDescent="0.25">
      <c r="A90" s="101"/>
      <c r="B90" s="104"/>
      <c r="C90" s="267"/>
      <c r="D90" s="105"/>
      <c r="E90" s="110"/>
      <c r="F90" s="110"/>
      <c r="G90" s="110"/>
      <c r="H90" s="110"/>
      <c r="I90" s="110"/>
      <c r="J90" s="110"/>
      <c r="K90" s="110"/>
      <c r="L90" s="110"/>
      <c r="M90" s="110"/>
      <c r="N90" s="110"/>
      <c r="O90" s="110"/>
      <c r="P90" s="110"/>
      <c r="Q90" s="110"/>
      <c r="R90" s="110"/>
      <c r="S90" s="110"/>
      <c r="T90" s="110"/>
      <c r="U90" s="263"/>
      <c r="V90" s="108">
        <f t="shared" si="4"/>
        <v>0</v>
      </c>
      <c r="W90" s="108">
        <f>AN_TME_PY[[#This Row],[TOTAL Non-Truncated Unadjusted Claims Expenses]]-AN_TME_PY[[#This Row],[Total Claims Excluded because of Truncation]]</f>
        <v>0</v>
      </c>
      <c r="X90" s="108">
        <f t="shared" si="5"/>
        <v>0</v>
      </c>
      <c r="Y90" s="108">
        <f>AN_TME_PY[[#This Row],[TOTAL Non-Truncated Unadjusted Claims Expenses]]+AN_TME_PY[[#This Row],[TOTAL Non-Claims Expenses]]</f>
        <v>0</v>
      </c>
      <c r="Z90" s="108">
        <f>AN_TME_PY[[#This Row],[TOTAL Truncated Unadjusted Claims Expenses (A21 -A19)]]+AN_TME_PY[[#This Row],[TOTAL Non-Claims Expenses]]</f>
        <v>0</v>
      </c>
      <c r="AA90" s="235">
        <f>IFERROR(AN_TME_PY[[#This Row],[TOTAL Non-Truncated Unadjusted Expenses (A21 + A23)]]/AN_TME_PY[[#This Row],[Member Months]],0)</f>
        <v>0</v>
      </c>
      <c r="AB90" s="272">
        <f>IFERROR(AN_TME_PY[[#This Row],[TOTAL Truncated Unadjusted Expenses (A22 + A23)]]/AN_TME_PY[[#This Row],[Member Months]],0)</f>
        <v>0</v>
      </c>
      <c r="AC90" s="237">
        <f>IFERROR(AN_TME_PY[[#This Row],[Total Claims Excluded because of Truncation]]/AN_TME_PY[[#This Row],[Count of Members with Claims Truncated]], 0)</f>
        <v>0</v>
      </c>
      <c r="AD90" s="238">
        <f>IFERROR(AN_TME_PY[[#This Row],[Total Claims Excluded because of Truncation]]/AN_TME_PY[[#This Row],[TOTAL Non-Truncated Unadjusted Claims Expenses]], 0)</f>
        <v>0</v>
      </c>
    </row>
    <row r="91" spans="1:30" x14ac:dyDescent="0.25">
      <c r="A91" s="101"/>
      <c r="B91" s="104"/>
      <c r="C91" s="270"/>
      <c r="D91" s="105"/>
      <c r="E91" s="110"/>
      <c r="F91" s="110"/>
      <c r="G91" s="110"/>
      <c r="H91" s="110"/>
      <c r="I91" s="110"/>
      <c r="J91" s="110"/>
      <c r="K91" s="110"/>
      <c r="L91" s="110"/>
      <c r="M91" s="110"/>
      <c r="N91" s="110"/>
      <c r="O91" s="110"/>
      <c r="P91" s="110"/>
      <c r="Q91" s="110"/>
      <c r="R91" s="110"/>
      <c r="S91" s="110"/>
      <c r="T91" s="110"/>
      <c r="U91" s="263"/>
      <c r="V91" s="108">
        <f t="shared" si="4"/>
        <v>0</v>
      </c>
      <c r="W91" s="108">
        <f>AN_TME_PY[[#This Row],[TOTAL Non-Truncated Unadjusted Claims Expenses]]-AN_TME_PY[[#This Row],[Total Claims Excluded because of Truncation]]</f>
        <v>0</v>
      </c>
      <c r="X91" s="108">
        <f t="shared" si="5"/>
        <v>0</v>
      </c>
      <c r="Y91" s="108">
        <f>AN_TME_PY[[#This Row],[TOTAL Non-Truncated Unadjusted Claims Expenses]]+AN_TME_PY[[#This Row],[TOTAL Non-Claims Expenses]]</f>
        <v>0</v>
      </c>
      <c r="Z91" s="108">
        <f>AN_TME_PY[[#This Row],[TOTAL Truncated Unadjusted Claims Expenses (A21 -A19)]]+AN_TME_PY[[#This Row],[TOTAL Non-Claims Expenses]]</f>
        <v>0</v>
      </c>
      <c r="AA91" s="235">
        <f>IFERROR(AN_TME_PY[[#This Row],[TOTAL Non-Truncated Unadjusted Expenses (A21 + A23)]]/AN_TME_PY[[#This Row],[Member Months]],0)</f>
        <v>0</v>
      </c>
      <c r="AB91" s="272">
        <f>IFERROR(AN_TME_PY[[#This Row],[TOTAL Truncated Unadjusted Expenses (A22 + A23)]]/AN_TME_PY[[#This Row],[Member Months]],0)</f>
        <v>0</v>
      </c>
      <c r="AC91" s="237">
        <f>IFERROR(AN_TME_PY[[#This Row],[Total Claims Excluded because of Truncation]]/AN_TME_PY[[#This Row],[Count of Members with Claims Truncated]], 0)</f>
        <v>0</v>
      </c>
      <c r="AD91" s="238">
        <f>IFERROR(AN_TME_PY[[#This Row],[Total Claims Excluded because of Truncation]]/AN_TME_PY[[#This Row],[TOTAL Non-Truncated Unadjusted Claims Expenses]], 0)</f>
        <v>0</v>
      </c>
    </row>
    <row r="92" spans="1:30" x14ac:dyDescent="0.25">
      <c r="A92" s="101"/>
      <c r="B92" s="104"/>
      <c r="C92" s="267"/>
      <c r="D92" s="105"/>
      <c r="E92" s="110"/>
      <c r="F92" s="110"/>
      <c r="G92" s="110"/>
      <c r="H92" s="110"/>
      <c r="I92" s="110"/>
      <c r="J92" s="110"/>
      <c r="K92" s="110"/>
      <c r="L92" s="110"/>
      <c r="M92" s="110"/>
      <c r="N92" s="110"/>
      <c r="O92" s="110"/>
      <c r="P92" s="110"/>
      <c r="Q92" s="110"/>
      <c r="R92" s="110"/>
      <c r="S92" s="110"/>
      <c r="T92" s="110"/>
      <c r="U92" s="263"/>
      <c r="V92" s="108">
        <f t="shared" si="4"/>
        <v>0</v>
      </c>
      <c r="W92" s="108">
        <f>AN_TME_PY[[#This Row],[TOTAL Non-Truncated Unadjusted Claims Expenses]]-AN_TME_PY[[#This Row],[Total Claims Excluded because of Truncation]]</f>
        <v>0</v>
      </c>
      <c r="X92" s="108">
        <f t="shared" si="5"/>
        <v>0</v>
      </c>
      <c r="Y92" s="108">
        <f>AN_TME_PY[[#This Row],[TOTAL Non-Truncated Unadjusted Claims Expenses]]+AN_TME_PY[[#This Row],[TOTAL Non-Claims Expenses]]</f>
        <v>0</v>
      </c>
      <c r="Z92" s="108">
        <f>AN_TME_PY[[#This Row],[TOTAL Truncated Unadjusted Claims Expenses (A21 -A19)]]+AN_TME_PY[[#This Row],[TOTAL Non-Claims Expenses]]</f>
        <v>0</v>
      </c>
      <c r="AA92" s="235">
        <f>IFERROR(AN_TME_PY[[#This Row],[TOTAL Non-Truncated Unadjusted Expenses (A21 + A23)]]/AN_TME_PY[[#This Row],[Member Months]],0)</f>
        <v>0</v>
      </c>
      <c r="AB92" s="272">
        <f>IFERROR(AN_TME_PY[[#This Row],[TOTAL Truncated Unadjusted Expenses (A22 + A23)]]/AN_TME_PY[[#This Row],[Member Months]],0)</f>
        <v>0</v>
      </c>
      <c r="AC92" s="237">
        <f>IFERROR(AN_TME_PY[[#This Row],[Total Claims Excluded because of Truncation]]/AN_TME_PY[[#This Row],[Count of Members with Claims Truncated]], 0)</f>
        <v>0</v>
      </c>
      <c r="AD92" s="238">
        <f>IFERROR(AN_TME_PY[[#This Row],[Total Claims Excluded because of Truncation]]/AN_TME_PY[[#This Row],[TOTAL Non-Truncated Unadjusted Claims Expenses]], 0)</f>
        <v>0</v>
      </c>
    </row>
    <row r="93" spans="1:30" x14ac:dyDescent="0.25">
      <c r="A93" s="101"/>
      <c r="B93" s="104"/>
      <c r="C93" s="270"/>
      <c r="D93" s="105"/>
      <c r="E93" s="110"/>
      <c r="F93" s="110"/>
      <c r="G93" s="110"/>
      <c r="H93" s="110"/>
      <c r="I93" s="110"/>
      <c r="J93" s="110"/>
      <c r="K93" s="110"/>
      <c r="L93" s="110"/>
      <c r="M93" s="110"/>
      <c r="N93" s="110"/>
      <c r="O93" s="110"/>
      <c r="P93" s="110"/>
      <c r="Q93" s="110"/>
      <c r="R93" s="110"/>
      <c r="S93" s="110"/>
      <c r="T93" s="110"/>
      <c r="U93" s="263"/>
      <c r="V93" s="108">
        <f t="shared" si="4"/>
        <v>0</v>
      </c>
      <c r="W93" s="108">
        <f>AN_TME_PY[[#This Row],[TOTAL Non-Truncated Unadjusted Claims Expenses]]-AN_TME_PY[[#This Row],[Total Claims Excluded because of Truncation]]</f>
        <v>0</v>
      </c>
      <c r="X93" s="108">
        <f t="shared" si="5"/>
        <v>0</v>
      </c>
      <c r="Y93" s="108">
        <f>AN_TME_PY[[#This Row],[TOTAL Non-Truncated Unadjusted Claims Expenses]]+AN_TME_PY[[#This Row],[TOTAL Non-Claims Expenses]]</f>
        <v>0</v>
      </c>
      <c r="Z93" s="108">
        <f>AN_TME_PY[[#This Row],[TOTAL Truncated Unadjusted Claims Expenses (A21 -A19)]]+AN_TME_PY[[#This Row],[TOTAL Non-Claims Expenses]]</f>
        <v>0</v>
      </c>
      <c r="AA93" s="235">
        <f>IFERROR(AN_TME_PY[[#This Row],[TOTAL Non-Truncated Unadjusted Expenses (A21 + A23)]]/AN_TME_PY[[#This Row],[Member Months]],0)</f>
        <v>0</v>
      </c>
      <c r="AB93" s="272">
        <f>IFERROR(AN_TME_PY[[#This Row],[TOTAL Truncated Unadjusted Expenses (A22 + A23)]]/AN_TME_PY[[#This Row],[Member Months]],0)</f>
        <v>0</v>
      </c>
      <c r="AC93" s="237">
        <f>IFERROR(AN_TME_PY[[#This Row],[Total Claims Excluded because of Truncation]]/AN_TME_PY[[#This Row],[Count of Members with Claims Truncated]], 0)</f>
        <v>0</v>
      </c>
      <c r="AD93" s="238">
        <f>IFERROR(AN_TME_PY[[#This Row],[Total Claims Excluded because of Truncation]]/AN_TME_PY[[#This Row],[TOTAL Non-Truncated Unadjusted Claims Expenses]], 0)</f>
        <v>0</v>
      </c>
    </row>
    <row r="94" spans="1:30" x14ac:dyDescent="0.25">
      <c r="A94" s="101"/>
      <c r="B94" s="104"/>
      <c r="C94" s="267"/>
      <c r="D94" s="105"/>
      <c r="E94" s="110"/>
      <c r="F94" s="110"/>
      <c r="G94" s="110"/>
      <c r="H94" s="110"/>
      <c r="I94" s="110"/>
      <c r="J94" s="110"/>
      <c r="K94" s="110"/>
      <c r="L94" s="110"/>
      <c r="M94" s="110"/>
      <c r="N94" s="110"/>
      <c r="O94" s="110"/>
      <c r="P94" s="110"/>
      <c r="Q94" s="110"/>
      <c r="R94" s="110"/>
      <c r="S94" s="110"/>
      <c r="T94" s="110"/>
      <c r="U94" s="263"/>
      <c r="V94" s="108">
        <f t="shared" si="4"/>
        <v>0</v>
      </c>
      <c r="W94" s="108">
        <f>AN_TME_PY[[#This Row],[TOTAL Non-Truncated Unadjusted Claims Expenses]]-AN_TME_PY[[#This Row],[Total Claims Excluded because of Truncation]]</f>
        <v>0</v>
      </c>
      <c r="X94" s="108">
        <f t="shared" si="5"/>
        <v>0</v>
      </c>
      <c r="Y94" s="108">
        <f>AN_TME_PY[[#This Row],[TOTAL Non-Truncated Unadjusted Claims Expenses]]+AN_TME_PY[[#This Row],[TOTAL Non-Claims Expenses]]</f>
        <v>0</v>
      </c>
      <c r="Z94" s="108">
        <f>AN_TME_PY[[#This Row],[TOTAL Truncated Unadjusted Claims Expenses (A21 -A19)]]+AN_TME_PY[[#This Row],[TOTAL Non-Claims Expenses]]</f>
        <v>0</v>
      </c>
      <c r="AA94" s="235">
        <f>IFERROR(AN_TME_PY[[#This Row],[TOTAL Non-Truncated Unadjusted Expenses (A21 + A23)]]/AN_TME_PY[[#This Row],[Member Months]],0)</f>
        <v>0</v>
      </c>
      <c r="AB94" s="272">
        <f>IFERROR(AN_TME_PY[[#This Row],[TOTAL Truncated Unadjusted Expenses (A22 + A23)]]/AN_TME_PY[[#This Row],[Member Months]],0)</f>
        <v>0</v>
      </c>
      <c r="AC94" s="237">
        <f>IFERROR(AN_TME_PY[[#This Row],[Total Claims Excluded because of Truncation]]/AN_TME_PY[[#This Row],[Count of Members with Claims Truncated]], 0)</f>
        <v>0</v>
      </c>
      <c r="AD94" s="238">
        <f>IFERROR(AN_TME_PY[[#This Row],[Total Claims Excluded because of Truncation]]/AN_TME_PY[[#This Row],[TOTAL Non-Truncated Unadjusted Claims Expenses]], 0)</f>
        <v>0</v>
      </c>
    </row>
    <row r="95" spans="1:30" x14ac:dyDescent="0.25">
      <c r="A95" s="101"/>
      <c r="B95" s="104"/>
      <c r="C95" s="270"/>
      <c r="D95" s="105"/>
      <c r="E95" s="110"/>
      <c r="F95" s="110"/>
      <c r="G95" s="110"/>
      <c r="H95" s="110"/>
      <c r="I95" s="110"/>
      <c r="J95" s="110"/>
      <c r="K95" s="110"/>
      <c r="L95" s="110"/>
      <c r="M95" s="110"/>
      <c r="N95" s="110"/>
      <c r="O95" s="110"/>
      <c r="P95" s="110"/>
      <c r="Q95" s="110"/>
      <c r="R95" s="110"/>
      <c r="S95" s="110"/>
      <c r="T95" s="110"/>
      <c r="U95" s="263"/>
      <c r="V95" s="108">
        <f t="shared" si="4"/>
        <v>0</v>
      </c>
      <c r="W95" s="108">
        <f>AN_TME_PY[[#This Row],[TOTAL Non-Truncated Unadjusted Claims Expenses]]-AN_TME_PY[[#This Row],[Total Claims Excluded because of Truncation]]</f>
        <v>0</v>
      </c>
      <c r="X95" s="108">
        <f t="shared" si="5"/>
        <v>0</v>
      </c>
      <c r="Y95" s="108">
        <f>AN_TME_PY[[#This Row],[TOTAL Non-Truncated Unadjusted Claims Expenses]]+AN_TME_PY[[#This Row],[TOTAL Non-Claims Expenses]]</f>
        <v>0</v>
      </c>
      <c r="Z95" s="108">
        <f>AN_TME_PY[[#This Row],[TOTAL Truncated Unadjusted Claims Expenses (A21 -A19)]]+AN_TME_PY[[#This Row],[TOTAL Non-Claims Expenses]]</f>
        <v>0</v>
      </c>
      <c r="AA95" s="235">
        <f>IFERROR(AN_TME_PY[[#This Row],[TOTAL Non-Truncated Unadjusted Expenses (A21 + A23)]]/AN_TME_PY[[#This Row],[Member Months]],0)</f>
        <v>0</v>
      </c>
      <c r="AB95" s="272">
        <f>IFERROR(AN_TME_PY[[#This Row],[TOTAL Truncated Unadjusted Expenses (A22 + A23)]]/AN_TME_PY[[#This Row],[Member Months]],0)</f>
        <v>0</v>
      </c>
      <c r="AC95" s="237">
        <f>IFERROR(AN_TME_PY[[#This Row],[Total Claims Excluded because of Truncation]]/AN_TME_PY[[#This Row],[Count of Members with Claims Truncated]], 0)</f>
        <v>0</v>
      </c>
      <c r="AD95" s="238">
        <f>IFERROR(AN_TME_PY[[#This Row],[Total Claims Excluded because of Truncation]]/AN_TME_PY[[#This Row],[TOTAL Non-Truncated Unadjusted Claims Expenses]], 0)</f>
        <v>0</v>
      </c>
    </row>
    <row r="96" spans="1:30" x14ac:dyDescent="0.25">
      <c r="A96" s="101"/>
      <c r="B96" s="104"/>
      <c r="C96" s="267"/>
      <c r="D96" s="105"/>
      <c r="E96" s="110"/>
      <c r="F96" s="110"/>
      <c r="G96" s="110"/>
      <c r="H96" s="110"/>
      <c r="I96" s="110"/>
      <c r="J96" s="110"/>
      <c r="K96" s="110"/>
      <c r="L96" s="110"/>
      <c r="M96" s="110"/>
      <c r="N96" s="110"/>
      <c r="O96" s="110"/>
      <c r="P96" s="110"/>
      <c r="Q96" s="110"/>
      <c r="R96" s="110"/>
      <c r="S96" s="110"/>
      <c r="T96" s="110"/>
      <c r="U96" s="263"/>
      <c r="V96" s="108">
        <f t="shared" si="4"/>
        <v>0</v>
      </c>
      <c r="W96" s="108">
        <f>AN_TME_PY[[#This Row],[TOTAL Non-Truncated Unadjusted Claims Expenses]]-AN_TME_PY[[#This Row],[Total Claims Excluded because of Truncation]]</f>
        <v>0</v>
      </c>
      <c r="X96" s="108">
        <f t="shared" si="5"/>
        <v>0</v>
      </c>
      <c r="Y96" s="108">
        <f>AN_TME_PY[[#This Row],[TOTAL Non-Truncated Unadjusted Claims Expenses]]+AN_TME_PY[[#This Row],[TOTAL Non-Claims Expenses]]</f>
        <v>0</v>
      </c>
      <c r="Z96" s="108">
        <f>AN_TME_PY[[#This Row],[TOTAL Truncated Unadjusted Claims Expenses (A21 -A19)]]+AN_TME_PY[[#This Row],[TOTAL Non-Claims Expenses]]</f>
        <v>0</v>
      </c>
      <c r="AA96" s="235">
        <f>IFERROR(AN_TME_PY[[#This Row],[TOTAL Non-Truncated Unadjusted Expenses (A21 + A23)]]/AN_TME_PY[[#This Row],[Member Months]],0)</f>
        <v>0</v>
      </c>
      <c r="AB96" s="272">
        <f>IFERROR(AN_TME_PY[[#This Row],[TOTAL Truncated Unadjusted Expenses (A22 + A23)]]/AN_TME_PY[[#This Row],[Member Months]],0)</f>
        <v>0</v>
      </c>
      <c r="AC96" s="237">
        <f>IFERROR(AN_TME_PY[[#This Row],[Total Claims Excluded because of Truncation]]/AN_TME_PY[[#This Row],[Count of Members with Claims Truncated]], 0)</f>
        <v>0</v>
      </c>
      <c r="AD96" s="238">
        <f>IFERROR(AN_TME_PY[[#This Row],[Total Claims Excluded because of Truncation]]/AN_TME_PY[[#This Row],[TOTAL Non-Truncated Unadjusted Claims Expenses]], 0)</f>
        <v>0</v>
      </c>
    </row>
    <row r="97" spans="1:30" x14ac:dyDescent="0.25">
      <c r="A97" s="101"/>
      <c r="B97" s="104"/>
      <c r="C97" s="270"/>
      <c r="D97" s="105"/>
      <c r="E97" s="110"/>
      <c r="F97" s="110"/>
      <c r="G97" s="110"/>
      <c r="H97" s="110"/>
      <c r="I97" s="110"/>
      <c r="J97" s="110"/>
      <c r="K97" s="110"/>
      <c r="L97" s="110"/>
      <c r="M97" s="110"/>
      <c r="N97" s="110"/>
      <c r="O97" s="110"/>
      <c r="P97" s="110"/>
      <c r="Q97" s="110"/>
      <c r="R97" s="110"/>
      <c r="S97" s="110"/>
      <c r="T97" s="110"/>
      <c r="U97" s="263"/>
      <c r="V97" s="108">
        <f t="shared" si="4"/>
        <v>0</v>
      </c>
      <c r="W97" s="108">
        <f>AN_TME_PY[[#This Row],[TOTAL Non-Truncated Unadjusted Claims Expenses]]-AN_TME_PY[[#This Row],[Total Claims Excluded because of Truncation]]</f>
        <v>0</v>
      </c>
      <c r="X97" s="108">
        <f t="shared" si="5"/>
        <v>0</v>
      </c>
      <c r="Y97" s="108">
        <f>AN_TME_PY[[#This Row],[TOTAL Non-Truncated Unadjusted Claims Expenses]]+AN_TME_PY[[#This Row],[TOTAL Non-Claims Expenses]]</f>
        <v>0</v>
      </c>
      <c r="Z97" s="108">
        <f>AN_TME_PY[[#This Row],[TOTAL Truncated Unadjusted Claims Expenses (A21 -A19)]]+AN_TME_PY[[#This Row],[TOTAL Non-Claims Expenses]]</f>
        <v>0</v>
      </c>
      <c r="AA97" s="235">
        <f>IFERROR(AN_TME_PY[[#This Row],[TOTAL Non-Truncated Unadjusted Expenses (A21 + A23)]]/AN_TME_PY[[#This Row],[Member Months]],0)</f>
        <v>0</v>
      </c>
      <c r="AB97" s="272">
        <f>IFERROR(AN_TME_PY[[#This Row],[TOTAL Truncated Unadjusted Expenses (A22 + A23)]]/AN_TME_PY[[#This Row],[Member Months]],0)</f>
        <v>0</v>
      </c>
      <c r="AC97" s="237">
        <f>IFERROR(AN_TME_PY[[#This Row],[Total Claims Excluded because of Truncation]]/AN_TME_PY[[#This Row],[Count of Members with Claims Truncated]], 0)</f>
        <v>0</v>
      </c>
      <c r="AD97" s="238">
        <f>IFERROR(AN_TME_PY[[#This Row],[Total Claims Excluded because of Truncation]]/AN_TME_PY[[#This Row],[TOTAL Non-Truncated Unadjusted Claims Expenses]], 0)</f>
        <v>0</v>
      </c>
    </row>
    <row r="98" spans="1:30" x14ac:dyDescent="0.25">
      <c r="A98" s="101"/>
      <c r="B98" s="104"/>
      <c r="C98" s="267"/>
      <c r="D98" s="105"/>
      <c r="E98" s="110"/>
      <c r="F98" s="110"/>
      <c r="G98" s="110"/>
      <c r="H98" s="110"/>
      <c r="I98" s="110"/>
      <c r="J98" s="110"/>
      <c r="K98" s="110"/>
      <c r="L98" s="110"/>
      <c r="M98" s="110"/>
      <c r="N98" s="110"/>
      <c r="O98" s="110"/>
      <c r="P98" s="110"/>
      <c r="Q98" s="110"/>
      <c r="R98" s="110"/>
      <c r="S98" s="110"/>
      <c r="T98" s="110"/>
      <c r="U98" s="263"/>
      <c r="V98" s="108">
        <f t="shared" si="4"/>
        <v>0</v>
      </c>
      <c r="W98" s="108">
        <f>AN_TME_PY[[#This Row],[TOTAL Non-Truncated Unadjusted Claims Expenses]]-AN_TME_PY[[#This Row],[Total Claims Excluded because of Truncation]]</f>
        <v>0</v>
      </c>
      <c r="X98" s="108">
        <f t="shared" si="5"/>
        <v>0</v>
      </c>
      <c r="Y98" s="108">
        <f>AN_TME_PY[[#This Row],[TOTAL Non-Truncated Unadjusted Claims Expenses]]+AN_TME_PY[[#This Row],[TOTAL Non-Claims Expenses]]</f>
        <v>0</v>
      </c>
      <c r="Z98" s="108">
        <f>AN_TME_PY[[#This Row],[TOTAL Truncated Unadjusted Claims Expenses (A21 -A19)]]+AN_TME_PY[[#This Row],[TOTAL Non-Claims Expenses]]</f>
        <v>0</v>
      </c>
      <c r="AA98" s="235">
        <f>IFERROR(AN_TME_PY[[#This Row],[TOTAL Non-Truncated Unadjusted Expenses (A21 + A23)]]/AN_TME_PY[[#This Row],[Member Months]],0)</f>
        <v>0</v>
      </c>
      <c r="AB98" s="272">
        <f>IFERROR(AN_TME_PY[[#This Row],[TOTAL Truncated Unadjusted Expenses (A22 + A23)]]/AN_TME_PY[[#This Row],[Member Months]],0)</f>
        <v>0</v>
      </c>
      <c r="AC98" s="237">
        <f>IFERROR(AN_TME_PY[[#This Row],[Total Claims Excluded because of Truncation]]/AN_TME_PY[[#This Row],[Count of Members with Claims Truncated]], 0)</f>
        <v>0</v>
      </c>
      <c r="AD98" s="238">
        <f>IFERROR(AN_TME_PY[[#This Row],[Total Claims Excluded because of Truncation]]/AN_TME_PY[[#This Row],[TOTAL Non-Truncated Unadjusted Claims Expenses]], 0)</f>
        <v>0</v>
      </c>
    </row>
    <row r="99" spans="1:30" x14ac:dyDescent="0.25">
      <c r="A99" s="101"/>
      <c r="B99" s="104"/>
      <c r="C99" s="270"/>
      <c r="D99" s="105"/>
      <c r="E99" s="110"/>
      <c r="F99" s="110"/>
      <c r="G99" s="110"/>
      <c r="H99" s="110"/>
      <c r="I99" s="110"/>
      <c r="J99" s="110"/>
      <c r="K99" s="110"/>
      <c r="L99" s="110"/>
      <c r="M99" s="110"/>
      <c r="N99" s="110"/>
      <c r="O99" s="110"/>
      <c r="P99" s="110"/>
      <c r="Q99" s="110"/>
      <c r="R99" s="110"/>
      <c r="S99" s="110"/>
      <c r="T99" s="110"/>
      <c r="U99" s="263"/>
      <c r="V99" s="108">
        <f t="shared" si="4"/>
        <v>0</v>
      </c>
      <c r="W99" s="108">
        <f>AN_TME_PY[[#This Row],[TOTAL Non-Truncated Unadjusted Claims Expenses]]-AN_TME_PY[[#This Row],[Total Claims Excluded because of Truncation]]</f>
        <v>0</v>
      </c>
      <c r="X99" s="108">
        <f t="shared" si="5"/>
        <v>0</v>
      </c>
      <c r="Y99" s="108">
        <f>AN_TME_PY[[#This Row],[TOTAL Non-Truncated Unadjusted Claims Expenses]]+AN_TME_PY[[#This Row],[TOTAL Non-Claims Expenses]]</f>
        <v>0</v>
      </c>
      <c r="Z99" s="108">
        <f>AN_TME_PY[[#This Row],[TOTAL Truncated Unadjusted Claims Expenses (A21 -A19)]]+AN_TME_PY[[#This Row],[TOTAL Non-Claims Expenses]]</f>
        <v>0</v>
      </c>
      <c r="AA99" s="235">
        <f>IFERROR(AN_TME_PY[[#This Row],[TOTAL Non-Truncated Unadjusted Expenses (A21 + A23)]]/AN_TME_PY[[#This Row],[Member Months]],0)</f>
        <v>0</v>
      </c>
      <c r="AB99" s="272">
        <f>IFERROR(AN_TME_PY[[#This Row],[TOTAL Truncated Unadjusted Expenses (A22 + A23)]]/AN_TME_PY[[#This Row],[Member Months]],0)</f>
        <v>0</v>
      </c>
      <c r="AC99" s="237">
        <f>IFERROR(AN_TME_PY[[#This Row],[Total Claims Excluded because of Truncation]]/AN_TME_PY[[#This Row],[Count of Members with Claims Truncated]], 0)</f>
        <v>0</v>
      </c>
      <c r="AD99" s="238">
        <f>IFERROR(AN_TME_PY[[#This Row],[Total Claims Excluded because of Truncation]]/AN_TME_PY[[#This Row],[TOTAL Non-Truncated Unadjusted Claims Expenses]], 0)</f>
        <v>0</v>
      </c>
    </row>
    <row r="100" spans="1:30" x14ac:dyDescent="0.25">
      <c r="A100" s="101"/>
      <c r="B100" s="104"/>
      <c r="C100" s="267"/>
      <c r="D100" s="105"/>
      <c r="E100" s="110"/>
      <c r="F100" s="110"/>
      <c r="G100" s="110"/>
      <c r="H100" s="110"/>
      <c r="I100" s="110"/>
      <c r="J100" s="110"/>
      <c r="K100" s="110"/>
      <c r="L100" s="110"/>
      <c r="M100" s="110"/>
      <c r="N100" s="110"/>
      <c r="O100" s="110"/>
      <c r="P100" s="110"/>
      <c r="Q100" s="110"/>
      <c r="R100" s="110"/>
      <c r="S100" s="110"/>
      <c r="T100" s="110"/>
      <c r="U100" s="263"/>
      <c r="V100" s="108">
        <f t="shared" si="4"/>
        <v>0</v>
      </c>
      <c r="W100" s="108">
        <f>AN_TME_PY[[#This Row],[TOTAL Non-Truncated Unadjusted Claims Expenses]]-AN_TME_PY[[#This Row],[Total Claims Excluded because of Truncation]]</f>
        <v>0</v>
      </c>
      <c r="X100" s="108">
        <f t="shared" si="5"/>
        <v>0</v>
      </c>
      <c r="Y100" s="108">
        <f>AN_TME_PY[[#This Row],[TOTAL Non-Truncated Unadjusted Claims Expenses]]+AN_TME_PY[[#This Row],[TOTAL Non-Claims Expenses]]</f>
        <v>0</v>
      </c>
      <c r="Z100" s="108">
        <f>AN_TME_PY[[#This Row],[TOTAL Truncated Unadjusted Claims Expenses (A21 -A19)]]+AN_TME_PY[[#This Row],[TOTAL Non-Claims Expenses]]</f>
        <v>0</v>
      </c>
      <c r="AA100" s="235">
        <f>IFERROR(AN_TME_PY[[#This Row],[TOTAL Non-Truncated Unadjusted Expenses (A21 + A23)]]/AN_TME_PY[[#This Row],[Member Months]],0)</f>
        <v>0</v>
      </c>
      <c r="AB100" s="272">
        <f>IFERROR(AN_TME_PY[[#This Row],[TOTAL Truncated Unadjusted Expenses (A22 + A23)]]/AN_TME_PY[[#This Row],[Member Months]],0)</f>
        <v>0</v>
      </c>
      <c r="AC100" s="237">
        <f>IFERROR(AN_TME_PY[[#This Row],[Total Claims Excluded because of Truncation]]/AN_TME_PY[[#This Row],[Count of Members with Claims Truncated]], 0)</f>
        <v>0</v>
      </c>
      <c r="AD100" s="238">
        <f>IFERROR(AN_TME_PY[[#This Row],[Total Claims Excluded because of Truncation]]/AN_TME_PY[[#This Row],[TOTAL Non-Truncated Unadjusted Claims Expenses]], 0)</f>
        <v>0</v>
      </c>
    </row>
    <row r="101" spans="1:30" x14ac:dyDescent="0.25">
      <c r="A101" s="101"/>
      <c r="B101" s="104"/>
      <c r="C101" s="270"/>
      <c r="D101" s="105"/>
      <c r="E101" s="110"/>
      <c r="F101" s="110"/>
      <c r="G101" s="110"/>
      <c r="H101" s="110"/>
      <c r="I101" s="110"/>
      <c r="J101" s="110"/>
      <c r="K101" s="110"/>
      <c r="L101" s="110"/>
      <c r="M101" s="110"/>
      <c r="N101" s="110"/>
      <c r="O101" s="110"/>
      <c r="P101" s="110"/>
      <c r="Q101" s="110"/>
      <c r="R101" s="110"/>
      <c r="S101" s="110"/>
      <c r="T101" s="110"/>
      <c r="U101" s="263"/>
      <c r="V101" s="108">
        <f t="shared" si="4"/>
        <v>0</v>
      </c>
      <c r="W101" s="108">
        <f>AN_TME_PY[[#This Row],[TOTAL Non-Truncated Unadjusted Claims Expenses]]-AN_TME_PY[[#This Row],[Total Claims Excluded because of Truncation]]</f>
        <v>0</v>
      </c>
      <c r="X101" s="108">
        <f t="shared" si="5"/>
        <v>0</v>
      </c>
      <c r="Y101" s="108">
        <f>AN_TME_PY[[#This Row],[TOTAL Non-Truncated Unadjusted Claims Expenses]]+AN_TME_PY[[#This Row],[TOTAL Non-Claims Expenses]]</f>
        <v>0</v>
      </c>
      <c r="Z101" s="108">
        <f>AN_TME_PY[[#This Row],[TOTAL Truncated Unadjusted Claims Expenses (A21 -A19)]]+AN_TME_PY[[#This Row],[TOTAL Non-Claims Expenses]]</f>
        <v>0</v>
      </c>
      <c r="AA101" s="235">
        <f>IFERROR(AN_TME_PY[[#This Row],[TOTAL Non-Truncated Unadjusted Expenses (A21 + A23)]]/AN_TME_PY[[#This Row],[Member Months]],0)</f>
        <v>0</v>
      </c>
      <c r="AB101" s="272">
        <f>IFERROR(AN_TME_PY[[#This Row],[TOTAL Truncated Unadjusted Expenses (A22 + A23)]]/AN_TME_PY[[#This Row],[Member Months]],0)</f>
        <v>0</v>
      </c>
      <c r="AC101" s="237">
        <f>IFERROR(AN_TME_PY[[#This Row],[Total Claims Excluded because of Truncation]]/AN_TME_PY[[#This Row],[Count of Members with Claims Truncated]], 0)</f>
        <v>0</v>
      </c>
      <c r="AD101" s="238">
        <f>IFERROR(AN_TME_PY[[#This Row],[Total Claims Excluded because of Truncation]]/AN_TME_PY[[#This Row],[TOTAL Non-Truncated Unadjusted Claims Expenses]], 0)</f>
        <v>0</v>
      </c>
    </row>
    <row r="102" spans="1:30" x14ac:dyDescent="0.25">
      <c r="A102" s="101"/>
      <c r="B102" s="104"/>
      <c r="C102" s="267"/>
      <c r="D102" s="105"/>
      <c r="E102" s="110"/>
      <c r="F102" s="110"/>
      <c r="G102" s="110"/>
      <c r="H102" s="110"/>
      <c r="I102" s="110"/>
      <c r="J102" s="110"/>
      <c r="K102" s="110"/>
      <c r="L102" s="110"/>
      <c r="M102" s="110"/>
      <c r="N102" s="110"/>
      <c r="O102" s="110"/>
      <c r="P102" s="110"/>
      <c r="Q102" s="110"/>
      <c r="R102" s="110"/>
      <c r="S102" s="110"/>
      <c r="T102" s="110"/>
      <c r="U102" s="263"/>
      <c r="V102" s="108">
        <f t="shared" si="4"/>
        <v>0</v>
      </c>
      <c r="W102" s="108">
        <f>AN_TME_PY[[#This Row],[TOTAL Non-Truncated Unadjusted Claims Expenses]]-AN_TME_PY[[#This Row],[Total Claims Excluded because of Truncation]]</f>
        <v>0</v>
      </c>
      <c r="X102" s="108">
        <f t="shared" si="5"/>
        <v>0</v>
      </c>
      <c r="Y102" s="108">
        <f>AN_TME_PY[[#This Row],[TOTAL Non-Truncated Unadjusted Claims Expenses]]+AN_TME_PY[[#This Row],[TOTAL Non-Claims Expenses]]</f>
        <v>0</v>
      </c>
      <c r="Z102" s="108">
        <f>AN_TME_PY[[#This Row],[TOTAL Truncated Unadjusted Claims Expenses (A21 -A19)]]+AN_TME_PY[[#This Row],[TOTAL Non-Claims Expenses]]</f>
        <v>0</v>
      </c>
      <c r="AA102" s="235">
        <f>IFERROR(AN_TME_PY[[#This Row],[TOTAL Non-Truncated Unadjusted Expenses (A21 + A23)]]/AN_TME_PY[[#This Row],[Member Months]],0)</f>
        <v>0</v>
      </c>
      <c r="AB102" s="272">
        <f>IFERROR(AN_TME_PY[[#This Row],[TOTAL Truncated Unadjusted Expenses (A22 + A23)]]/AN_TME_PY[[#This Row],[Member Months]],0)</f>
        <v>0</v>
      </c>
      <c r="AC102" s="237">
        <f>IFERROR(AN_TME_PY[[#This Row],[Total Claims Excluded because of Truncation]]/AN_TME_PY[[#This Row],[Count of Members with Claims Truncated]], 0)</f>
        <v>0</v>
      </c>
      <c r="AD102" s="238">
        <f>IFERROR(AN_TME_PY[[#This Row],[Total Claims Excluded because of Truncation]]/AN_TME_PY[[#This Row],[TOTAL Non-Truncated Unadjusted Claims Expenses]], 0)</f>
        <v>0</v>
      </c>
    </row>
    <row r="103" spans="1:30" x14ac:dyDescent="0.25">
      <c r="A103" s="101"/>
      <c r="B103" s="104"/>
      <c r="C103" s="270"/>
      <c r="D103" s="105"/>
      <c r="E103" s="110"/>
      <c r="F103" s="110"/>
      <c r="G103" s="110"/>
      <c r="H103" s="110"/>
      <c r="I103" s="110"/>
      <c r="J103" s="110"/>
      <c r="K103" s="110"/>
      <c r="L103" s="110"/>
      <c r="M103" s="110"/>
      <c r="N103" s="110"/>
      <c r="O103" s="110"/>
      <c r="P103" s="110"/>
      <c r="Q103" s="110"/>
      <c r="R103" s="110"/>
      <c r="S103" s="110"/>
      <c r="T103" s="110"/>
      <c r="U103" s="263"/>
      <c r="V103" s="108">
        <f t="shared" si="4"/>
        <v>0</v>
      </c>
      <c r="W103" s="108">
        <f>AN_TME_PY[[#This Row],[TOTAL Non-Truncated Unadjusted Claims Expenses]]-AN_TME_PY[[#This Row],[Total Claims Excluded because of Truncation]]</f>
        <v>0</v>
      </c>
      <c r="X103" s="108">
        <f t="shared" si="5"/>
        <v>0</v>
      </c>
      <c r="Y103" s="108">
        <f>AN_TME_PY[[#This Row],[TOTAL Non-Truncated Unadjusted Claims Expenses]]+AN_TME_PY[[#This Row],[TOTAL Non-Claims Expenses]]</f>
        <v>0</v>
      </c>
      <c r="Z103" s="108">
        <f>AN_TME_PY[[#This Row],[TOTAL Truncated Unadjusted Claims Expenses (A21 -A19)]]+AN_TME_PY[[#This Row],[TOTAL Non-Claims Expenses]]</f>
        <v>0</v>
      </c>
      <c r="AA103" s="235">
        <f>IFERROR(AN_TME_PY[[#This Row],[TOTAL Non-Truncated Unadjusted Expenses (A21 + A23)]]/AN_TME_PY[[#This Row],[Member Months]],0)</f>
        <v>0</v>
      </c>
      <c r="AB103" s="272">
        <f>IFERROR(AN_TME_PY[[#This Row],[TOTAL Truncated Unadjusted Expenses (A22 + A23)]]/AN_TME_PY[[#This Row],[Member Months]],0)</f>
        <v>0</v>
      </c>
      <c r="AC103" s="237">
        <f>IFERROR(AN_TME_PY[[#This Row],[Total Claims Excluded because of Truncation]]/AN_TME_PY[[#This Row],[Count of Members with Claims Truncated]], 0)</f>
        <v>0</v>
      </c>
      <c r="AD103" s="238">
        <f>IFERROR(AN_TME_PY[[#This Row],[Total Claims Excluded because of Truncation]]/AN_TME_PY[[#This Row],[TOTAL Non-Truncated Unadjusted Claims Expenses]], 0)</f>
        <v>0</v>
      </c>
    </row>
    <row r="104" spans="1:30" x14ac:dyDescent="0.25">
      <c r="A104" s="101"/>
      <c r="B104" s="104"/>
      <c r="C104" s="267"/>
      <c r="D104" s="105"/>
      <c r="E104" s="110"/>
      <c r="F104" s="110"/>
      <c r="G104" s="110"/>
      <c r="H104" s="110"/>
      <c r="I104" s="110"/>
      <c r="J104" s="110"/>
      <c r="K104" s="110"/>
      <c r="L104" s="110"/>
      <c r="M104" s="110"/>
      <c r="N104" s="110"/>
      <c r="O104" s="110"/>
      <c r="P104" s="110"/>
      <c r="Q104" s="110"/>
      <c r="R104" s="110"/>
      <c r="S104" s="110"/>
      <c r="T104" s="110"/>
      <c r="U104" s="263"/>
      <c r="V104" s="108">
        <f t="shared" si="4"/>
        <v>0</v>
      </c>
      <c r="W104" s="108">
        <f>AN_TME_PY[[#This Row],[TOTAL Non-Truncated Unadjusted Claims Expenses]]-AN_TME_PY[[#This Row],[Total Claims Excluded because of Truncation]]</f>
        <v>0</v>
      </c>
      <c r="X104" s="108">
        <f t="shared" si="5"/>
        <v>0</v>
      </c>
      <c r="Y104" s="108">
        <f>AN_TME_PY[[#This Row],[TOTAL Non-Truncated Unadjusted Claims Expenses]]+AN_TME_PY[[#This Row],[TOTAL Non-Claims Expenses]]</f>
        <v>0</v>
      </c>
      <c r="Z104" s="108">
        <f>AN_TME_PY[[#This Row],[TOTAL Truncated Unadjusted Claims Expenses (A21 -A19)]]+AN_TME_PY[[#This Row],[TOTAL Non-Claims Expenses]]</f>
        <v>0</v>
      </c>
      <c r="AA104" s="235">
        <f>IFERROR(AN_TME_PY[[#This Row],[TOTAL Non-Truncated Unadjusted Expenses (A21 + A23)]]/AN_TME_PY[[#This Row],[Member Months]],0)</f>
        <v>0</v>
      </c>
      <c r="AB104" s="272">
        <f>IFERROR(AN_TME_PY[[#This Row],[TOTAL Truncated Unadjusted Expenses (A22 + A23)]]/AN_TME_PY[[#This Row],[Member Months]],0)</f>
        <v>0</v>
      </c>
      <c r="AC104" s="237">
        <f>IFERROR(AN_TME_PY[[#This Row],[Total Claims Excluded because of Truncation]]/AN_TME_PY[[#This Row],[Count of Members with Claims Truncated]], 0)</f>
        <v>0</v>
      </c>
      <c r="AD104" s="238">
        <f>IFERROR(AN_TME_PY[[#This Row],[Total Claims Excluded because of Truncation]]/AN_TME_PY[[#This Row],[TOTAL Non-Truncated Unadjusted Claims Expenses]], 0)</f>
        <v>0</v>
      </c>
    </row>
    <row r="105" spans="1:30" x14ac:dyDescent="0.25">
      <c r="A105" s="101"/>
      <c r="B105" s="104"/>
      <c r="C105" s="270"/>
      <c r="D105" s="105"/>
      <c r="E105" s="110"/>
      <c r="F105" s="110"/>
      <c r="G105" s="110"/>
      <c r="H105" s="110"/>
      <c r="I105" s="110"/>
      <c r="J105" s="110"/>
      <c r="K105" s="110"/>
      <c r="L105" s="110"/>
      <c r="M105" s="110"/>
      <c r="N105" s="110"/>
      <c r="O105" s="110"/>
      <c r="P105" s="110"/>
      <c r="Q105" s="110"/>
      <c r="R105" s="110"/>
      <c r="S105" s="110"/>
      <c r="T105" s="110"/>
      <c r="U105" s="263"/>
      <c r="V105" s="108">
        <f t="shared" si="4"/>
        <v>0</v>
      </c>
      <c r="W105" s="108">
        <f>AN_TME_PY[[#This Row],[TOTAL Non-Truncated Unadjusted Claims Expenses]]-AN_TME_PY[[#This Row],[Total Claims Excluded because of Truncation]]</f>
        <v>0</v>
      </c>
      <c r="X105" s="108">
        <f t="shared" si="5"/>
        <v>0</v>
      </c>
      <c r="Y105" s="108">
        <f>AN_TME_PY[[#This Row],[TOTAL Non-Truncated Unadjusted Claims Expenses]]+AN_TME_PY[[#This Row],[TOTAL Non-Claims Expenses]]</f>
        <v>0</v>
      </c>
      <c r="Z105" s="108">
        <f>AN_TME_PY[[#This Row],[TOTAL Truncated Unadjusted Claims Expenses (A21 -A19)]]+AN_TME_PY[[#This Row],[TOTAL Non-Claims Expenses]]</f>
        <v>0</v>
      </c>
      <c r="AA105" s="235">
        <f>IFERROR(AN_TME_PY[[#This Row],[TOTAL Non-Truncated Unadjusted Expenses (A21 + A23)]]/AN_TME_PY[[#This Row],[Member Months]],0)</f>
        <v>0</v>
      </c>
      <c r="AB105" s="272">
        <f>IFERROR(AN_TME_PY[[#This Row],[TOTAL Truncated Unadjusted Expenses (A22 + A23)]]/AN_TME_PY[[#This Row],[Member Months]],0)</f>
        <v>0</v>
      </c>
      <c r="AC105" s="237">
        <f>IFERROR(AN_TME_PY[[#This Row],[Total Claims Excluded because of Truncation]]/AN_TME_PY[[#This Row],[Count of Members with Claims Truncated]], 0)</f>
        <v>0</v>
      </c>
      <c r="AD105" s="238">
        <f>IFERROR(AN_TME_PY[[#This Row],[Total Claims Excluded because of Truncation]]/AN_TME_PY[[#This Row],[TOTAL Non-Truncated Unadjusted Claims Expenses]], 0)</f>
        <v>0</v>
      </c>
    </row>
    <row r="106" spans="1:30" x14ac:dyDescent="0.25">
      <c r="A106" s="101"/>
      <c r="B106" s="104"/>
      <c r="C106" s="267"/>
      <c r="D106" s="105"/>
      <c r="E106" s="110"/>
      <c r="F106" s="110"/>
      <c r="G106" s="110"/>
      <c r="H106" s="110"/>
      <c r="I106" s="110"/>
      <c r="J106" s="110"/>
      <c r="K106" s="110"/>
      <c r="L106" s="110"/>
      <c r="M106" s="110"/>
      <c r="N106" s="110"/>
      <c r="O106" s="110"/>
      <c r="P106" s="110"/>
      <c r="Q106" s="110"/>
      <c r="R106" s="110"/>
      <c r="S106" s="110"/>
      <c r="T106" s="110"/>
      <c r="U106" s="263"/>
      <c r="V106" s="108">
        <f t="shared" si="4"/>
        <v>0</v>
      </c>
      <c r="W106" s="108">
        <f>AN_TME_PY[[#This Row],[TOTAL Non-Truncated Unadjusted Claims Expenses]]-AN_TME_PY[[#This Row],[Total Claims Excluded because of Truncation]]</f>
        <v>0</v>
      </c>
      <c r="X106" s="108">
        <f t="shared" si="5"/>
        <v>0</v>
      </c>
      <c r="Y106" s="108">
        <f>AN_TME_PY[[#This Row],[TOTAL Non-Truncated Unadjusted Claims Expenses]]+AN_TME_PY[[#This Row],[TOTAL Non-Claims Expenses]]</f>
        <v>0</v>
      </c>
      <c r="Z106" s="108">
        <f>AN_TME_PY[[#This Row],[TOTAL Truncated Unadjusted Claims Expenses (A21 -A19)]]+AN_TME_PY[[#This Row],[TOTAL Non-Claims Expenses]]</f>
        <v>0</v>
      </c>
      <c r="AA106" s="235">
        <f>IFERROR(AN_TME_PY[[#This Row],[TOTAL Non-Truncated Unadjusted Expenses (A21 + A23)]]/AN_TME_PY[[#This Row],[Member Months]],0)</f>
        <v>0</v>
      </c>
      <c r="AB106" s="272">
        <f>IFERROR(AN_TME_PY[[#This Row],[TOTAL Truncated Unadjusted Expenses (A22 + A23)]]/AN_TME_PY[[#This Row],[Member Months]],0)</f>
        <v>0</v>
      </c>
      <c r="AC106" s="237">
        <f>IFERROR(AN_TME_PY[[#This Row],[Total Claims Excluded because of Truncation]]/AN_TME_PY[[#This Row],[Count of Members with Claims Truncated]], 0)</f>
        <v>0</v>
      </c>
      <c r="AD106" s="238">
        <f>IFERROR(AN_TME_PY[[#This Row],[Total Claims Excluded because of Truncation]]/AN_TME_PY[[#This Row],[TOTAL Non-Truncated Unadjusted Claims Expenses]], 0)</f>
        <v>0</v>
      </c>
    </row>
    <row r="107" spans="1:30" x14ac:dyDescent="0.25">
      <c r="A107" s="101"/>
      <c r="B107" s="104"/>
      <c r="C107" s="270"/>
      <c r="D107" s="105"/>
      <c r="E107" s="110"/>
      <c r="F107" s="110"/>
      <c r="G107" s="110"/>
      <c r="H107" s="110"/>
      <c r="I107" s="110"/>
      <c r="J107" s="110"/>
      <c r="K107" s="110"/>
      <c r="L107" s="110"/>
      <c r="M107" s="110"/>
      <c r="N107" s="110"/>
      <c r="O107" s="110"/>
      <c r="P107" s="110"/>
      <c r="Q107" s="110"/>
      <c r="R107" s="110"/>
      <c r="S107" s="110"/>
      <c r="T107" s="110"/>
      <c r="U107" s="263"/>
      <c r="V107" s="108">
        <f t="shared" ref="V107:V138" si="6">SUM(E107:G107)+SUM(I107:M107)</f>
        <v>0</v>
      </c>
      <c r="W107" s="108">
        <f>AN_TME_PY[[#This Row],[TOTAL Non-Truncated Unadjusted Claims Expenses]]-AN_TME_PY[[#This Row],[Total Claims Excluded because of Truncation]]</f>
        <v>0</v>
      </c>
      <c r="X107" s="108">
        <f t="shared" ref="X107:X138" si="7">SUM(N107:R107)</f>
        <v>0</v>
      </c>
      <c r="Y107" s="108">
        <f>AN_TME_PY[[#This Row],[TOTAL Non-Truncated Unadjusted Claims Expenses]]+AN_TME_PY[[#This Row],[TOTAL Non-Claims Expenses]]</f>
        <v>0</v>
      </c>
      <c r="Z107" s="108">
        <f>AN_TME_PY[[#This Row],[TOTAL Truncated Unadjusted Claims Expenses (A21 -A19)]]+AN_TME_PY[[#This Row],[TOTAL Non-Claims Expenses]]</f>
        <v>0</v>
      </c>
      <c r="AA107" s="235">
        <f>IFERROR(AN_TME_PY[[#This Row],[TOTAL Non-Truncated Unadjusted Expenses (A21 + A23)]]/AN_TME_PY[[#This Row],[Member Months]],0)</f>
        <v>0</v>
      </c>
      <c r="AB107" s="272">
        <f>IFERROR(AN_TME_PY[[#This Row],[TOTAL Truncated Unadjusted Expenses (A22 + A23)]]/AN_TME_PY[[#This Row],[Member Months]],0)</f>
        <v>0</v>
      </c>
      <c r="AC107" s="237">
        <f>IFERROR(AN_TME_PY[[#This Row],[Total Claims Excluded because of Truncation]]/AN_TME_PY[[#This Row],[Count of Members with Claims Truncated]], 0)</f>
        <v>0</v>
      </c>
      <c r="AD107" s="238">
        <f>IFERROR(AN_TME_PY[[#This Row],[Total Claims Excluded because of Truncation]]/AN_TME_PY[[#This Row],[TOTAL Non-Truncated Unadjusted Claims Expenses]], 0)</f>
        <v>0</v>
      </c>
    </row>
    <row r="108" spans="1:30" x14ac:dyDescent="0.25">
      <c r="A108" s="101"/>
      <c r="B108" s="104"/>
      <c r="C108" s="267"/>
      <c r="D108" s="105"/>
      <c r="E108" s="110"/>
      <c r="F108" s="110"/>
      <c r="G108" s="110"/>
      <c r="H108" s="110"/>
      <c r="I108" s="110"/>
      <c r="J108" s="110"/>
      <c r="K108" s="110"/>
      <c r="L108" s="110"/>
      <c r="M108" s="110"/>
      <c r="N108" s="110"/>
      <c r="O108" s="110"/>
      <c r="P108" s="110"/>
      <c r="Q108" s="110"/>
      <c r="R108" s="110"/>
      <c r="S108" s="110"/>
      <c r="T108" s="110"/>
      <c r="U108" s="263"/>
      <c r="V108" s="108">
        <f t="shared" si="6"/>
        <v>0</v>
      </c>
      <c r="W108" s="108">
        <f>AN_TME_PY[[#This Row],[TOTAL Non-Truncated Unadjusted Claims Expenses]]-AN_TME_PY[[#This Row],[Total Claims Excluded because of Truncation]]</f>
        <v>0</v>
      </c>
      <c r="X108" s="108">
        <f t="shared" si="7"/>
        <v>0</v>
      </c>
      <c r="Y108" s="108">
        <f>AN_TME_PY[[#This Row],[TOTAL Non-Truncated Unadjusted Claims Expenses]]+AN_TME_PY[[#This Row],[TOTAL Non-Claims Expenses]]</f>
        <v>0</v>
      </c>
      <c r="Z108" s="108">
        <f>AN_TME_PY[[#This Row],[TOTAL Truncated Unadjusted Claims Expenses (A21 -A19)]]+AN_TME_PY[[#This Row],[TOTAL Non-Claims Expenses]]</f>
        <v>0</v>
      </c>
      <c r="AA108" s="235">
        <f>IFERROR(AN_TME_PY[[#This Row],[TOTAL Non-Truncated Unadjusted Expenses (A21 + A23)]]/AN_TME_PY[[#This Row],[Member Months]],0)</f>
        <v>0</v>
      </c>
      <c r="AB108" s="272">
        <f>IFERROR(AN_TME_PY[[#This Row],[TOTAL Truncated Unadjusted Expenses (A22 + A23)]]/AN_TME_PY[[#This Row],[Member Months]],0)</f>
        <v>0</v>
      </c>
      <c r="AC108" s="237">
        <f>IFERROR(AN_TME_PY[[#This Row],[Total Claims Excluded because of Truncation]]/AN_TME_PY[[#This Row],[Count of Members with Claims Truncated]], 0)</f>
        <v>0</v>
      </c>
      <c r="AD108" s="238">
        <f>IFERROR(AN_TME_PY[[#This Row],[Total Claims Excluded because of Truncation]]/AN_TME_PY[[#This Row],[TOTAL Non-Truncated Unadjusted Claims Expenses]], 0)</f>
        <v>0</v>
      </c>
    </row>
    <row r="109" spans="1:30" x14ac:dyDescent="0.25">
      <c r="A109" s="101"/>
      <c r="B109" s="104"/>
      <c r="C109" s="270"/>
      <c r="D109" s="105"/>
      <c r="E109" s="110"/>
      <c r="F109" s="110"/>
      <c r="G109" s="110"/>
      <c r="H109" s="110"/>
      <c r="I109" s="110"/>
      <c r="J109" s="110"/>
      <c r="K109" s="110"/>
      <c r="L109" s="110"/>
      <c r="M109" s="110"/>
      <c r="N109" s="110"/>
      <c r="O109" s="110"/>
      <c r="P109" s="110"/>
      <c r="Q109" s="110"/>
      <c r="R109" s="110"/>
      <c r="S109" s="110"/>
      <c r="T109" s="110"/>
      <c r="U109" s="263"/>
      <c r="V109" s="108">
        <f t="shared" si="6"/>
        <v>0</v>
      </c>
      <c r="W109" s="108">
        <f>AN_TME_PY[[#This Row],[TOTAL Non-Truncated Unadjusted Claims Expenses]]-AN_TME_PY[[#This Row],[Total Claims Excluded because of Truncation]]</f>
        <v>0</v>
      </c>
      <c r="X109" s="108">
        <f t="shared" si="7"/>
        <v>0</v>
      </c>
      <c r="Y109" s="108">
        <f>AN_TME_PY[[#This Row],[TOTAL Non-Truncated Unadjusted Claims Expenses]]+AN_TME_PY[[#This Row],[TOTAL Non-Claims Expenses]]</f>
        <v>0</v>
      </c>
      <c r="Z109" s="108">
        <f>AN_TME_PY[[#This Row],[TOTAL Truncated Unadjusted Claims Expenses (A21 -A19)]]+AN_TME_PY[[#This Row],[TOTAL Non-Claims Expenses]]</f>
        <v>0</v>
      </c>
      <c r="AA109" s="235">
        <f>IFERROR(AN_TME_PY[[#This Row],[TOTAL Non-Truncated Unadjusted Expenses (A21 + A23)]]/AN_TME_PY[[#This Row],[Member Months]],0)</f>
        <v>0</v>
      </c>
      <c r="AB109" s="272">
        <f>IFERROR(AN_TME_PY[[#This Row],[TOTAL Truncated Unadjusted Expenses (A22 + A23)]]/AN_TME_PY[[#This Row],[Member Months]],0)</f>
        <v>0</v>
      </c>
      <c r="AC109" s="237">
        <f>IFERROR(AN_TME_PY[[#This Row],[Total Claims Excluded because of Truncation]]/AN_TME_PY[[#This Row],[Count of Members with Claims Truncated]], 0)</f>
        <v>0</v>
      </c>
      <c r="AD109" s="238">
        <f>IFERROR(AN_TME_PY[[#This Row],[Total Claims Excluded because of Truncation]]/AN_TME_PY[[#This Row],[TOTAL Non-Truncated Unadjusted Claims Expenses]], 0)</f>
        <v>0</v>
      </c>
    </row>
    <row r="110" spans="1:30" x14ac:dyDescent="0.25">
      <c r="A110" s="101"/>
      <c r="B110" s="104"/>
      <c r="C110" s="267"/>
      <c r="D110" s="105"/>
      <c r="E110" s="110"/>
      <c r="F110" s="110"/>
      <c r="G110" s="110"/>
      <c r="H110" s="110"/>
      <c r="I110" s="110"/>
      <c r="J110" s="110"/>
      <c r="K110" s="110"/>
      <c r="L110" s="110"/>
      <c r="M110" s="110"/>
      <c r="N110" s="110"/>
      <c r="O110" s="110"/>
      <c r="P110" s="110"/>
      <c r="Q110" s="110"/>
      <c r="R110" s="110"/>
      <c r="S110" s="110"/>
      <c r="T110" s="110"/>
      <c r="U110" s="263"/>
      <c r="V110" s="108">
        <f t="shared" si="6"/>
        <v>0</v>
      </c>
      <c r="W110" s="108">
        <f>AN_TME_PY[[#This Row],[TOTAL Non-Truncated Unadjusted Claims Expenses]]-AN_TME_PY[[#This Row],[Total Claims Excluded because of Truncation]]</f>
        <v>0</v>
      </c>
      <c r="X110" s="108">
        <f t="shared" si="7"/>
        <v>0</v>
      </c>
      <c r="Y110" s="108">
        <f>AN_TME_PY[[#This Row],[TOTAL Non-Truncated Unadjusted Claims Expenses]]+AN_TME_PY[[#This Row],[TOTAL Non-Claims Expenses]]</f>
        <v>0</v>
      </c>
      <c r="Z110" s="108">
        <f>AN_TME_PY[[#This Row],[TOTAL Truncated Unadjusted Claims Expenses (A21 -A19)]]+AN_TME_PY[[#This Row],[TOTAL Non-Claims Expenses]]</f>
        <v>0</v>
      </c>
      <c r="AA110" s="235">
        <f>IFERROR(AN_TME_PY[[#This Row],[TOTAL Non-Truncated Unadjusted Expenses (A21 + A23)]]/AN_TME_PY[[#This Row],[Member Months]],0)</f>
        <v>0</v>
      </c>
      <c r="AB110" s="272">
        <f>IFERROR(AN_TME_PY[[#This Row],[TOTAL Truncated Unadjusted Expenses (A22 + A23)]]/AN_TME_PY[[#This Row],[Member Months]],0)</f>
        <v>0</v>
      </c>
      <c r="AC110" s="237">
        <f>IFERROR(AN_TME_PY[[#This Row],[Total Claims Excluded because of Truncation]]/AN_TME_PY[[#This Row],[Count of Members with Claims Truncated]], 0)</f>
        <v>0</v>
      </c>
      <c r="AD110" s="238">
        <f>IFERROR(AN_TME_PY[[#This Row],[Total Claims Excluded because of Truncation]]/AN_TME_PY[[#This Row],[TOTAL Non-Truncated Unadjusted Claims Expenses]], 0)</f>
        <v>0</v>
      </c>
    </row>
    <row r="111" spans="1:30" x14ac:dyDescent="0.25">
      <c r="A111" s="101"/>
      <c r="B111" s="104"/>
      <c r="C111" s="270"/>
      <c r="D111" s="105"/>
      <c r="E111" s="110"/>
      <c r="F111" s="110"/>
      <c r="G111" s="110"/>
      <c r="H111" s="110"/>
      <c r="I111" s="110"/>
      <c r="J111" s="110"/>
      <c r="K111" s="110"/>
      <c r="L111" s="110"/>
      <c r="M111" s="110"/>
      <c r="N111" s="110"/>
      <c r="O111" s="110"/>
      <c r="P111" s="110"/>
      <c r="Q111" s="110"/>
      <c r="R111" s="110"/>
      <c r="S111" s="110"/>
      <c r="T111" s="110"/>
      <c r="U111" s="263"/>
      <c r="V111" s="108">
        <f t="shared" si="6"/>
        <v>0</v>
      </c>
      <c r="W111" s="108">
        <f>AN_TME_PY[[#This Row],[TOTAL Non-Truncated Unadjusted Claims Expenses]]-AN_TME_PY[[#This Row],[Total Claims Excluded because of Truncation]]</f>
        <v>0</v>
      </c>
      <c r="X111" s="108">
        <f t="shared" si="7"/>
        <v>0</v>
      </c>
      <c r="Y111" s="108">
        <f>AN_TME_PY[[#This Row],[TOTAL Non-Truncated Unadjusted Claims Expenses]]+AN_TME_PY[[#This Row],[TOTAL Non-Claims Expenses]]</f>
        <v>0</v>
      </c>
      <c r="Z111" s="108">
        <f>AN_TME_PY[[#This Row],[TOTAL Truncated Unadjusted Claims Expenses (A21 -A19)]]+AN_TME_PY[[#This Row],[TOTAL Non-Claims Expenses]]</f>
        <v>0</v>
      </c>
      <c r="AA111" s="235">
        <f>IFERROR(AN_TME_PY[[#This Row],[TOTAL Non-Truncated Unadjusted Expenses (A21 + A23)]]/AN_TME_PY[[#This Row],[Member Months]],0)</f>
        <v>0</v>
      </c>
      <c r="AB111" s="272">
        <f>IFERROR(AN_TME_PY[[#This Row],[TOTAL Truncated Unadjusted Expenses (A22 + A23)]]/AN_TME_PY[[#This Row],[Member Months]],0)</f>
        <v>0</v>
      </c>
      <c r="AC111" s="237">
        <f>IFERROR(AN_TME_PY[[#This Row],[Total Claims Excluded because of Truncation]]/AN_TME_PY[[#This Row],[Count of Members with Claims Truncated]], 0)</f>
        <v>0</v>
      </c>
      <c r="AD111" s="238">
        <f>IFERROR(AN_TME_PY[[#This Row],[Total Claims Excluded because of Truncation]]/AN_TME_PY[[#This Row],[TOTAL Non-Truncated Unadjusted Claims Expenses]], 0)</f>
        <v>0</v>
      </c>
    </row>
    <row r="112" spans="1:30" x14ac:dyDescent="0.25">
      <c r="A112" s="101"/>
      <c r="B112" s="104"/>
      <c r="C112" s="267"/>
      <c r="D112" s="105"/>
      <c r="E112" s="110"/>
      <c r="F112" s="110"/>
      <c r="G112" s="110"/>
      <c r="H112" s="110"/>
      <c r="I112" s="110"/>
      <c r="J112" s="110"/>
      <c r="K112" s="110"/>
      <c r="L112" s="110"/>
      <c r="M112" s="110"/>
      <c r="N112" s="110"/>
      <c r="O112" s="110"/>
      <c r="P112" s="110"/>
      <c r="Q112" s="110"/>
      <c r="R112" s="110"/>
      <c r="S112" s="110"/>
      <c r="T112" s="110"/>
      <c r="U112" s="263"/>
      <c r="V112" s="108">
        <f t="shared" si="6"/>
        <v>0</v>
      </c>
      <c r="W112" s="108">
        <f>AN_TME_PY[[#This Row],[TOTAL Non-Truncated Unadjusted Claims Expenses]]-AN_TME_PY[[#This Row],[Total Claims Excluded because of Truncation]]</f>
        <v>0</v>
      </c>
      <c r="X112" s="108">
        <f t="shared" si="7"/>
        <v>0</v>
      </c>
      <c r="Y112" s="108">
        <f>AN_TME_PY[[#This Row],[TOTAL Non-Truncated Unadjusted Claims Expenses]]+AN_TME_PY[[#This Row],[TOTAL Non-Claims Expenses]]</f>
        <v>0</v>
      </c>
      <c r="Z112" s="108">
        <f>AN_TME_PY[[#This Row],[TOTAL Truncated Unadjusted Claims Expenses (A21 -A19)]]+AN_TME_PY[[#This Row],[TOTAL Non-Claims Expenses]]</f>
        <v>0</v>
      </c>
      <c r="AA112" s="235">
        <f>IFERROR(AN_TME_PY[[#This Row],[TOTAL Non-Truncated Unadjusted Expenses (A21 + A23)]]/AN_TME_PY[[#This Row],[Member Months]],0)</f>
        <v>0</v>
      </c>
      <c r="AB112" s="272">
        <f>IFERROR(AN_TME_PY[[#This Row],[TOTAL Truncated Unadjusted Expenses (A22 + A23)]]/AN_TME_PY[[#This Row],[Member Months]],0)</f>
        <v>0</v>
      </c>
      <c r="AC112" s="237">
        <f>IFERROR(AN_TME_PY[[#This Row],[Total Claims Excluded because of Truncation]]/AN_TME_PY[[#This Row],[Count of Members with Claims Truncated]], 0)</f>
        <v>0</v>
      </c>
      <c r="AD112" s="238">
        <f>IFERROR(AN_TME_PY[[#This Row],[Total Claims Excluded because of Truncation]]/AN_TME_PY[[#This Row],[TOTAL Non-Truncated Unadjusted Claims Expenses]], 0)</f>
        <v>0</v>
      </c>
    </row>
    <row r="113" spans="1:30" x14ac:dyDescent="0.25">
      <c r="A113" s="101"/>
      <c r="B113" s="104"/>
      <c r="C113" s="270"/>
      <c r="D113" s="105"/>
      <c r="E113" s="110"/>
      <c r="F113" s="110"/>
      <c r="G113" s="110"/>
      <c r="H113" s="110"/>
      <c r="I113" s="110"/>
      <c r="J113" s="110"/>
      <c r="K113" s="110"/>
      <c r="L113" s="110"/>
      <c r="M113" s="110"/>
      <c r="N113" s="110"/>
      <c r="O113" s="110"/>
      <c r="P113" s="110"/>
      <c r="Q113" s="110"/>
      <c r="R113" s="110"/>
      <c r="S113" s="110"/>
      <c r="T113" s="110"/>
      <c r="U113" s="263"/>
      <c r="V113" s="108">
        <f t="shared" si="6"/>
        <v>0</v>
      </c>
      <c r="W113" s="108">
        <f>AN_TME_PY[[#This Row],[TOTAL Non-Truncated Unadjusted Claims Expenses]]-AN_TME_PY[[#This Row],[Total Claims Excluded because of Truncation]]</f>
        <v>0</v>
      </c>
      <c r="X113" s="108">
        <f t="shared" si="7"/>
        <v>0</v>
      </c>
      <c r="Y113" s="108">
        <f>AN_TME_PY[[#This Row],[TOTAL Non-Truncated Unadjusted Claims Expenses]]+AN_TME_PY[[#This Row],[TOTAL Non-Claims Expenses]]</f>
        <v>0</v>
      </c>
      <c r="Z113" s="108">
        <f>AN_TME_PY[[#This Row],[TOTAL Truncated Unadjusted Claims Expenses (A21 -A19)]]+AN_TME_PY[[#This Row],[TOTAL Non-Claims Expenses]]</f>
        <v>0</v>
      </c>
      <c r="AA113" s="235">
        <f>IFERROR(AN_TME_PY[[#This Row],[TOTAL Non-Truncated Unadjusted Expenses (A21 + A23)]]/AN_TME_PY[[#This Row],[Member Months]],0)</f>
        <v>0</v>
      </c>
      <c r="AB113" s="272">
        <f>IFERROR(AN_TME_PY[[#This Row],[TOTAL Truncated Unadjusted Expenses (A22 + A23)]]/AN_TME_PY[[#This Row],[Member Months]],0)</f>
        <v>0</v>
      </c>
      <c r="AC113" s="237">
        <f>IFERROR(AN_TME_PY[[#This Row],[Total Claims Excluded because of Truncation]]/AN_TME_PY[[#This Row],[Count of Members with Claims Truncated]], 0)</f>
        <v>0</v>
      </c>
      <c r="AD113" s="238">
        <f>IFERROR(AN_TME_PY[[#This Row],[Total Claims Excluded because of Truncation]]/AN_TME_PY[[#This Row],[TOTAL Non-Truncated Unadjusted Claims Expenses]], 0)</f>
        <v>0</v>
      </c>
    </row>
    <row r="114" spans="1:30" x14ac:dyDescent="0.25">
      <c r="A114" s="101"/>
      <c r="B114" s="104"/>
      <c r="C114" s="267"/>
      <c r="D114" s="105"/>
      <c r="E114" s="110"/>
      <c r="F114" s="110"/>
      <c r="G114" s="110"/>
      <c r="H114" s="110"/>
      <c r="I114" s="110"/>
      <c r="J114" s="110"/>
      <c r="K114" s="110"/>
      <c r="L114" s="110"/>
      <c r="M114" s="110"/>
      <c r="N114" s="110"/>
      <c r="O114" s="110"/>
      <c r="P114" s="110"/>
      <c r="Q114" s="110"/>
      <c r="R114" s="110"/>
      <c r="S114" s="110"/>
      <c r="T114" s="110"/>
      <c r="U114" s="263"/>
      <c r="V114" s="108">
        <f t="shared" si="6"/>
        <v>0</v>
      </c>
      <c r="W114" s="108">
        <f>AN_TME_PY[[#This Row],[TOTAL Non-Truncated Unadjusted Claims Expenses]]-AN_TME_PY[[#This Row],[Total Claims Excluded because of Truncation]]</f>
        <v>0</v>
      </c>
      <c r="X114" s="108">
        <f t="shared" si="7"/>
        <v>0</v>
      </c>
      <c r="Y114" s="108">
        <f>AN_TME_PY[[#This Row],[TOTAL Non-Truncated Unadjusted Claims Expenses]]+AN_TME_PY[[#This Row],[TOTAL Non-Claims Expenses]]</f>
        <v>0</v>
      </c>
      <c r="Z114" s="108">
        <f>AN_TME_PY[[#This Row],[TOTAL Truncated Unadjusted Claims Expenses (A21 -A19)]]+AN_TME_PY[[#This Row],[TOTAL Non-Claims Expenses]]</f>
        <v>0</v>
      </c>
      <c r="AA114" s="235">
        <f>IFERROR(AN_TME_PY[[#This Row],[TOTAL Non-Truncated Unadjusted Expenses (A21 + A23)]]/AN_TME_PY[[#This Row],[Member Months]],0)</f>
        <v>0</v>
      </c>
      <c r="AB114" s="272">
        <f>IFERROR(AN_TME_PY[[#This Row],[TOTAL Truncated Unadjusted Expenses (A22 + A23)]]/AN_TME_PY[[#This Row],[Member Months]],0)</f>
        <v>0</v>
      </c>
      <c r="AC114" s="237">
        <f>IFERROR(AN_TME_PY[[#This Row],[Total Claims Excluded because of Truncation]]/AN_TME_PY[[#This Row],[Count of Members with Claims Truncated]], 0)</f>
        <v>0</v>
      </c>
      <c r="AD114" s="238">
        <f>IFERROR(AN_TME_PY[[#This Row],[Total Claims Excluded because of Truncation]]/AN_TME_PY[[#This Row],[TOTAL Non-Truncated Unadjusted Claims Expenses]], 0)</f>
        <v>0</v>
      </c>
    </row>
    <row r="115" spans="1:30" x14ac:dyDescent="0.25">
      <c r="A115" s="101"/>
      <c r="B115" s="104"/>
      <c r="C115" s="270"/>
      <c r="D115" s="105"/>
      <c r="E115" s="110"/>
      <c r="F115" s="110"/>
      <c r="G115" s="110"/>
      <c r="H115" s="110"/>
      <c r="I115" s="110"/>
      <c r="J115" s="110"/>
      <c r="K115" s="110"/>
      <c r="L115" s="110"/>
      <c r="M115" s="110"/>
      <c r="N115" s="110"/>
      <c r="O115" s="110"/>
      <c r="P115" s="110"/>
      <c r="Q115" s="110"/>
      <c r="R115" s="110"/>
      <c r="S115" s="110"/>
      <c r="T115" s="110"/>
      <c r="U115" s="263"/>
      <c r="V115" s="108">
        <f t="shared" si="6"/>
        <v>0</v>
      </c>
      <c r="W115" s="108">
        <f>AN_TME_PY[[#This Row],[TOTAL Non-Truncated Unadjusted Claims Expenses]]-AN_TME_PY[[#This Row],[Total Claims Excluded because of Truncation]]</f>
        <v>0</v>
      </c>
      <c r="X115" s="108">
        <f t="shared" si="7"/>
        <v>0</v>
      </c>
      <c r="Y115" s="108">
        <f>AN_TME_PY[[#This Row],[TOTAL Non-Truncated Unadjusted Claims Expenses]]+AN_TME_PY[[#This Row],[TOTAL Non-Claims Expenses]]</f>
        <v>0</v>
      </c>
      <c r="Z115" s="108">
        <f>AN_TME_PY[[#This Row],[TOTAL Truncated Unadjusted Claims Expenses (A21 -A19)]]+AN_TME_PY[[#This Row],[TOTAL Non-Claims Expenses]]</f>
        <v>0</v>
      </c>
      <c r="AA115" s="235">
        <f>IFERROR(AN_TME_PY[[#This Row],[TOTAL Non-Truncated Unadjusted Expenses (A21 + A23)]]/AN_TME_PY[[#This Row],[Member Months]],0)</f>
        <v>0</v>
      </c>
      <c r="AB115" s="272">
        <f>IFERROR(AN_TME_PY[[#This Row],[TOTAL Truncated Unadjusted Expenses (A22 + A23)]]/AN_TME_PY[[#This Row],[Member Months]],0)</f>
        <v>0</v>
      </c>
      <c r="AC115" s="237">
        <f>IFERROR(AN_TME_PY[[#This Row],[Total Claims Excluded because of Truncation]]/AN_TME_PY[[#This Row],[Count of Members with Claims Truncated]], 0)</f>
        <v>0</v>
      </c>
      <c r="AD115" s="238">
        <f>IFERROR(AN_TME_PY[[#This Row],[Total Claims Excluded because of Truncation]]/AN_TME_PY[[#This Row],[TOTAL Non-Truncated Unadjusted Claims Expenses]], 0)</f>
        <v>0</v>
      </c>
    </row>
    <row r="116" spans="1:30" x14ac:dyDescent="0.25">
      <c r="A116" s="101"/>
      <c r="B116" s="104"/>
      <c r="C116" s="267"/>
      <c r="D116" s="105"/>
      <c r="E116" s="110"/>
      <c r="F116" s="110"/>
      <c r="G116" s="110"/>
      <c r="H116" s="110"/>
      <c r="I116" s="110"/>
      <c r="J116" s="110"/>
      <c r="K116" s="110"/>
      <c r="L116" s="110"/>
      <c r="M116" s="110"/>
      <c r="N116" s="110"/>
      <c r="O116" s="110"/>
      <c r="P116" s="110"/>
      <c r="Q116" s="110"/>
      <c r="R116" s="110"/>
      <c r="S116" s="110"/>
      <c r="T116" s="110"/>
      <c r="U116" s="263"/>
      <c r="V116" s="108">
        <f t="shared" si="6"/>
        <v>0</v>
      </c>
      <c r="W116" s="108">
        <f>AN_TME_PY[[#This Row],[TOTAL Non-Truncated Unadjusted Claims Expenses]]-AN_TME_PY[[#This Row],[Total Claims Excluded because of Truncation]]</f>
        <v>0</v>
      </c>
      <c r="X116" s="108">
        <f t="shared" si="7"/>
        <v>0</v>
      </c>
      <c r="Y116" s="108">
        <f>AN_TME_PY[[#This Row],[TOTAL Non-Truncated Unadjusted Claims Expenses]]+AN_TME_PY[[#This Row],[TOTAL Non-Claims Expenses]]</f>
        <v>0</v>
      </c>
      <c r="Z116" s="108">
        <f>AN_TME_PY[[#This Row],[TOTAL Truncated Unadjusted Claims Expenses (A21 -A19)]]+AN_TME_PY[[#This Row],[TOTAL Non-Claims Expenses]]</f>
        <v>0</v>
      </c>
      <c r="AA116" s="235">
        <f>IFERROR(AN_TME_PY[[#This Row],[TOTAL Non-Truncated Unadjusted Expenses (A21 + A23)]]/AN_TME_PY[[#This Row],[Member Months]],0)</f>
        <v>0</v>
      </c>
      <c r="AB116" s="272">
        <f>IFERROR(AN_TME_PY[[#This Row],[TOTAL Truncated Unadjusted Expenses (A22 + A23)]]/AN_TME_PY[[#This Row],[Member Months]],0)</f>
        <v>0</v>
      </c>
      <c r="AC116" s="237">
        <f>IFERROR(AN_TME_PY[[#This Row],[Total Claims Excluded because of Truncation]]/AN_TME_PY[[#This Row],[Count of Members with Claims Truncated]], 0)</f>
        <v>0</v>
      </c>
      <c r="AD116" s="238">
        <f>IFERROR(AN_TME_PY[[#This Row],[Total Claims Excluded because of Truncation]]/AN_TME_PY[[#This Row],[TOTAL Non-Truncated Unadjusted Claims Expenses]], 0)</f>
        <v>0</v>
      </c>
    </row>
    <row r="117" spans="1:30" x14ac:dyDescent="0.25">
      <c r="A117" s="101"/>
      <c r="B117" s="104"/>
      <c r="C117" s="270"/>
      <c r="D117" s="105"/>
      <c r="E117" s="110"/>
      <c r="F117" s="110"/>
      <c r="G117" s="110"/>
      <c r="H117" s="110"/>
      <c r="I117" s="110"/>
      <c r="J117" s="110"/>
      <c r="K117" s="110"/>
      <c r="L117" s="110"/>
      <c r="M117" s="110"/>
      <c r="N117" s="110"/>
      <c r="O117" s="110"/>
      <c r="P117" s="110"/>
      <c r="Q117" s="110"/>
      <c r="R117" s="110"/>
      <c r="S117" s="110"/>
      <c r="T117" s="110"/>
      <c r="U117" s="263"/>
      <c r="V117" s="108">
        <f t="shared" si="6"/>
        <v>0</v>
      </c>
      <c r="W117" s="108">
        <f>AN_TME_PY[[#This Row],[TOTAL Non-Truncated Unadjusted Claims Expenses]]-AN_TME_PY[[#This Row],[Total Claims Excluded because of Truncation]]</f>
        <v>0</v>
      </c>
      <c r="X117" s="108">
        <f t="shared" si="7"/>
        <v>0</v>
      </c>
      <c r="Y117" s="108">
        <f>AN_TME_PY[[#This Row],[TOTAL Non-Truncated Unadjusted Claims Expenses]]+AN_TME_PY[[#This Row],[TOTAL Non-Claims Expenses]]</f>
        <v>0</v>
      </c>
      <c r="Z117" s="108">
        <f>AN_TME_PY[[#This Row],[TOTAL Truncated Unadjusted Claims Expenses (A21 -A19)]]+AN_TME_PY[[#This Row],[TOTAL Non-Claims Expenses]]</f>
        <v>0</v>
      </c>
      <c r="AA117" s="235">
        <f>IFERROR(AN_TME_PY[[#This Row],[TOTAL Non-Truncated Unadjusted Expenses (A21 + A23)]]/AN_TME_PY[[#This Row],[Member Months]],0)</f>
        <v>0</v>
      </c>
      <c r="AB117" s="272">
        <f>IFERROR(AN_TME_PY[[#This Row],[TOTAL Truncated Unadjusted Expenses (A22 + A23)]]/AN_TME_PY[[#This Row],[Member Months]],0)</f>
        <v>0</v>
      </c>
      <c r="AC117" s="237">
        <f>IFERROR(AN_TME_PY[[#This Row],[Total Claims Excluded because of Truncation]]/AN_TME_PY[[#This Row],[Count of Members with Claims Truncated]], 0)</f>
        <v>0</v>
      </c>
      <c r="AD117" s="238">
        <f>IFERROR(AN_TME_PY[[#This Row],[Total Claims Excluded because of Truncation]]/AN_TME_PY[[#This Row],[TOTAL Non-Truncated Unadjusted Claims Expenses]], 0)</f>
        <v>0</v>
      </c>
    </row>
    <row r="118" spans="1:30" x14ac:dyDescent="0.25">
      <c r="A118" s="101"/>
      <c r="B118" s="104"/>
      <c r="C118" s="267"/>
      <c r="D118" s="105"/>
      <c r="E118" s="110"/>
      <c r="F118" s="110"/>
      <c r="G118" s="110"/>
      <c r="H118" s="110"/>
      <c r="I118" s="110"/>
      <c r="J118" s="110"/>
      <c r="K118" s="110"/>
      <c r="L118" s="110"/>
      <c r="M118" s="110"/>
      <c r="N118" s="110"/>
      <c r="O118" s="110"/>
      <c r="P118" s="110"/>
      <c r="Q118" s="110"/>
      <c r="R118" s="110"/>
      <c r="S118" s="110"/>
      <c r="T118" s="110"/>
      <c r="U118" s="263"/>
      <c r="V118" s="108">
        <f t="shared" si="6"/>
        <v>0</v>
      </c>
      <c r="W118" s="108">
        <f>AN_TME_PY[[#This Row],[TOTAL Non-Truncated Unadjusted Claims Expenses]]-AN_TME_PY[[#This Row],[Total Claims Excluded because of Truncation]]</f>
        <v>0</v>
      </c>
      <c r="X118" s="108">
        <f t="shared" si="7"/>
        <v>0</v>
      </c>
      <c r="Y118" s="108">
        <f>AN_TME_PY[[#This Row],[TOTAL Non-Truncated Unadjusted Claims Expenses]]+AN_TME_PY[[#This Row],[TOTAL Non-Claims Expenses]]</f>
        <v>0</v>
      </c>
      <c r="Z118" s="108">
        <f>AN_TME_PY[[#This Row],[TOTAL Truncated Unadjusted Claims Expenses (A21 -A19)]]+AN_TME_PY[[#This Row],[TOTAL Non-Claims Expenses]]</f>
        <v>0</v>
      </c>
      <c r="AA118" s="235">
        <f>IFERROR(AN_TME_PY[[#This Row],[TOTAL Non-Truncated Unadjusted Expenses (A21 + A23)]]/AN_TME_PY[[#This Row],[Member Months]],0)</f>
        <v>0</v>
      </c>
      <c r="AB118" s="272">
        <f>IFERROR(AN_TME_PY[[#This Row],[TOTAL Truncated Unadjusted Expenses (A22 + A23)]]/AN_TME_PY[[#This Row],[Member Months]],0)</f>
        <v>0</v>
      </c>
      <c r="AC118" s="237">
        <f>IFERROR(AN_TME_PY[[#This Row],[Total Claims Excluded because of Truncation]]/AN_TME_PY[[#This Row],[Count of Members with Claims Truncated]], 0)</f>
        <v>0</v>
      </c>
      <c r="AD118" s="238">
        <f>IFERROR(AN_TME_PY[[#This Row],[Total Claims Excluded because of Truncation]]/AN_TME_PY[[#This Row],[TOTAL Non-Truncated Unadjusted Claims Expenses]], 0)</f>
        <v>0</v>
      </c>
    </row>
    <row r="119" spans="1:30" x14ac:dyDescent="0.25">
      <c r="A119" s="101"/>
      <c r="B119" s="104"/>
      <c r="C119" s="270"/>
      <c r="D119" s="105"/>
      <c r="E119" s="110"/>
      <c r="F119" s="110"/>
      <c r="G119" s="110"/>
      <c r="H119" s="110"/>
      <c r="I119" s="110"/>
      <c r="J119" s="110"/>
      <c r="K119" s="110"/>
      <c r="L119" s="110"/>
      <c r="M119" s="110"/>
      <c r="N119" s="110"/>
      <c r="O119" s="110"/>
      <c r="P119" s="110"/>
      <c r="Q119" s="110"/>
      <c r="R119" s="110"/>
      <c r="S119" s="110"/>
      <c r="T119" s="110"/>
      <c r="U119" s="263"/>
      <c r="V119" s="108">
        <f t="shared" si="6"/>
        <v>0</v>
      </c>
      <c r="W119" s="108">
        <f>AN_TME_PY[[#This Row],[TOTAL Non-Truncated Unadjusted Claims Expenses]]-AN_TME_PY[[#This Row],[Total Claims Excluded because of Truncation]]</f>
        <v>0</v>
      </c>
      <c r="X119" s="108">
        <f t="shared" si="7"/>
        <v>0</v>
      </c>
      <c r="Y119" s="108">
        <f>AN_TME_PY[[#This Row],[TOTAL Non-Truncated Unadjusted Claims Expenses]]+AN_TME_PY[[#This Row],[TOTAL Non-Claims Expenses]]</f>
        <v>0</v>
      </c>
      <c r="Z119" s="108">
        <f>AN_TME_PY[[#This Row],[TOTAL Truncated Unadjusted Claims Expenses (A21 -A19)]]+AN_TME_PY[[#This Row],[TOTAL Non-Claims Expenses]]</f>
        <v>0</v>
      </c>
      <c r="AA119" s="235">
        <f>IFERROR(AN_TME_PY[[#This Row],[TOTAL Non-Truncated Unadjusted Expenses (A21 + A23)]]/AN_TME_PY[[#This Row],[Member Months]],0)</f>
        <v>0</v>
      </c>
      <c r="AB119" s="272">
        <f>IFERROR(AN_TME_PY[[#This Row],[TOTAL Truncated Unadjusted Expenses (A22 + A23)]]/AN_TME_PY[[#This Row],[Member Months]],0)</f>
        <v>0</v>
      </c>
      <c r="AC119" s="237">
        <f>IFERROR(AN_TME_PY[[#This Row],[Total Claims Excluded because of Truncation]]/AN_TME_PY[[#This Row],[Count of Members with Claims Truncated]], 0)</f>
        <v>0</v>
      </c>
      <c r="AD119" s="238">
        <f>IFERROR(AN_TME_PY[[#This Row],[Total Claims Excluded because of Truncation]]/AN_TME_PY[[#This Row],[TOTAL Non-Truncated Unadjusted Claims Expenses]], 0)</f>
        <v>0</v>
      </c>
    </row>
    <row r="120" spans="1:30" x14ac:dyDescent="0.25">
      <c r="A120" s="101"/>
      <c r="B120" s="104"/>
      <c r="C120" s="267"/>
      <c r="D120" s="105"/>
      <c r="E120" s="110"/>
      <c r="F120" s="110"/>
      <c r="G120" s="110"/>
      <c r="H120" s="110"/>
      <c r="I120" s="110"/>
      <c r="J120" s="110"/>
      <c r="K120" s="110"/>
      <c r="L120" s="110"/>
      <c r="M120" s="110"/>
      <c r="N120" s="110"/>
      <c r="O120" s="110"/>
      <c r="P120" s="110"/>
      <c r="Q120" s="110"/>
      <c r="R120" s="110"/>
      <c r="S120" s="110"/>
      <c r="T120" s="110"/>
      <c r="U120" s="263"/>
      <c r="V120" s="108">
        <f t="shared" si="6"/>
        <v>0</v>
      </c>
      <c r="W120" s="108">
        <f>AN_TME_PY[[#This Row],[TOTAL Non-Truncated Unadjusted Claims Expenses]]-AN_TME_PY[[#This Row],[Total Claims Excluded because of Truncation]]</f>
        <v>0</v>
      </c>
      <c r="X120" s="108">
        <f t="shared" si="7"/>
        <v>0</v>
      </c>
      <c r="Y120" s="108">
        <f>AN_TME_PY[[#This Row],[TOTAL Non-Truncated Unadjusted Claims Expenses]]+AN_TME_PY[[#This Row],[TOTAL Non-Claims Expenses]]</f>
        <v>0</v>
      </c>
      <c r="Z120" s="108">
        <f>AN_TME_PY[[#This Row],[TOTAL Truncated Unadjusted Claims Expenses (A21 -A19)]]+AN_TME_PY[[#This Row],[TOTAL Non-Claims Expenses]]</f>
        <v>0</v>
      </c>
      <c r="AA120" s="235">
        <f>IFERROR(AN_TME_PY[[#This Row],[TOTAL Non-Truncated Unadjusted Expenses (A21 + A23)]]/AN_TME_PY[[#This Row],[Member Months]],0)</f>
        <v>0</v>
      </c>
      <c r="AB120" s="272">
        <f>IFERROR(AN_TME_PY[[#This Row],[TOTAL Truncated Unadjusted Expenses (A22 + A23)]]/AN_TME_PY[[#This Row],[Member Months]],0)</f>
        <v>0</v>
      </c>
      <c r="AC120" s="237">
        <f>IFERROR(AN_TME_PY[[#This Row],[Total Claims Excluded because of Truncation]]/AN_TME_PY[[#This Row],[Count of Members with Claims Truncated]], 0)</f>
        <v>0</v>
      </c>
      <c r="AD120" s="238">
        <f>IFERROR(AN_TME_PY[[#This Row],[Total Claims Excluded because of Truncation]]/AN_TME_PY[[#This Row],[TOTAL Non-Truncated Unadjusted Claims Expenses]], 0)</f>
        <v>0</v>
      </c>
    </row>
    <row r="121" spans="1:30" x14ac:dyDescent="0.25">
      <c r="A121" s="101"/>
      <c r="B121" s="104"/>
      <c r="C121" s="270"/>
      <c r="D121" s="105"/>
      <c r="E121" s="110"/>
      <c r="F121" s="110"/>
      <c r="G121" s="110"/>
      <c r="H121" s="110"/>
      <c r="I121" s="110"/>
      <c r="J121" s="110"/>
      <c r="K121" s="110"/>
      <c r="L121" s="110"/>
      <c r="M121" s="110"/>
      <c r="N121" s="110"/>
      <c r="O121" s="110"/>
      <c r="P121" s="110"/>
      <c r="Q121" s="110"/>
      <c r="R121" s="110"/>
      <c r="S121" s="110"/>
      <c r="T121" s="110"/>
      <c r="U121" s="263"/>
      <c r="V121" s="108">
        <f t="shared" si="6"/>
        <v>0</v>
      </c>
      <c r="W121" s="108">
        <f>AN_TME_PY[[#This Row],[TOTAL Non-Truncated Unadjusted Claims Expenses]]-AN_TME_PY[[#This Row],[Total Claims Excluded because of Truncation]]</f>
        <v>0</v>
      </c>
      <c r="X121" s="108">
        <f t="shared" si="7"/>
        <v>0</v>
      </c>
      <c r="Y121" s="108">
        <f>AN_TME_PY[[#This Row],[TOTAL Non-Truncated Unadjusted Claims Expenses]]+AN_TME_PY[[#This Row],[TOTAL Non-Claims Expenses]]</f>
        <v>0</v>
      </c>
      <c r="Z121" s="108">
        <f>AN_TME_PY[[#This Row],[TOTAL Truncated Unadjusted Claims Expenses (A21 -A19)]]+AN_TME_PY[[#This Row],[TOTAL Non-Claims Expenses]]</f>
        <v>0</v>
      </c>
      <c r="AA121" s="235">
        <f>IFERROR(AN_TME_PY[[#This Row],[TOTAL Non-Truncated Unadjusted Expenses (A21 + A23)]]/AN_TME_PY[[#This Row],[Member Months]],0)</f>
        <v>0</v>
      </c>
      <c r="AB121" s="272">
        <f>IFERROR(AN_TME_PY[[#This Row],[TOTAL Truncated Unadjusted Expenses (A22 + A23)]]/AN_TME_PY[[#This Row],[Member Months]],0)</f>
        <v>0</v>
      </c>
      <c r="AC121" s="237">
        <f>IFERROR(AN_TME_PY[[#This Row],[Total Claims Excluded because of Truncation]]/AN_TME_PY[[#This Row],[Count of Members with Claims Truncated]], 0)</f>
        <v>0</v>
      </c>
      <c r="AD121" s="238">
        <f>IFERROR(AN_TME_PY[[#This Row],[Total Claims Excluded because of Truncation]]/AN_TME_PY[[#This Row],[TOTAL Non-Truncated Unadjusted Claims Expenses]], 0)</f>
        <v>0</v>
      </c>
    </row>
    <row r="122" spans="1:30" x14ac:dyDescent="0.25">
      <c r="A122" s="101"/>
      <c r="B122" s="104"/>
      <c r="C122" s="267"/>
      <c r="D122" s="105"/>
      <c r="E122" s="110"/>
      <c r="F122" s="110"/>
      <c r="G122" s="110"/>
      <c r="H122" s="110"/>
      <c r="I122" s="110"/>
      <c r="J122" s="110"/>
      <c r="K122" s="110"/>
      <c r="L122" s="110"/>
      <c r="M122" s="110"/>
      <c r="N122" s="110"/>
      <c r="O122" s="110"/>
      <c r="P122" s="110"/>
      <c r="Q122" s="110"/>
      <c r="R122" s="110"/>
      <c r="S122" s="110"/>
      <c r="T122" s="110"/>
      <c r="U122" s="263"/>
      <c r="V122" s="108">
        <f t="shared" si="6"/>
        <v>0</v>
      </c>
      <c r="W122" s="108">
        <f>AN_TME_PY[[#This Row],[TOTAL Non-Truncated Unadjusted Claims Expenses]]-AN_TME_PY[[#This Row],[Total Claims Excluded because of Truncation]]</f>
        <v>0</v>
      </c>
      <c r="X122" s="108">
        <f t="shared" si="7"/>
        <v>0</v>
      </c>
      <c r="Y122" s="108">
        <f>AN_TME_PY[[#This Row],[TOTAL Non-Truncated Unadjusted Claims Expenses]]+AN_TME_PY[[#This Row],[TOTAL Non-Claims Expenses]]</f>
        <v>0</v>
      </c>
      <c r="Z122" s="108">
        <f>AN_TME_PY[[#This Row],[TOTAL Truncated Unadjusted Claims Expenses (A21 -A19)]]+AN_TME_PY[[#This Row],[TOTAL Non-Claims Expenses]]</f>
        <v>0</v>
      </c>
      <c r="AA122" s="235">
        <f>IFERROR(AN_TME_PY[[#This Row],[TOTAL Non-Truncated Unadjusted Expenses (A21 + A23)]]/AN_TME_PY[[#This Row],[Member Months]],0)</f>
        <v>0</v>
      </c>
      <c r="AB122" s="272">
        <f>IFERROR(AN_TME_PY[[#This Row],[TOTAL Truncated Unadjusted Expenses (A22 + A23)]]/AN_TME_PY[[#This Row],[Member Months]],0)</f>
        <v>0</v>
      </c>
      <c r="AC122" s="237">
        <f>IFERROR(AN_TME_PY[[#This Row],[Total Claims Excluded because of Truncation]]/AN_TME_PY[[#This Row],[Count of Members with Claims Truncated]], 0)</f>
        <v>0</v>
      </c>
      <c r="AD122" s="238">
        <f>IFERROR(AN_TME_PY[[#This Row],[Total Claims Excluded because of Truncation]]/AN_TME_PY[[#This Row],[TOTAL Non-Truncated Unadjusted Claims Expenses]], 0)</f>
        <v>0</v>
      </c>
    </row>
    <row r="123" spans="1:30" x14ac:dyDescent="0.25">
      <c r="A123" s="101"/>
      <c r="B123" s="104"/>
      <c r="C123" s="270"/>
      <c r="D123" s="105"/>
      <c r="E123" s="110"/>
      <c r="F123" s="110"/>
      <c r="G123" s="110"/>
      <c r="H123" s="110"/>
      <c r="I123" s="110"/>
      <c r="J123" s="110"/>
      <c r="K123" s="110"/>
      <c r="L123" s="110"/>
      <c r="M123" s="110"/>
      <c r="N123" s="110"/>
      <c r="O123" s="110"/>
      <c r="P123" s="110"/>
      <c r="Q123" s="110"/>
      <c r="R123" s="110"/>
      <c r="S123" s="110"/>
      <c r="T123" s="110"/>
      <c r="U123" s="263"/>
      <c r="V123" s="108">
        <f t="shared" si="6"/>
        <v>0</v>
      </c>
      <c r="W123" s="108">
        <f>AN_TME_PY[[#This Row],[TOTAL Non-Truncated Unadjusted Claims Expenses]]-AN_TME_PY[[#This Row],[Total Claims Excluded because of Truncation]]</f>
        <v>0</v>
      </c>
      <c r="X123" s="108">
        <f t="shared" si="7"/>
        <v>0</v>
      </c>
      <c r="Y123" s="108">
        <f>AN_TME_PY[[#This Row],[TOTAL Non-Truncated Unadjusted Claims Expenses]]+AN_TME_PY[[#This Row],[TOTAL Non-Claims Expenses]]</f>
        <v>0</v>
      </c>
      <c r="Z123" s="108">
        <f>AN_TME_PY[[#This Row],[TOTAL Truncated Unadjusted Claims Expenses (A21 -A19)]]+AN_TME_PY[[#This Row],[TOTAL Non-Claims Expenses]]</f>
        <v>0</v>
      </c>
      <c r="AA123" s="235">
        <f>IFERROR(AN_TME_PY[[#This Row],[TOTAL Non-Truncated Unadjusted Expenses (A21 + A23)]]/AN_TME_PY[[#This Row],[Member Months]],0)</f>
        <v>0</v>
      </c>
      <c r="AB123" s="272">
        <f>IFERROR(AN_TME_PY[[#This Row],[TOTAL Truncated Unadjusted Expenses (A22 + A23)]]/AN_TME_PY[[#This Row],[Member Months]],0)</f>
        <v>0</v>
      </c>
      <c r="AC123" s="237">
        <f>IFERROR(AN_TME_PY[[#This Row],[Total Claims Excluded because of Truncation]]/AN_TME_PY[[#This Row],[Count of Members with Claims Truncated]], 0)</f>
        <v>0</v>
      </c>
      <c r="AD123" s="238">
        <f>IFERROR(AN_TME_PY[[#This Row],[Total Claims Excluded because of Truncation]]/AN_TME_PY[[#This Row],[TOTAL Non-Truncated Unadjusted Claims Expenses]], 0)</f>
        <v>0</v>
      </c>
    </row>
    <row r="124" spans="1:30" x14ac:dyDescent="0.25">
      <c r="A124" s="101"/>
      <c r="B124" s="104"/>
      <c r="C124" s="267"/>
      <c r="D124" s="105"/>
      <c r="E124" s="110"/>
      <c r="F124" s="110"/>
      <c r="G124" s="110"/>
      <c r="H124" s="110"/>
      <c r="I124" s="110"/>
      <c r="J124" s="110"/>
      <c r="K124" s="110"/>
      <c r="L124" s="110"/>
      <c r="M124" s="110"/>
      <c r="N124" s="110"/>
      <c r="O124" s="110"/>
      <c r="P124" s="110"/>
      <c r="Q124" s="110"/>
      <c r="R124" s="110"/>
      <c r="S124" s="110"/>
      <c r="T124" s="110"/>
      <c r="U124" s="263"/>
      <c r="V124" s="108">
        <f t="shared" si="6"/>
        <v>0</v>
      </c>
      <c r="W124" s="108">
        <f>AN_TME_PY[[#This Row],[TOTAL Non-Truncated Unadjusted Claims Expenses]]-AN_TME_PY[[#This Row],[Total Claims Excluded because of Truncation]]</f>
        <v>0</v>
      </c>
      <c r="X124" s="108">
        <f t="shared" si="7"/>
        <v>0</v>
      </c>
      <c r="Y124" s="108">
        <f>AN_TME_PY[[#This Row],[TOTAL Non-Truncated Unadjusted Claims Expenses]]+AN_TME_PY[[#This Row],[TOTAL Non-Claims Expenses]]</f>
        <v>0</v>
      </c>
      <c r="Z124" s="108">
        <f>AN_TME_PY[[#This Row],[TOTAL Truncated Unadjusted Claims Expenses (A21 -A19)]]+AN_TME_PY[[#This Row],[TOTAL Non-Claims Expenses]]</f>
        <v>0</v>
      </c>
      <c r="AA124" s="235">
        <f>IFERROR(AN_TME_PY[[#This Row],[TOTAL Non-Truncated Unadjusted Expenses (A21 + A23)]]/AN_TME_PY[[#This Row],[Member Months]],0)</f>
        <v>0</v>
      </c>
      <c r="AB124" s="272">
        <f>IFERROR(AN_TME_PY[[#This Row],[TOTAL Truncated Unadjusted Expenses (A22 + A23)]]/AN_TME_PY[[#This Row],[Member Months]],0)</f>
        <v>0</v>
      </c>
      <c r="AC124" s="237">
        <f>IFERROR(AN_TME_PY[[#This Row],[Total Claims Excluded because of Truncation]]/AN_TME_PY[[#This Row],[Count of Members with Claims Truncated]], 0)</f>
        <v>0</v>
      </c>
      <c r="AD124" s="238">
        <f>IFERROR(AN_TME_PY[[#This Row],[Total Claims Excluded because of Truncation]]/AN_TME_PY[[#This Row],[TOTAL Non-Truncated Unadjusted Claims Expenses]], 0)</f>
        <v>0</v>
      </c>
    </row>
    <row r="125" spans="1:30" x14ac:dyDescent="0.25">
      <c r="A125" s="101"/>
      <c r="B125" s="104"/>
      <c r="C125" s="270"/>
      <c r="D125" s="105"/>
      <c r="E125" s="110"/>
      <c r="F125" s="110"/>
      <c r="G125" s="110"/>
      <c r="H125" s="110"/>
      <c r="I125" s="110"/>
      <c r="J125" s="110"/>
      <c r="K125" s="110"/>
      <c r="L125" s="110"/>
      <c r="M125" s="110"/>
      <c r="N125" s="110"/>
      <c r="O125" s="110"/>
      <c r="P125" s="110"/>
      <c r="Q125" s="110"/>
      <c r="R125" s="110"/>
      <c r="S125" s="110"/>
      <c r="T125" s="110"/>
      <c r="U125" s="263"/>
      <c r="V125" s="108">
        <f t="shared" si="6"/>
        <v>0</v>
      </c>
      <c r="W125" s="108">
        <f>AN_TME_PY[[#This Row],[TOTAL Non-Truncated Unadjusted Claims Expenses]]-AN_TME_PY[[#This Row],[Total Claims Excluded because of Truncation]]</f>
        <v>0</v>
      </c>
      <c r="X125" s="108">
        <f t="shared" si="7"/>
        <v>0</v>
      </c>
      <c r="Y125" s="108">
        <f>AN_TME_PY[[#This Row],[TOTAL Non-Truncated Unadjusted Claims Expenses]]+AN_TME_PY[[#This Row],[TOTAL Non-Claims Expenses]]</f>
        <v>0</v>
      </c>
      <c r="Z125" s="108">
        <f>AN_TME_PY[[#This Row],[TOTAL Truncated Unadjusted Claims Expenses (A21 -A19)]]+AN_TME_PY[[#This Row],[TOTAL Non-Claims Expenses]]</f>
        <v>0</v>
      </c>
      <c r="AA125" s="235">
        <f>IFERROR(AN_TME_PY[[#This Row],[TOTAL Non-Truncated Unadjusted Expenses (A21 + A23)]]/AN_TME_PY[[#This Row],[Member Months]],0)</f>
        <v>0</v>
      </c>
      <c r="AB125" s="272">
        <f>IFERROR(AN_TME_PY[[#This Row],[TOTAL Truncated Unadjusted Expenses (A22 + A23)]]/AN_TME_PY[[#This Row],[Member Months]],0)</f>
        <v>0</v>
      </c>
      <c r="AC125" s="237">
        <f>IFERROR(AN_TME_PY[[#This Row],[Total Claims Excluded because of Truncation]]/AN_TME_PY[[#This Row],[Count of Members with Claims Truncated]], 0)</f>
        <v>0</v>
      </c>
      <c r="AD125" s="238">
        <f>IFERROR(AN_TME_PY[[#This Row],[Total Claims Excluded because of Truncation]]/AN_TME_PY[[#This Row],[TOTAL Non-Truncated Unadjusted Claims Expenses]], 0)</f>
        <v>0</v>
      </c>
    </row>
    <row r="126" spans="1:30" x14ac:dyDescent="0.25">
      <c r="A126" s="101"/>
      <c r="B126" s="104"/>
      <c r="C126" s="267"/>
      <c r="D126" s="105"/>
      <c r="E126" s="110"/>
      <c r="F126" s="110"/>
      <c r="G126" s="110"/>
      <c r="H126" s="110"/>
      <c r="I126" s="110"/>
      <c r="J126" s="110"/>
      <c r="K126" s="110"/>
      <c r="L126" s="110"/>
      <c r="M126" s="110"/>
      <c r="N126" s="110"/>
      <c r="O126" s="110"/>
      <c r="P126" s="110"/>
      <c r="Q126" s="110"/>
      <c r="R126" s="110"/>
      <c r="S126" s="110"/>
      <c r="T126" s="110"/>
      <c r="U126" s="263"/>
      <c r="V126" s="108">
        <f t="shared" si="6"/>
        <v>0</v>
      </c>
      <c r="W126" s="108">
        <f>AN_TME_PY[[#This Row],[TOTAL Non-Truncated Unadjusted Claims Expenses]]-AN_TME_PY[[#This Row],[Total Claims Excluded because of Truncation]]</f>
        <v>0</v>
      </c>
      <c r="X126" s="108">
        <f t="shared" si="7"/>
        <v>0</v>
      </c>
      <c r="Y126" s="108">
        <f>AN_TME_PY[[#This Row],[TOTAL Non-Truncated Unadjusted Claims Expenses]]+AN_TME_PY[[#This Row],[TOTAL Non-Claims Expenses]]</f>
        <v>0</v>
      </c>
      <c r="Z126" s="108">
        <f>AN_TME_PY[[#This Row],[TOTAL Truncated Unadjusted Claims Expenses (A21 -A19)]]+AN_TME_PY[[#This Row],[TOTAL Non-Claims Expenses]]</f>
        <v>0</v>
      </c>
      <c r="AA126" s="235">
        <f>IFERROR(AN_TME_PY[[#This Row],[TOTAL Non-Truncated Unadjusted Expenses (A21 + A23)]]/AN_TME_PY[[#This Row],[Member Months]],0)</f>
        <v>0</v>
      </c>
      <c r="AB126" s="272">
        <f>IFERROR(AN_TME_PY[[#This Row],[TOTAL Truncated Unadjusted Expenses (A22 + A23)]]/AN_TME_PY[[#This Row],[Member Months]],0)</f>
        <v>0</v>
      </c>
      <c r="AC126" s="237">
        <f>IFERROR(AN_TME_PY[[#This Row],[Total Claims Excluded because of Truncation]]/AN_TME_PY[[#This Row],[Count of Members with Claims Truncated]], 0)</f>
        <v>0</v>
      </c>
      <c r="AD126" s="238">
        <f>IFERROR(AN_TME_PY[[#This Row],[Total Claims Excluded because of Truncation]]/AN_TME_PY[[#This Row],[TOTAL Non-Truncated Unadjusted Claims Expenses]], 0)</f>
        <v>0</v>
      </c>
    </row>
    <row r="127" spans="1:30" x14ac:dyDescent="0.25">
      <c r="A127" s="101"/>
      <c r="B127" s="104"/>
      <c r="C127" s="270"/>
      <c r="D127" s="105"/>
      <c r="E127" s="110"/>
      <c r="F127" s="110"/>
      <c r="G127" s="110"/>
      <c r="H127" s="110"/>
      <c r="I127" s="110"/>
      <c r="J127" s="110"/>
      <c r="K127" s="110"/>
      <c r="L127" s="110"/>
      <c r="M127" s="110"/>
      <c r="N127" s="110"/>
      <c r="O127" s="110"/>
      <c r="P127" s="110"/>
      <c r="Q127" s="110"/>
      <c r="R127" s="110"/>
      <c r="S127" s="110"/>
      <c r="T127" s="110"/>
      <c r="U127" s="263"/>
      <c r="V127" s="108">
        <f t="shared" si="6"/>
        <v>0</v>
      </c>
      <c r="W127" s="108">
        <f>AN_TME_PY[[#This Row],[TOTAL Non-Truncated Unadjusted Claims Expenses]]-AN_TME_PY[[#This Row],[Total Claims Excluded because of Truncation]]</f>
        <v>0</v>
      </c>
      <c r="X127" s="108">
        <f t="shared" si="7"/>
        <v>0</v>
      </c>
      <c r="Y127" s="108">
        <f>AN_TME_PY[[#This Row],[TOTAL Non-Truncated Unadjusted Claims Expenses]]+AN_TME_PY[[#This Row],[TOTAL Non-Claims Expenses]]</f>
        <v>0</v>
      </c>
      <c r="Z127" s="108">
        <f>AN_TME_PY[[#This Row],[TOTAL Truncated Unadjusted Claims Expenses (A21 -A19)]]+AN_TME_PY[[#This Row],[TOTAL Non-Claims Expenses]]</f>
        <v>0</v>
      </c>
      <c r="AA127" s="235">
        <f>IFERROR(AN_TME_PY[[#This Row],[TOTAL Non-Truncated Unadjusted Expenses (A21 + A23)]]/AN_TME_PY[[#This Row],[Member Months]],0)</f>
        <v>0</v>
      </c>
      <c r="AB127" s="272">
        <f>IFERROR(AN_TME_PY[[#This Row],[TOTAL Truncated Unadjusted Expenses (A22 + A23)]]/AN_TME_PY[[#This Row],[Member Months]],0)</f>
        <v>0</v>
      </c>
      <c r="AC127" s="237">
        <f>IFERROR(AN_TME_PY[[#This Row],[Total Claims Excluded because of Truncation]]/AN_TME_PY[[#This Row],[Count of Members with Claims Truncated]], 0)</f>
        <v>0</v>
      </c>
      <c r="AD127" s="238">
        <f>IFERROR(AN_TME_PY[[#This Row],[Total Claims Excluded because of Truncation]]/AN_TME_PY[[#This Row],[TOTAL Non-Truncated Unadjusted Claims Expenses]], 0)</f>
        <v>0</v>
      </c>
    </row>
    <row r="128" spans="1:30" x14ac:dyDescent="0.25">
      <c r="A128" s="101"/>
      <c r="B128" s="104"/>
      <c r="C128" s="267"/>
      <c r="D128" s="105"/>
      <c r="E128" s="110"/>
      <c r="F128" s="110"/>
      <c r="G128" s="110"/>
      <c r="H128" s="110"/>
      <c r="I128" s="110"/>
      <c r="J128" s="110"/>
      <c r="K128" s="110"/>
      <c r="L128" s="110"/>
      <c r="M128" s="110"/>
      <c r="N128" s="110"/>
      <c r="O128" s="110"/>
      <c r="P128" s="110"/>
      <c r="Q128" s="110"/>
      <c r="R128" s="110"/>
      <c r="S128" s="110"/>
      <c r="T128" s="110"/>
      <c r="U128" s="263"/>
      <c r="V128" s="108">
        <f t="shared" si="6"/>
        <v>0</v>
      </c>
      <c r="W128" s="108">
        <f>AN_TME_PY[[#This Row],[TOTAL Non-Truncated Unadjusted Claims Expenses]]-AN_TME_PY[[#This Row],[Total Claims Excluded because of Truncation]]</f>
        <v>0</v>
      </c>
      <c r="X128" s="108">
        <f t="shared" si="7"/>
        <v>0</v>
      </c>
      <c r="Y128" s="108">
        <f>AN_TME_PY[[#This Row],[TOTAL Non-Truncated Unadjusted Claims Expenses]]+AN_TME_PY[[#This Row],[TOTAL Non-Claims Expenses]]</f>
        <v>0</v>
      </c>
      <c r="Z128" s="108">
        <f>AN_TME_PY[[#This Row],[TOTAL Truncated Unadjusted Claims Expenses (A21 -A19)]]+AN_TME_PY[[#This Row],[TOTAL Non-Claims Expenses]]</f>
        <v>0</v>
      </c>
      <c r="AA128" s="235">
        <f>IFERROR(AN_TME_PY[[#This Row],[TOTAL Non-Truncated Unadjusted Expenses (A21 + A23)]]/AN_TME_PY[[#This Row],[Member Months]],0)</f>
        <v>0</v>
      </c>
      <c r="AB128" s="272">
        <f>IFERROR(AN_TME_PY[[#This Row],[TOTAL Truncated Unadjusted Expenses (A22 + A23)]]/AN_TME_PY[[#This Row],[Member Months]],0)</f>
        <v>0</v>
      </c>
      <c r="AC128" s="237">
        <f>IFERROR(AN_TME_PY[[#This Row],[Total Claims Excluded because of Truncation]]/AN_TME_PY[[#This Row],[Count of Members with Claims Truncated]], 0)</f>
        <v>0</v>
      </c>
      <c r="AD128" s="238">
        <f>IFERROR(AN_TME_PY[[#This Row],[Total Claims Excluded because of Truncation]]/AN_TME_PY[[#This Row],[TOTAL Non-Truncated Unadjusted Claims Expenses]], 0)</f>
        <v>0</v>
      </c>
    </row>
    <row r="129" spans="1:30" x14ac:dyDescent="0.25">
      <c r="A129" s="101"/>
      <c r="B129" s="104"/>
      <c r="C129" s="270"/>
      <c r="D129" s="105"/>
      <c r="E129" s="110"/>
      <c r="F129" s="110"/>
      <c r="G129" s="110"/>
      <c r="H129" s="110"/>
      <c r="I129" s="110"/>
      <c r="J129" s="110"/>
      <c r="K129" s="110"/>
      <c r="L129" s="110"/>
      <c r="M129" s="110"/>
      <c r="N129" s="110"/>
      <c r="O129" s="110"/>
      <c r="P129" s="110"/>
      <c r="Q129" s="110"/>
      <c r="R129" s="110"/>
      <c r="S129" s="110"/>
      <c r="T129" s="110"/>
      <c r="U129" s="263"/>
      <c r="V129" s="108">
        <f t="shared" si="6"/>
        <v>0</v>
      </c>
      <c r="W129" s="108">
        <f>AN_TME_PY[[#This Row],[TOTAL Non-Truncated Unadjusted Claims Expenses]]-AN_TME_PY[[#This Row],[Total Claims Excluded because of Truncation]]</f>
        <v>0</v>
      </c>
      <c r="X129" s="108">
        <f t="shared" si="7"/>
        <v>0</v>
      </c>
      <c r="Y129" s="108">
        <f>AN_TME_PY[[#This Row],[TOTAL Non-Truncated Unadjusted Claims Expenses]]+AN_TME_PY[[#This Row],[TOTAL Non-Claims Expenses]]</f>
        <v>0</v>
      </c>
      <c r="Z129" s="108">
        <f>AN_TME_PY[[#This Row],[TOTAL Truncated Unadjusted Claims Expenses (A21 -A19)]]+AN_TME_PY[[#This Row],[TOTAL Non-Claims Expenses]]</f>
        <v>0</v>
      </c>
      <c r="AA129" s="235">
        <f>IFERROR(AN_TME_PY[[#This Row],[TOTAL Non-Truncated Unadjusted Expenses (A21 + A23)]]/AN_TME_PY[[#This Row],[Member Months]],0)</f>
        <v>0</v>
      </c>
      <c r="AB129" s="272">
        <f>IFERROR(AN_TME_PY[[#This Row],[TOTAL Truncated Unadjusted Expenses (A22 + A23)]]/AN_TME_PY[[#This Row],[Member Months]],0)</f>
        <v>0</v>
      </c>
      <c r="AC129" s="237">
        <f>IFERROR(AN_TME_PY[[#This Row],[Total Claims Excluded because of Truncation]]/AN_TME_PY[[#This Row],[Count of Members with Claims Truncated]], 0)</f>
        <v>0</v>
      </c>
      <c r="AD129" s="238">
        <f>IFERROR(AN_TME_PY[[#This Row],[Total Claims Excluded because of Truncation]]/AN_TME_PY[[#This Row],[TOTAL Non-Truncated Unadjusted Claims Expenses]], 0)</f>
        <v>0</v>
      </c>
    </row>
    <row r="130" spans="1:30" x14ac:dyDescent="0.25">
      <c r="A130" s="101"/>
      <c r="B130" s="104"/>
      <c r="C130" s="267"/>
      <c r="D130" s="105"/>
      <c r="E130" s="110"/>
      <c r="F130" s="110"/>
      <c r="G130" s="110"/>
      <c r="H130" s="110"/>
      <c r="I130" s="110"/>
      <c r="J130" s="110"/>
      <c r="K130" s="110"/>
      <c r="L130" s="110"/>
      <c r="M130" s="110"/>
      <c r="N130" s="110"/>
      <c r="O130" s="110"/>
      <c r="P130" s="110"/>
      <c r="Q130" s="110"/>
      <c r="R130" s="110"/>
      <c r="S130" s="110"/>
      <c r="T130" s="110"/>
      <c r="U130" s="263"/>
      <c r="V130" s="108">
        <f t="shared" si="6"/>
        <v>0</v>
      </c>
      <c r="W130" s="108">
        <f>AN_TME_PY[[#This Row],[TOTAL Non-Truncated Unadjusted Claims Expenses]]-AN_TME_PY[[#This Row],[Total Claims Excluded because of Truncation]]</f>
        <v>0</v>
      </c>
      <c r="X130" s="108">
        <f t="shared" si="7"/>
        <v>0</v>
      </c>
      <c r="Y130" s="108">
        <f>AN_TME_PY[[#This Row],[TOTAL Non-Truncated Unadjusted Claims Expenses]]+AN_TME_PY[[#This Row],[TOTAL Non-Claims Expenses]]</f>
        <v>0</v>
      </c>
      <c r="Z130" s="108">
        <f>AN_TME_PY[[#This Row],[TOTAL Truncated Unadjusted Claims Expenses (A21 -A19)]]+AN_TME_PY[[#This Row],[TOTAL Non-Claims Expenses]]</f>
        <v>0</v>
      </c>
      <c r="AA130" s="235">
        <f>IFERROR(AN_TME_PY[[#This Row],[TOTAL Non-Truncated Unadjusted Expenses (A21 + A23)]]/AN_TME_PY[[#This Row],[Member Months]],0)</f>
        <v>0</v>
      </c>
      <c r="AB130" s="272">
        <f>IFERROR(AN_TME_PY[[#This Row],[TOTAL Truncated Unadjusted Expenses (A22 + A23)]]/AN_TME_PY[[#This Row],[Member Months]],0)</f>
        <v>0</v>
      </c>
      <c r="AC130" s="237">
        <f>IFERROR(AN_TME_PY[[#This Row],[Total Claims Excluded because of Truncation]]/AN_TME_PY[[#This Row],[Count of Members with Claims Truncated]], 0)</f>
        <v>0</v>
      </c>
      <c r="AD130" s="238">
        <f>IFERROR(AN_TME_PY[[#This Row],[Total Claims Excluded because of Truncation]]/AN_TME_PY[[#This Row],[TOTAL Non-Truncated Unadjusted Claims Expenses]], 0)</f>
        <v>0</v>
      </c>
    </row>
    <row r="131" spans="1:30" x14ac:dyDescent="0.25">
      <c r="A131" s="101"/>
      <c r="B131" s="104"/>
      <c r="C131" s="270"/>
      <c r="D131" s="105"/>
      <c r="E131" s="110"/>
      <c r="F131" s="110"/>
      <c r="G131" s="110"/>
      <c r="H131" s="110"/>
      <c r="I131" s="110"/>
      <c r="J131" s="110"/>
      <c r="K131" s="110"/>
      <c r="L131" s="110"/>
      <c r="M131" s="110"/>
      <c r="N131" s="110"/>
      <c r="O131" s="110"/>
      <c r="P131" s="110"/>
      <c r="Q131" s="110"/>
      <c r="R131" s="110"/>
      <c r="S131" s="110"/>
      <c r="T131" s="110"/>
      <c r="U131" s="263"/>
      <c r="V131" s="108">
        <f t="shared" si="6"/>
        <v>0</v>
      </c>
      <c r="W131" s="108">
        <f>AN_TME_PY[[#This Row],[TOTAL Non-Truncated Unadjusted Claims Expenses]]-AN_TME_PY[[#This Row],[Total Claims Excluded because of Truncation]]</f>
        <v>0</v>
      </c>
      <c r="X131" s="108">
        <f t="shared" si="7"/>
        <v>0</v>
      </c>
      <c r="Y131" s="108">
        <f>AN_TME_PY[[#This Row],[TOTAL Non-Truncated Unadjusted Claims Expenses]]+AN_TME_PY[[#This Row],[TOTAL Non-Claims Expenses]]</f>
        <v>0</v>
      </c>
      <c r="Z131" s="108">
        <f>AN_TME_PY[[#This Row],[TOTAL Truncated Unadjusted Claims Expenses (A21 -A19)]]+AN_TME_PY[[#This Row],[TOTAL Non-Claims Expenses]]</f>
        <v>0</v>
      </c>
      <c r="AA131" s="235">
        <f>IFERROR(AN_TME_PY[[#This Row],[TOTAL Non-Truncated Unadjusted Expenses (A21 + A23)]]/AN_TME_PY[[#This Row],[Member Months]],0)</f>
        <v>0</v>
      </c>
      <c r="AB131" s="272">
        <f>IFERROR(AN_TME_PY[[#This Row],[TOTAL Truncated Unadjusted Expenses (A22 + A23)]]/AN_TME_PY[[#This Row],[Member Months]],0)</f>
        <v>0</v>
      </c>
      <c r="AC131" s="237">
        <f>IFERROR(AN_TME_PY[[#This Row],[Total Claims Excluded because of Truncation]]/AN_TME_PY[[#This Row],[Count of Members with Claims Truncated]], 0)</f>
        <v>0</v>
      </c>
      <c r="AD131" s="238">
        <f>IFERROR(AN_TME_PY[[#This Row],[Total Claims Excluded because of Truncation]]/AN_TME_PY[[#This Row],[TOTAL Non-Truncated Unadjusted Claims Expenses]], 0)</f>
        <v>0</v>
      </c>
    </row>
    <row r="132" spans="1:30" x14ac:dyDescent="0.25">
      <c r="A132" s="101"/>
      <c r="B132" s="104"/>
      <c r="C132" s="267"/>
      <c r="D132" s="105"/>
      <c r="E132" s="110"/>
      <c r="F132" s="110"/>
      <c r="G132" s="110"/>
      <c r="H132" s="110"/>
      <c r="I132" s="110"/>
      <c r="J132" s="110"/>
      <c r="K132" s="110"/>
      <c r="L132" s="110"/>
      <c r="M132" s="110"/>
      <c r="N132" s="110"/>
      <c r="O132" s="110"/>
      <c r="P132" s="110"/>
      <c r="Q132" s="110"/>
      <c r="R132" s="110"/>
      <c r="S132" s="110"/>
      <c r="T132" s="110"/>
      <c r="U132" s="263"/>
      <c r="V132" s="108">
        <f t="shared" si="6"/>
        <v>0</v>
      </c>
      <c r="W132" s="108">
        <f>AN_TME_PY[[#This Row],[TOTAL Non-Truncated Unadjusted Claims Expenses]]-AN_TME_PY[[#This Row],[Total Claims Excluded because of Truncation]]</f>
        <v>0</v>
      </c>
      <c r="X132" s="108">
        <f t="shared" si="7"/>
        <v>0</v>
      </c>
      <c r="Y132" s="108">
        <f>AN_TME_PY[[#This Row],[TOTAL Non-Truncated Unadjusted Claims Expenses]]+AN_TME_PY[[#This Row],[TOTAL Non-Claims Expenses]]</f>
        <v>0</v>
      </c>
      <c r="Z132" s="108">
        <f>AN_TME_PY[[#This Row],[TOTAL Truncated Unadjusted Claims Expenses (A21 -A19)]]+AN_TME_PY[[#This Row],[TOTAL Non-Claims Expenses]]</f>
        <v>0</v>
      </c>
      <c r="AA132" s="235">
        <f>IFERROR(AN_TME_PY[[#This Row],[TOTAL Non-Truncated Unadjusted Expenses (A21 + A23)]]/AN_TME_PY[[#This Row],[Member Months]],0)</f>
        <v>0</v>
      </c>
      <c r="AB132" s="272">
        <f>IFERROR(AN_TME_PY[[#This Row],[TOTAL Truncated Unadjusted Expenses (A22 + A23)]]/AN_TME_PY[[#This Row],[Member Months]],0)</f>
        <v>0</v>
      </c>
      <c r="AC132" s="237">
        <f>IFERROR(AN_TME_PY[[#This Row],[Total Claims Excluded because of Truncation]]/AN_TME_PY[[#This Row],[Count of Members with Claims Truncated]], 0)</f>
        <v>0</v>
      </c>
      <c r="AD132" s="238">
        <f>IFERROR(AN_TME_PY[[#This Row],[Total Claims Excluded because of Truncation]]/AN_TME_PY[[#This Row],[TOTAL Non-Truncated Unadjusted Claims Expenses]], 0)</f>
        <v>0</v>
      </c>
    </row>
    <row r="133" spans="1:30" x14ac:dyDescent="0.25">
      <c r="A133" s="101"/>
      <c r="B133" s="104"/>
      <c r="C133" s="270"/>
      <c r="D133" s="105"/>
      <c r="E133" s="110"/>
      <c r="F133" s="110"/>
      <c r="G133" s="110"/>
      <c r="H133" s="110"/>
      <c r="I133" s="110"/>
      <c r="J133" s="110"/>
      <c r="K133" s="110"/>
      <c r="L133" s="110"/>
      <c r="M133" s="110"/>
      <c r="N133" s="110"/>
      <c r="O133" s="110"/>
      <c r="P133" s="110"/>
      <c r="Q133" s="110"/>
      <c r="R133" s="110"/>
      <c r="S133" s="110"/>
      <c r="T133" s="110"/>
      <c r="U133" s="263"/>
      <c r="V133" s="108">
        <f t="shared" si="6"/>
        <v>0</v>
      </c>
      <c r="W133" s="108">
        <f>AN_TME_PY[[#This Row],[TOTAL Non-Truncated Unadjusted Claims Expenses]]-AN_TME_PY[[#This Row],[Total Claims Excluded because of Truncation]]</f>
        <v>0</v>
      </c>
      <c r="X133" s="108">
        <f t="shared" si="7"/>
        <v>0</v>
      </c>
      <c r="Y133" s="108">
        <f>AN_TME_PY[[#This Row],[TOTAL Non-Truncated Unadjusted Claims Expenses]]+AN_TME_PY[[#This Row],[TOTAL Non-Claims Expenses]]</f>
        <v>0</v>
      </c>
      <c r="Z133" s="108">
        <f>AN_TME_PY[[#This Row],[TOTAL Truncated Unadjusted Claims Expenses (A21 -A19)]]+AN_TME_PY[[#This Row],[TOTAL Non-Claims Expenses]]</f>
        <v>0</v>
      </c>
      <c r="AA133" s="235">
        <f>IFERROR(AN_TME_PY[[#This Row],[TOTAL Non-Truncated Unadjusted Expenses (A21 + A23)]]/AN_TME_PY[[#This Row],[Member Months]],0)</f>
        <v>0</v>
      </c>
      <c r="AB133" s="272">
        <f>IFERROR(AN_TME_PY[[#This Row],[TOTAL Truncated Unadjusted Expenses (A22 + A23)]]/AN_TME_PY[[#This Row],[Member Months]],0)</f>
        <v>0</v>
      </c>
      <c r="AC133" s="237">
        <f>IFERROR(AN_TME_PY[[#This Row],[Total Claims Excluded because of Truncation]]/AN_TME_PY[[#This Row],[Count of Members with Claims Truncated]], 0)</f>
        <v>0</v>
      </c>
      <c r="AD133" s="238">
        <f>IFERROR(AN_TME_PY[[#This Row],[Total Claims Excluded because of Truncation]]/AN_TME_PY[[#This Row],[TOTAL Non-Truncated Unadjusted Claims Expenses]], 0)</f>
        <v>0</v>
      </c>
    </row>
    <row r="134" spans="1:30" x14ac:dyDescent="0.25">
      <c r="A134" s="101"/>
      <c r="B134" s="104"/>
      <c r="C134" s="267"/>
      <c r="D134" s="105"/>
      <c r="E134" s="110"/>
      <c r="F134" s="110"/>
      <c r="G134" s="110"/>
      <c r="H134" s="110"/>
      <c r="I134" s="110"/>
      <c r="J134" s="110"/>
      <c r="K134" s="110"/>
      <c r="L134" s="110"/>
      <c r="M134" s="110"/>
      <c r="N134" s="110"/>
      <c r="O134" s="110"/>
      <c r="P134" s="110"/>
      <c r="Q134" s="110"/>
      <c r="R134" s="110"/>
      <c r="S134" s="110"/>
      <c r="T134" s="110"/>
      <c r="U134" s="263"/>
      <c r="V134" s="108">
        <f t="shared" si="6"/>
        <v>0</v>
      </c>
      <c r="W134" s="108">
        <f>AN_TME_PY[[#This Row],[TOTAL Non-Truncated Unadjusted Claims Expenses]]-AN_TME_PY[[#This Row],[Total Claims Excluded because of Truncation]]</f>
        <v>0</v>
      </c>
      <c r="X134" s="108">
        <f t="shared" si="7"/>
        <v>0</v>
      </c>
      <c r="Y134" s="108">
        <f>AN_TME_PY[[#This Row],[TOTAL Non-Truncated Unadjusted Claims Expenses]]+AN_TME_PY[[#This Row],[TOTAL Non-Claims Expenses]]</f>
        <v>0</v>
      </c>
      <c r="Z134" s="108">
        <f>AN_TME_PY[[#This Row],[TOTAL Truncated Unadjusted Claims Expenses (A21 -A19)]]+AN_TME_PY[[#This Row],[TOTAL Non-Claims Expenses]]</f>
        <v>0</v>
      </c>
      <c r="AA134" s="235">
        <f>IFERROR(AN_TME_PY[[#This Row],[TOTAL Non-Truncated Unadjusted Expenses (A21 + A23)]]/AN_TME_PY[[#This Row],[Member Months]],0)</f>
        <v>0</v>
      </c>
      <c r="AB134" s="272">
        <f>IFERROR(AN_TME_PY[[#This Row],[TOTAL Truncated Unadjusted Expenses (A22 + A23)]]/AN_TME_PY[[#This Row],[Member Months]],0)</f>
        <v>0</v>
      </c>
      <c r="AC134" s="237">
        <f>IFERROR(AN_TME_PY[[#This Row],[Total Claims Excluded because of Truncation]]/AN_TME_PY[[#This Row],[Count of Members with Claims Truncated]], 0)</f>
        <v>0</v>
      </c>
      <c r="AD134" s="238">
        <f>IFERROR(AN_TME_PY[[#This Row],[Total Claims Excluded because of Truncation]]/AN_TME_PY[[#This Row],[TOTAL Non-Truncated Unadjusted Claims Expenses]], 0)</f>
        <v>0</v>
      </c>
    </row>
    <row r="135" spans="1:30" x14ac:dyDescent="0.25">
      <c r="A135" s="101"/>
      <c r="B135" s="104"/>
      <c r="C135" s="270"/>
      <c r="D135" s="105"/>
      <c r="E135" s="110"/>
      <c r="F135" s="110"/>
      <c r="G135" s="110"/>
      <c r="H135" s="110"/>
      <c r="I135" s="110"/>
      <c r="J135" s="110"/>
      <c r="K135" s="110"/>
      <c r="L135" s="110"/>
      <c r="M135" s="110"/>
      <c r="N135" s="110"/>
      <c r="O135" s="110"/>
      <c r="P135" s="110"/>
      <c r="Q135" s="110"/>
      <c r="R135" s="110"/>
      <c r="S135" s="110"/>
      <c r="T135" s="110"/>
      <c r="U135" s="263"/>
      <c r="V135" s="108">
        <f t="shared" si="6"/>
        <v>0</v>
      </c>
      <c r="W135" s="108">
        <f>AN_TME_PY[[#This Row],[TOTAL Non-Truncated Unadjusted Claims Expenses]]-AN_TME_PY[[#This Row],[Total Claims Excluded because of Truncation]]</f>
        <v>0</v>
      </c>
      <c r="X135" s="108">
        <f t="shared" si="7"/>
        <v>0</v>
      </c>
      <c r="Y135" s="108">
        <f>AN_TME_PY[[#This Row],[TOTAL Non-Truncated Unadjusted Claims Expenses]]+AN_TME_PY[[#This Row],[TOTAL Non-Claims Expenses]]</f>
        <v>0</v>
      </c>
      <c r="Z135" s="108">
        <f>AN_TME_PY[[#This Row],[TOTAL Truncated Unadjusted Claims Expenses (A21 -A19)]]+AN_TME_PY[[#This Row],[TOTAL Non-Claims Expenses]]</f>
        <v>0</v>
      </c>
      <c r="AA135" s="235">
        <f>IFERROR(AN_TME_PY[[#This Row],[TOTAL Non-Truncated Unadjusted Expenses (A21 + A23)]]/AN_TME_PY[[#This Row],[Member Months]],0)</f>
        <v>0</v>
      </c>
      <c r="AB135" s="272">
        <f>IFERROR(AN_TME_PY[[#This Row],[TOTAL Truncated Unadjusted Expenses (A22 + A23)]]/AN_TME_PY[[#This Row],[Member Months]],0)</f>
        <v>0</v>
      </c>
      <c r="AC135" s="237">
        <f>IFERROR(AN_TME_PY[[#This Row],[Total Claims Excluded because of Truncation]]/AN_TME_PY[[#This Row],[Count of Members with Claims Truncated]], 0)</f>
        <v>0</v>
      </c>
      <c r="AD135" s="238">
        <f>IFERROR(AN_TME_PY[[#This Row],[Total Claims Excluded because of Truncation]]/AN_TME_PY[[#This Row],[TOTAL Non-Truncated Unadjusted Claims Expenses]], 0)</f>
        <v>0</v>
      </c>
    </row>
    <row r="136" spans="1:30" x14ac:dyDescent="0.25">
      <c r="A136" s="101"/>
      <c r="B136" s="104"/>
      <c r="C136" s="267"/>
      <c r="D136" s="105"/>
      <c r="E136" s="110"/>
      <c r="F136" s="110"/>
      <c r="G136" s="110"/>
      <c r="H136" s="110"/>
      <c r="I136" s="110"/>
      <c r="J136" s="110"/>
      <c r="K136" s="110"/>
      <c r="L136" s="110"/>
      <c r="M136" s="110"/>
      <c r="N136" s="110"/>
      <c r="O136" s="110"/>
      <c r="P136" s="110"/>
      <c r="Q136" s="110"/>
      <c r="R136" s="110"/>
      <c r="S136" s="110"/>
      <c r="T136" s="110"/>
      <c r="U136" s="263"/>
      <c r="V136" s="108">
        <f t="shared" si="6"/>
        <v>0</v>
      </c>
      <c r="W136" s="108">
        <f>AN_TME_PY[[#This Row],[TOTAL Non-Truncated Unadjusted Claims Expenses]]-AN_TME_PY[[#This Row],[Total Claims Excluded because of Truncation]]</f>
        <v>0</v>
      </c>
      <c r="X136" s="108">
        <f t="shared" si="7"/>
        <v>0</v>
      </c>
      <c r="Y136" s="108">
        <f>AN_TME_PY[[#This Row],[TOTAL Non-Truncated Unadjusted Claims Expenses]]+AN_TME_PY[[#This Row],[TOTAL Non-Claims Expenses]]</f>
        <v>0</v>
      </c>
      <c r="Z136" s="108">
        <f>AN_TME_PY[[#This Row],[TOTAL Truncated Unadjusted Claims Expenses (A21 -A19)]]+AN_TME_PY[[#This Row],[TOTAL Non-Claims Expenses]]</f>
        <v>0</v>
      </c>
      <c r="AA136" s="235">
        <f>IFERROR(AN_TME_PY[[#This Row],[TOTAL Non-Truncated Unadjusted Expenses (A21 + A23)]]/AN_TME_PY[[#This Row],[Member Months]],0)</f>
        <v>0</v>
      </c>
      <c r="AB136" s="272">
        <f>IFERROR(AN_TME_PY[[#This Row],[TOTAL Truncated Unadjusted Expenses (A22 + A23)]]/AN_TME_PY[[#This Row],[Member Months]],0)</f>
        <v>0</v>
      </c>
      <c r="AC136" s="237">
        <f>IFERROR(AN_TME_PY[[#This Row],[Total Claims Excluded because of Truncation]]/AN_TME_PY[[#This Row],[Count of Members with Claims Truncated]], 0)</f>
        <v>0</v>
      </c>
      <c r="AD136" s="238">
        <f>IFERROR(AN_TME_PY[[#This Row],[Total Claims Excluded because of Truncation]]/AN_TME_PY[[#This Row],[TOTAL Non-Truncated Unadjusted Claims Expenses]], 0)</f>
        <v>0</v>
      </c>
    </row>
    <row r="137" spans="1:30" x14ac:dyDescent="0.25">
      <c r="A137" s="101"/>
      <c r="B137" s="104"/>
      <c r="C137" s="270"/>
      <c r="D137" s="105"/>
      <c r="E137" s="110"/>
      <c r="F137" s="110"/>
      <c r="G137" s="110"/>
      <c r="H137" s="110"/>
      <c r="I137" s="110"/>
      <c r="J137" s="110"/>
      <c r="K137" s="110"/>
      <c r="L137" s="110"/>
      <c r="M137" s="110"/>
      <c r="N137" s="110"/>
      <c r="O137" s="110"/>
      <c r="P137" s="110"/>
      <c r="Q137" s="110"/>
      <c r="R137" s="110"/>
      <c r="S137" s="110"/>
      <c r="T137" s="110"/>
      <c r="U137" s="263"/>
      <c r="V137" s="108">
        <f t="shared" si="6"/>
        <v>0</v>
      </c>
      <c r="W137" s="108">
        <f>AN_TME_PY[[#This Row],[TOTAL Non-Truncated Unadjusted Claims Expenses]]-AN_TME_PY[[#This Row],[Total Claims Excluded because of Truncation]]</f>
        <v>0</v>
      </c>
      <c r="X137" s="108">
        <f t="shared" si="7"/>
        <v>0</v>
      </c>
      <c r="Y137" s="108">
        <f>AN_TME_PY[[#This Row],[TOTAL Non-Truncated Unadjusted Claims Expenses]]+AN_TME_PY[[#This Row],[TOTAL Non-Claims Expenses]]</f>
        <v>0</v>
      </c>
      <c r="Z137" s="108">
        <f>AN_TME_PY[[#This Row],[TOTAL Truncated Unadjusted Claims Expenses (A21 -A19)]]+AN_TME_PY[[#This Row],[TOTAL Non-Claims Expenses]]</f>
        <v>0</v>
      </c>
      <c r="AA137" s="235">
        <f>IFERROR(AN_TME_PY[[#This Row],[TOTAL Non-Truncated Unadjusted Expenses (A21 + A23)]]/AN_TME_PY[[#This Row],[Member Months]],0)</f>
        <v>0</v>
      </c>
      <c r="AB137" s="272">
        <f>IFERROR(AN_TME_PY[[#This Row],[TOTAL Truncated Unadjusted Expenses (A22 + A23)]]/AN_TME_PY[[#This Row],[Member Months]],0)</f>
        <v>0</v>
      </c>
      <c r="AC137" s="237">
        <f>IFERROR(AN_TME_PY[[#This Row],[Total Claims Excluded because of Truncation]]/AN_TME_PY[[#This Row],[Count of Members with Claims Truncated]], 0)</f>
        <v>0</v>
      </c>
      <c r="AD137" s="238">
        <f>IFERROR(AN_TME_PY[[#This Row],[Total Claims Excluded because of Truncation]]/AN_TME_PY[[#This Row],[TOTAL Non-Truncated Unadjusted Claims Expenses]], 0)</f>
        <v>0</v>
      </c>
    </row>
    <row r="138" spans="1:30" x14ac:dyDescent="0.25">
      <c r="A138" s="101"/>
      <c r="B138" s="104"/>
      <c r="C138" s="267"/>
      <c r="D138" s="105"/>
      <c r="E138" s="110"/>
      <c r="F138" s="110"/>
      <c r="G138" s="110"/>
      <c r="H138" s="110"/>
      <c r="I138" s="110"/>
      <c r="J138" s="110"/>
      <c r="K138" s="110"/>
      <c r="L138" s="110"/>
      <c r="M138" s="110"/>
      <c r="N138" s="110"/>
      <c r="O138" s="110"/>
      <c r="P138" s="110"/>
      <c r="Q138" s="110"/>
      <c r="R138" s="110"/>
      <c r="S138" s="110"/>
      <c r="T138" s="110"/>
      <c r="U138" s="263"/>
      <c r="V138" s="108">
        <f t="shared" si="6"/>
        <v>0</v>
      </c>
      <c r="W138" s="108">
        <f>AN_TME_PY[[#This Row],[TOTAL Non-Truncated Unadjusted Claims Expenses]]-AN_TME_PY[[#This Row],[Total Claims Excluded because of Truncation]]</f>
        <v>0</v>
      </c>
      <c r="X138" s="108">
        <f t="shared" si="7"/>
        <v>0</v>
      </c>
      <c r="Y138" s="108">
        <f>AN_TME_PY[[#This Row],[TOTAL Non-Truncated Unadjusted Claims Expenses]]+AN_TME_PY[[#This Row],[TOTAL Non-Claims Expenses]]</f>
        <v>0</v>
      </c>
      <c r="Z138" s="108">
        <f>AN_TME_PY[[#This Row],[TOTAL Truncated Unadjusted Claims Expenses (A21 -A19)]]+AN_TME_PY[[#This Row],[TOTAL Non-Claims Expenses]]</f>
        <v>0</v>
      </c>
      <c r="AA138" s="235">
        <f>IFERROR(AN_TME_PY[[#This Row],[TOTAL Non-Truncated Unadjusted Expenses (A21 + A23)]]/AN_TME_PY[[#This Row],[Member Months]],0)</f>
        <v>0</v>
      </c>
      <c r="AB138" s="272">
        <f>IFERROR(AN_TME_PY[[#This Row],[TOTAL Truncated Unadjusted Expenses (A22 + A23)]]/AN_TME_PY[[#This Row],[Member Months]],0)</f>
        <v>0</v>
      </c>
      <c r="AC138" s="237">
        <f>IFERROR(AN_TME_PY[[#This Row],[Total Claims Excluded because of Truncation]]/AN_TME_PY[[#This Row],[Count of Members with Claims Truncated]], 0)</f>
        <v>0</v>
      </c>
      <c r="AD138" s="238">
        <f>IFERROR(AN_TME_PY[[#This Row],[Total Claims Excluded because of Truncation]]/AN_TME_PY[[#This Row],[TOTAL Non-Truncated Unadjusted Claims Expenses]], 0)</f>
        <v>0</v>
      </c>
    </row>
    <row r="139" spans="1:30" x14ac:dyDescent="0.25">
      <c r="A139" s="101"/>
      <c r="B139" s="104"/>
      <c r="C139" s="270"/>
      <c r="D139" s="105"/>
      <c r="E139" s="110"/>
      <c r="F139" s="110"/>
      <c r="G139" s="110"/>
      <c r="H139" s="110"/>
      <c r="I139" s="110"/>
      <c r="J139" s="110"/>
      <c r="K139" s="110"/>
      <c r="L139" s="110"/>
      <c r="M139" s="110"/>
      <c r="N139" s="110"/>
      <c r="O139" s="110"/>
      <c r="P139" s="110"/>
      <c r="Q139" s="110"/>
      <c r="R139" s="110"/>
      <c r="S139" s="110"/>
      <c r="T139" s="110"/>
      <c r="U139" s="263"/>
      <c r="V139" s="108">
        <f t="shared" ref="V139:V170" si="8">SUM(E139:G139)+SUM(I139:M139)</f>
        <v>0</v>
      </c>
      <c r="W139" s="108">
        <f>AN_TME_PY[[#This Row],[TOTAL Non-Truncated Unadjusted Claims Expenses]]-AN_TME_PY[[#This Row],[Total Claims Excluded because of Truncation]]</f>
        <v>0</v>
      </c>
      <c r="X139" s="108">
        <f t="shared" ref="X139:X170" si="9">SUM(N139:R139)</f>
        <v>0</v>
      </c>
      <c r="Y139" s="108">
        <f>AN_TME_PY[[#This Row],[TOTAL Non-Truncated Unadjusted Claims Expenses]]+AN_TME_PY[[#This Row],[TOTAL Non-Claims Expenses]]</f>
        <v>0</v>
      </c>
      <c r="Z139" s="108">
        <f>AN_TME_PY[[#This Row],[TOTAL Truncated Unadjusted Claims Expenses (A21 -A19)]]+AN_TME_PY[[#This Row],[TOTAL Non-Claims Expenses]]</f>
        <v>0</v>
      </c>
      <c r="AA139" s="235">
        <f>IFERROR(AN_TME_PY[[#This Row],[TOTAL Non-Truncated Unadjusted Expenses (A21 + A23)]]/AN_TME_PY[[#This Row],[Member Months]],0)</f>
        <v>0</v>
      </c>
      <c r="AB139" s="272">
        <f>IFERROR(AN_TME_PY[[#This Row],[TOTAL Truncated Unadjusted Expenses (A22 + A23)]]/AN_TME_PY[[#This Row],[Member Months]],0)</f>
        <v>0</v>
      </c>
      <c r="AC139" s="237">
        <f>IFERROR(AN_TME_PY[[#This Row],[Total Claims Excluded because of Truncation]]/AN_TME_PY[[#This Row],[Count of Members with Claims Truncated]], 0)</f>
        <v>0</v>
      </c>
      <c r="AD139" s="238">
        <f>IFERROR(AN_TME_PY[[#This Row],[Total Claims Excluded because of Truncation]]/AN_TME_PY[[#This Row],[TOTAL Non-Truncated Unadjusted Claims Expenses]], 0)</f>
        <v>0</v>
      </c>
    </row>
    <row r="140" spans="1:30" x14ac:dyDescent="0.25">
      <c r="A140" s="101"/>
      <c r="B140" s="104"/>
      <c r="C140" s="267"/>
      <c r="D140" s="105"/>
      <c r="E140" s="110"/>
      <c r="F140" s="110"/>
      <c r="G140" s="110"/>
      <c r="H140" s="110"/>
      <c r="I140" s="110"/>
      <c r="J140" s="110"/>
      <c r="K140" s="110"/>
      <c r="L140" s="110"/>
      <c r="M140" s="110"/>
      <c r="N140" s="110"/>
      <c r="O140" s="110"/>
      <c r="P140" s="110"/>
      <c r="Q140" s="110"/>
      <c r="R140" s="110"/>
      <c r="S140" s="110"/>
      <c r="T140" s="110"/>
      <c r="U140" s="263"/>
      <c r="V140" s="108">
        <f t="shared" si="8"/>
        <v>0</v>
      </c>
      <c r="W140" s="108">
        <f>AN_TME_PY[[#This Row],[TOTAL Non-Truncated Unadjusted Claims Expenses]]-AN_TME_PY[[#This Row],[Total Claims Excluded because of Truncation]]</f>
        <v>0</v>
      </c>
      <c r="X140" s="108">
        <f t="shared" si="9"/>
        <v>0</v>
      </c>
      <c r="Y140" s="108">
        <f>AN_TME_PY[[#This Row],[TOTAL Non-Truncated Unadjusted Claims Expenses]]+AN_TME_PY[[#This Row],[TOTAL Non-Claims Expenses]]</f>
        <v>0</v>
      </c>
      <c r="Z140" s="108">
        <f>AN_TME_PY[[#This Row],[TOTAL Truncated Unadjusted Claims Expenses (A21 -A19)]]+AN_TME_PY[[#This Row],[TOTAL Non-Claims Expenses]]</f>
        <v>0</v>
      </c>
      <c r="AA140" s="235">
        <f>IFERROR(AN_TME_PY[[#This Row],[TOTAL Non-Truncated Unadjusted Expenses (A21 + A23)]]/AN_TME_PY[[#This Row],[Member Months]],0)</f>
        <v>0</v>
      </c>
      <c r="AB140" s="272">
        <f>IFERROR(AN_TME_PY[[#This Row],[TOTAL Truncated Unadjusted Expenses (A22 + A23)]]/AN_TME_PY[[#This Row],[Member Months]],0)</f>
        <v>0</v>
      </c>
      <c r="AC140" s="237">
        <f>IFERROR(AN_TME_PY[[#This Row],[Total Claims Excluded because of Truncation]]/AN_TME_PY[[#This Row],[Count of Members with Claims Truncated]], 0)</f>
        <v>0</v>
      </c>
      <c r="AD140" s="238">
        <f>IFERROR(AN_TME_PY[[#This Row],[Total Claims Excluded because of Truncation]]/AN_TME_PY[[#This Row],[TOTAL Non-Truncated Unadjusted Claims Expenses]], 0)</f>
        <v>0</v>
      </c>
    </row>
    <row r="141" spans="1:30" x14ac:dyDescent="0.25">
      <c r="A141" s="101"/>
      <c r="B141" s="104"/>
      <c r="C141" s="270"/>
      <c r="D141" s="105"/>
      <c r="E141" s="110"/>
      <c r="F141" s="110"/>
      <c r="G141" s="110"/>
      <c r="H141" s="110"/>
      <c r="I141" s="110"/>
      <c r="J141" s="110"/>
      <c r="K141" s="110"/>
      <c r="L141" s="110"/>
      <c r="M141" s="110"/>
      <c r="N141" s="110"/>
      <c r="O141" s="110"/>
      <c r="P141" s="110"/>
      <c r="Q141" s="110"/>
      <c r="R141" s="110"/>
      <c r="S141" s="110"/>
      <c r="T141" s="110"/>
      <c r="U141" s="263"/>
      <c r="V141" s="108">
        <f t="shared" si="8"/>
        <v>0</v>
      </c>
      <c r="W141" s="108">
        <f>AN_TME_PY[[#This Row],[TOTAL Non-Truncated Unadjusted Claims Expenses]]-AN_TME_PY[[#This Row],[Total Claims Excluded because of Truncation]]</f>
        <v>0</v>
      </c>
      <c r="X141" s="108">
        <f t="shared" si="9"/>
        <v>0</v>
      </c>
      <c r="Y141" s="108">
        <f>AN_TME_PY[[#This Row],[TOTAL Non-Truncated Unadjusted Claims Expenses]]+AN_TME_PY[[#This Row],[TOTAL Non-Claims Expenses]]</f>
        <v>0</v>
      </c>
      <c r="Z141" s="108">
        <f>AN_TME_PY[[#This Row],[TOTAL Truncated Unadjusted Claims Expenses (A21 -A19)]]+AN_TME_PY[[#This Row],[TOTAL Non-Claims Expenses]]</f>
        <v>0</v>
      </c>
      <c r="AA141" s="235">
        <f>IFERROR(AN_TME_PY[[#This Row],[TOTAL Non-Truncated Unadjusted Expenses (A21 + A23)]]/AN_TME_PY[[#This Row],[Member Months]],0)</f>
        <v>0</v>
      </c>
      <c r="AB141" s="272">
        <f>IFERROR(AN_TME_PY[[#This Row],[TOTAL Truncated Unadjusted Expenses (A22 + A23)]]/AN_TME_PY[[#This Row],[Member Months]],0)</f>
        <v>0</v>
      </c>
      <c r="AC141" s="237">
        <f>IFERROR(AN_TME_PY[[#This Row],[Total Claims Excluded because of Truncation]]/AN_TME_PY[[#This Row],[Count of Members with Claims Truncated]], 0)</f>
        <v>0</v>
      </c>
      <c r="AD141" s="238">
        <f>IFERROR(AN_TME_PY[[#This Row],[Total Claims Excluded because of Truncation]]/AN_TME_PY[[#This Row],[TOTAL Non-Truncated Unadjusted Claims Expenses]], 0)</f>
        <v>0</v>
      </c>
    </row>
    <row r="142" spans="1:30" x14ac:dyDescent="0.25">
      <c r="A142" s="101"/>
      <c r="B142" s="104"/>
      <c r="C142" s="267"/>
      <c r="D142" s="105"/>
      <c r="E142" s="110"/>
      <c r="F142" s="110"/>
      <c r="G142" s="110"/>
      <c r="H142" s="110"/>
      <c r="I142" s="110"/>
      <c r="J142" s="110"/>
      <c r="K142" s="110"/>
      <c r="L142" s="110"/>
      <c r="M142" s="110"/>
      <c r="N142" s="110"/>
      <c r="O142" s="110"/>
      <c r="P142" s="110"/>
      <c r="Q142" s="110"/>
      <c r="R142" s="110"/>
      <c r="S142" s="110"/>
      <c r="T142" s="110"/>
      <c r="U142" s="263"/>
      <c r="V142" s="108">
        <f t="shared" si="8"/>
        <v>0</v>
      </c>
      <c r="W142" s="108">
        <f>AN_TME_PY[[#This Row],[TOTAL Non-Truncated Unadjusted Claims Expenses]]-AN_TME_PY[[#This Row],[Total Claims Excluded because of Truncation]]</f>
        <v>0</v>
      </c>
      <c r="X142" s="108">
        <f t="shared" si="9"/>
        <v>0</v>
      </c>
      <c r="Y142" s="108">
        <f>AN_TME_PY[[#This Row],[TOTAL Non-Truncated Unadjusted Claims Expenses]]+AN_TME_PY[[#This Row],[TOTAL Non-Claims Expenses]]</f>
        <v>0</v>
      </c>
      <c r="Z142" s="108">
        <f>AN_TME_PY[[#This Row],[TOTAL Truncated Unadjusted Claims Expenses (A21 -A19)]]+AN_TME_PY[[#This Row],[TOTAL Non-Claims Expenses]]</f>
        <v>0</v>
      </c>
      <c r="AA142" s="235">
        <f>IFERROR(AN_TME_PY[[#This Row],[TOTAL Non-Truncated Unadjusted Expenses (A21 + A23)]]/AN_TME_PY[[#This Row],[Member Months]],0)</f>
        <v>0</v>
      </c>
      <c r="AB142" s="272">
        <f>IFERROR(AN_TME_PY[[#This Row],[TOTAL Truncated Unadjusted Expenses (A22 + A23)]]/AN_TME_PY[[#This Row],[Member Months]],0)</f>
        <v>0</v>
      </c>
      <c r="AC142" s="237">
        <f>IFERROR(AN_TME_PY[[#This Row],[Total Claims Excluded because of Truncation]]/AN_TME_PY[[#This Row],[Count of Members with Claims Truncated]], 0)</f>
        <v>0</v>
      </c>
      <c r="AD142" s="238">
        <f>IFERROR(AN_TME_PY[[#This Row],[Total Claims Excluded because of Truncation]]/AN_TME_PY[[#This Row],[TOTAL Non-Truncated Unadjusted Claims Expenses]], 0)</f>
        <v>0</v>
      </c>
    </row>
    <row r="143" spans="1:30" x14ac:dyDescent="0.25">
      <c r="A143" s="101"/>
      <c r="B143" s="104"/>
      <c r="C143" s="270"/>
      <c r="D143" s="105"/>
      <c r="E143" s="110"/>
      <c r="F143" s="110"/>
      <c r="G143" s="110"/>
      <c r="H143" s="110"/>
      <c r="I143" s="110"/>
      <c r="J143" s="110"/>
      <c r="K143" s="110"/>
      <c r="L143" s="110"/>
      <c r="M143" s="110"/>
      <c r="N143" s="110"/>
      <c r="O143" s="110"/>
      <c r="P143" s="110"/>
      <c r="Q143" s="110"/>
      <c r="R143" s="110"/>
      <c r="S143" s="110"/>
      <c r="T143" s="110"/>
      <c r="U143" s="263"/>
      <c r="V143" s="108">
        <f t="shared" si="8"/>
        <v>0</v>
      </c>
      <c r="W143" s="108">
        <f>AN_TME_PY[[#This Row],[TOTAL Non-Truncated Unadjusted Claims Expenses]]-AN_TME_PY[[#This Row],[Total Claims Excluded because of Truncation]]</f>
        <v>0</v>
      </c>
      <c r="X143" s="108">
        <f t="shared" si="9"/>
        <v>0</v>
      </c>
      <c r="Y143" s="108">
        <f>AN_TME_PY[[#This Row],[TOTAL Non-Truncated Unadjusted Claims Expenses]]+AN_TME_PY[[#This Row],[TOTAL Non-Claims Expenses]]</f>
        <v>0</v>
      </c>
      <c r="Z143" s="108">
        <f>AN_TME_PY[[#This Row],[TOTAL Truncated Unadjusted Claims Expenses (A21 -A19)]]+AN_TME_PY[[#This Row],[TOTAL Non-Claims Expenses]]</f>
        <v>0</v>
      </c>
      <c r="AA143" s="235">
        <f>IFERROR(AN_TME_PY[[#This Row],[TOTAL Non-Truncated Unadjusted Expenses (A21 + A23)]]/AN_TME_PY[[#This Row],[Member Months]],0)</f>
        <v>0</v>
      </c>
      <c r="AB143" s="272">
        <f>IFERROR(AN_TME_PY[[#This Row],[TOTAL Truncated Unadjusted Expenses (A22 + A23)]]/AN_TME_PY[[#This Row],[Member Months]],0)</f>
        <v>0</v>
      </c>
      <c r="AC143" s="237">
        <f>IFERROR(AN_TME_PY[[#This Row],[Total Claims Excluded because of Truncation]]/AN_TME_PY[[#This Row],[Count of Members with Claims Truncated]], 0)</f>
        <v>0</v>
      </c>
      <c r="AD143" s="238">
        <f>IFERROR(AN_TME_PY[[#This Row],[Total Claims Excluded because of Truncation]]/AN_TME_PY[[#This Row],[TOTAL Non-Truncated Unadjusted Claims Expenses]], 0)</f>
        <v>0</v>
      </c>
    </row>
    <row r="144" spans="1:30" x14ac:dyDescent="0.25">
      <c r="A144" s="101"/>
      <c r="B144" s="104"/>
      <c r="C144" s="267"/>
      <c r="D144" s="105"/>
      <c r="E144" s="110"/>
      <c r="F144" s="110"/>
      <c r="G144" s="110"/>
      <c r="H144" s="110"/>
      <c r="I144" s="110"/>
      <c r="J144" s="110"/>
      <c r="K144" s="110"/>
      <c r="L144" s="110"/>
      <c r="M144" s="110"/>
      <c r="N144" s="110"/>
      <c r="O144" s="110"/>
      <c r="P144" s="110"/>
      <c r="Q144" s="110"/>
      <c r="R144" s="110"/>
      <c r="S144" s="110"/>
      <c r="T144" s="110"/>
      <c r="U144" s="263"/>
      <c r="V144" s="108">
        <f t="shared" si="8"/>
        <v>0</v>
      </c>
      <c r="W144" s="108">
        <f>AN_TME_PY[[#This Row],[TOTAL Non-Truncated Unadjusted Claims Expenses]]-AN_TME_PY[[#This Row],[Total Claims Excluded because of Truncation]]</f>
        <v>0</v>
      </c>
      <c r="X144" s="108">
        <f t="shared" si="9"/>
        <v>0</v>
      </c>
      <c r="Y144" s="108">
        <f>AN_TME_PY[[#This Row],[TOTAL Non-Truncated Unadjusted Claims Expenses]]+AN_TME_PY[[#This Row],[TOTAL Non-Claims Expenses]]</f>
        <v>0</v>
      </c>
      <c r="Z144" s="108">
        <f>AN_TME_PY[[#This Row],[TOTAL Truncated Unadjusted Claims Expenses (A21 -A19)]]+AN_TME_PY[[#This Row],[TOTAL Non-Claims Expenses]]</f>
        <v>0</v>
      </c>
      <c r="AA144" s="235">
        <f>IFERROR(AN_TME_PY[[#This Row],[TOTAL Non-Truncated Unadjusted Expenses (A21 + A23)]]/AN_TME_PY[[#This Row],[Member Months]],0)</f>
        <v>0</v>
      </c>
      <c r="AB144" s="272">
        <f>IFERROR(AN_TME_PY[[#This Row],[TOTAL Truncated Unadjusted Expenses (A22 + A23)]]/AN_TME_PY[[#This Row],[Member Months]],0)</f>
        <v>0</v>
      </c>
      <c r="AC144" s="237">
        <f>IFERROR(AN_TME_PY[[#This Row],[Total Claims Excluded because of Truncation]]/AN_TME_PY[[#This Row],[Count of Members with Claims Truncated]], 0)</f>
        <v>0</v>
      </c>
      <c r="AD144" s="238">
        <f>IFERROR(AN_TME_PY[[#This Row],[Total Claims Excluded because of Truncation]]/AN_TME_PY[[#This Row],[TOTAL Non-Truncated Unadjusted Claims Expenses]], 0)</f>
        <v>0</v>
      </c>
    </row>
    <row r="145" spans="1:30" x14ac:dyDescent="0.25">
      <c r="A145" s="101"/>
      <c r="B145" s="104"/>
      <c r="C145" s="270"/>
      <c r="D145" s="105"/>
      <c r="E145" s="110"/>
      <c r="F145" s="110"/>
      <c r="G145" s="110"/>
      <c r="H145" s="110"/>
      <c r="I145" s="110"/>
      <c r="J145" s="110"/>
      <c r="K145" s="110"/>
      <c r="L145" s="110"/>
      <c r="M145" s="110"/>
      <c r="N145" s="110"/>
      <c r="O145" s="110"/>
      <c r="P145" s="110"/>
      <c r="Q145" s="110"/>
      <c r="R145" s="110"/>
      <c r="S145" s="110"/>
      <c r="T145" s="110"/>
      <c r="U145" s="263"/>
      <c r="V145" s="108">
        <f t="shared" si="8"/>
        <v>0</v>
      </c>
      <c r="W145" s="108">
        <f>AN_TME_PY[[#This Row],[TOTAL Non-Truncated Unadjusted Claims Expenses]]-AN_TME_PY[[#This Row],[Total Claims Excluded because of Truncation]]</f>
        <v>0</v>
      </c>
      <c r="X145" s="108">
        <f t="shared" si="9"/>
        <v>0</v>
      </c>
      <c r="Y145" s="108">
        <f>AN_TME_PY[[#This Row],[TOTAL Non-Truncated Unadjusted Claims Expenses]]+AN_TME_PY[[#This Row],[TOTAL Non-Claims Expenses]]</f>
        <v>0</v>
      </c>
      <c r="Z145" s="108">
        <f>AN_TME_PY[[#This Row],[TOTAL Truncated Unadjusted Claims Expenses (A21 -A19)]]+AN_TME_PY[[#This Row],[TOTAL Non-Claims Expenses]]</f>
        <v>0</v>
      </c>
      <c r="AA145" s="235">
        <f>IFERROR(AN_TME_PY[[#This Row],[TOTAL Non-Truncated Unadjusted Expenses (A21 + A23)]]/AN_TME_PY[[#This Row],[Member Months]],0)</f>
        <v>0</v>
      </c>
      <c r="AB145" s="272">
        <f>IFERROR(AN_TME_PY[[#This Row],[TOTAL Truncated Unadjusted Expenses (A22 + A23)]]/AN_TME_PY[[#This Row],[Member Months]],0)</f>
        <v>0</v>
      </c>
      <c r="AC145" s="237">
        <f>IFERROR(AN_TME_PY[[#This Row],[Total Claims Excluded because of Truncation]]/AN_TME_PY[[#This Row],[Count of Members with Claims Truncated]], 0)</f>
        <v>0</v>
      </c>
      <c r="AD145" s="238">
        <f>IFERROR(AN_TME_PY[[#This Row],[Total Claims Excluded because of Truncation]]/AN_TME_PY[[#This Row],[TOTAL Non-Truncated Unadjusted Claims Expenses]], 0)</f>
        <v>0</v>
      </c>
    </row>
    <row r="146" spans="1:30" x14ac:dyDescent="0.25">
      <c r="A146" s="101"/>
      <c r="B146" s="104"/>
      <c r="C146" s="267"/>
      <c r="D146" s="105"/>
      <c r="E146" s="110"/>
      <c r="F146" s="110"/>
      <c r="G146" s="110"/>
      <c r="H146" s="110"/>
      <c r="I146" s="110"/>
      <c r="J146" s="110"/>
      <c r="K146" s="110"/>
      <c r="L146" s="110"/>
      <c r="M146" s="110"/>
      <c r="N146" s="110"/>
      <c r="O146" s="110"/>
      <c r="P146" s="110"/>
      <c r="Q146" s="110"/>
      <c r="R146" s="110"/>
      <c r="S146" s="110"/>
      <c r="T146" s="110"/>
      <c r="U146" s="263"/>
      <c r="V146" s="108">
        <f t="shared" si="8"/>
        <v>0</v>
      </c>
      <c r="W146" s="108">
        <f>AN_TME_PY[[#This Row],[TOTAL Non-Truncated Unadjusted Claims Expenses]]-AN_TME_PY[[#This Row],[Total Claims Excluded because of Truncation]]</f>
        <v>0</v>
      </c>
      <c r="X146" s="108">
        <f t="shared" si="9"/>
        <v>0</v>
      </c>
      <c r="Y146" s="108">
        <f>AN_TME_PY[[#This Row],[TOTAL Non-Truncated Unadjusted Claims Expenses]]+AN_TME_PY[[#This Row],[TOTAL Non-Claims Expenses]]</f>
        <v>0</v>
      </c>
      <c r="Z146" s="108">
        <f>AN_TME_PY[[#This Row],[TOTAL Truncated Unadjusted Claims Expenses (A21 -A19)]]+AN_TME_PY[[#This Row],[TOTAL Non-Claims Expenses]]</f>
        <v>0</v>
      </c>
      <c r="AA146" s="235">
        <f>IFERROR(AN_TME_PY[[#This Row],[TOTAL Non-Truncated Unadjusted Expenses (A21 + A23)]]/AN_TME_PY[[#This Row],[Member Months]],0)</f>
        <v>0</v>
      </c>
      <c r="AB146" s="272">
        <f>IFERROR(AN_TME_PY[[#This Row],[TOTAL Truncated Unadjusted Expenses (A22 + A23)]]/AN_TME_PY[[#This Row],[Member Months]],0)</f>
        <v>0</v>
      </c>
      <c r="AC146" s="237">
        <f>IFERROR(AN_TME_PY[[#This Row],[Total Claims Excluded because of Truncation]]/AN_TME_PY[[#This Row],[Count of Members with Claims Truncated]], 0)</f>
        <v>0</v>
      </c>
      <c r="AD146" s="238">
        <f>IFERROR(AN_TME_PY[[#This Row],[Total Claims Excluded because of Truncation]]/AN_TME_PY[[#This Row],[TOTAL Non-Truncated Unadjusted Claims Expenses]], 0)</f>
        <v>0</v>
      </c>
    </row>
    <row r="147" spans="1:30" x14ac:dyDescent="0.25">
      <c r="A147" s="101"/>
      <c r="B147" s="104"/>
      <c r="C147" s="270"/>
      <c r="D147" s="105"/>
      <c r="E147" s="110"/>
      <c r="F147" s="110"/>
      <c r="G147" s="110"/>
      <c r="H147" s="110"/>
      <c r="I147" s="110"/>
      <c r="J147" s="110"/>
      <c r="K147" s="110"/>
      <c r="L147" s="110"/>
      <c r="M147" s="110"/>
      <c r="N147" s="110"/>
      <c r="O147" s="110"/>
      <c r="P147" s="110"/>
      <c r="Q147" s="110"/>
      <c r="R147" s="110"/>
      <c r="S147" s="110"/>
      <c r="T147" s="110"/>
      <c r="U147" s="263"/>
      <c r="V147" s="108">
        <f t="shared" si="8"/>
        <v>0</v>
      </c>
      <c r="W147" s="108">
        <f>AN_TME_PY[[#This Row],[TOTAL Non-Truncated Unadjusted Claims Expenses]]-AN_TME_PY[[#This Row],[Total Claims Excluded because of Truncation]]</f>
        <v>0</v>
      </c>
      <c r="X147" s="108">
        <f t="shared" si="9"/>
        <v>0</v>
      </c>
      <c r="Y147" s="108">
        <f>AN_TME_PY[[#This Row],[TOTAL Non-Truncated Unadjusted Claims Expenses]]+AN_TME_PY[[#This Row],[TOTAL Non-Claims Expenses]]</f>
        <v>0</v>
      </c>
      <c r="Z147" s="108">
        <f>AN_TME_PY[[#This Row],[TOTAL Truncated Unadjusted Claims Expenses (A21 -A19)]]+AN_TME_PY[[#This Row],[TOTAL Non-Claims Expenses]]</f>
        <v>0</v>
      </c>
      <c r="AA147" s="235">
        <f>IFERROR(AN_TME_PY[[#This Row],[TOTAL Non-Truncated Unadjusted Expenses (A21 + A23)]]/AN_TME_PY[[#This Row],[Member Months]],0)</f>
        <v>0</v>
      </c>
      <c r="AB147" s="272">
        <f>IFERROR(AN_TME_PY[[#This Row],[TOTAL Truncated Unadjusted Expenses (A22 + A23)]]/AN_TME_PY[[#This Row],[Member Months]],0)</f>
        <v>0</v>
      </c>
      <c r="AC147" s="237">
        <f>IFERROR(AN_TME_PY[[#This Row],[Total Claims Excluded because of Truncation]]/AN_TME_PY[[#This Row],[Count of Members with Claims Truncated]], 0)</f>
        <v>0</v>
      </c>
      <c r="AD147" s="238">
        <f>IFERROR(AN_TME_PY[[#This Row],[Total Claims Excluded because of Truncation]]/AN_TME_PY[[#This Row],[TOTAL Non-Truncated Unadjusted Claims Expenses]], 0)</f>
        <v>0</v>
      </c>
    </row>
    <row r="148" spans="1:30" x14ac:dyDescent="0.25">
      <c r="A148" s="101"/>
      <c r="B148" s="104"/>
      <c r="C148" s="267"/>
      <c r="D148" s="105"/>
      <c r="E148" s="110"/>
      <c r="F148" s="110"/>
      <c r="G148" s="110"/>
      <c r="H148" s="110"/>
      <c r="I148" s="110"/>
      <c r="J148" s="110"/>
      <c r="K148" s="110"/>
      <c r="L148" s="110"/>
      <c r="M148" s="110"/>
      <c r="N148" s="110"/>
      <c r="O148" s="110"/>
      <c r="P148" s="110"/>
      <c r="Q148" s="110"/>
      <c r="R148" s="110"/>
      <c r="S148" s="110"/>
      <c r="T148" s="110"/>
      <c r="U148" s="263"/>
      <c r="V148" s="108">
        <f t="shared" si="8"/>
        <v>0</v>
      </c>
      <c r="W148" s="108">
        <f>AN_TME_PY[[#This Row],[TOTAL Non-Truncated Unadjusted Claims Expenses]]-AN_TME_PY[[#This Row],[Total Claims Excluded because of Truncation]]</f>
        <v>0</v>
      </c>
      <c r="X148" s="108">
        <f t="shared" si="9"/>
        <v>0</v>
      </c>
      <c r="Y148" s="108">
        <f>AN_TME_PY[[#This Row],[TOTAL Non-Truncated Unadjusted Claims Expenses]]+AN_TME_PY[[#This Row],[TOTAL Non-Claims Expenses]]</f>
        <v>0</v>
      </c>
      <c r="Z148" s="108">
        <f>AN_TME_PY[[#This Row],[TOTAL Truncated Unadjusted Claims Expenses (A21 -A19)]]+AN_TME_PY[[#This Row],[TOTAL Non-Claims Expenses]]</f>
        <v>0</v>
      </c>
      <c r="AA148" s="235">
        <f>IFERROR(AN_TME_PY[[#This Row],[TOTAL Non-Truncated Unadjusted Expenses (A21 + A23)]]/AN_TME_PY[[#This Row],[Member Months]],0)</f>
        <v>0</v>
      </c>
      <c r="AB148" s="272">
        <f>IFERROR(AN_TME_PY[[#This Row],[TOTAL Truncated Unadjusted Expenses (A22 + A23)]]/AN_TME_PY[[#This Row],[Member Months]],0)</f>
        <v>0</v>
      </c>
      <c r="AC148" s="237">
        <f>IFERROR(AN_TME_PY[[#This Row],[Total Claims Excluded because of Truncation]]/AN_TME_PY[[#This Row],[Count of Members with Claims Truncated]], 0)</f>
        <v>0</v>
      </c>
      <c r="AD148" s="238">
        <f>IFERROR(AN_TME_PY[[#This Row],[Total Claims Excluded because of Truncation]]/AN_TME_PY[[#This Row],[TOTAL Non-Truncated Unadjusted Claims Expenses]], 0)</f>
        <v>0</v>
      </c>
    </row>
    <row r="149" spans="1:30" x14ac:dyDescent="0.25">
      <c r="A149" s="101"/>
      <c r="B149" s="104"/>
      <c r="C149" s="270"/>
      <c r="D149" s="105"/>
      <c r="E149" s="110"/>
      <c r="F149" s="110"/>
      <c r="G149" s="110"/>
      <c r="H149" s="110"/>
      <c r="I149" s="110"/>
      <c r="J149" s="110"/>
      <c r="K149" s="110"/>
      <c r="L149" s="110"/>
      <c r="M149" s="110"/>
      <c r="N149" s="110"/>
      <c r="O149" s="110"/>
      <c r="P149" s="110"/>
      <c r="Q149" s="110"/>
      <c r="R149" s="110"/>
      <c r="S149" s="110"/>
      <c r="T149" s="110"/>
      <c r="U149" s="263"/>
      <c r="V149" s="108">
        <f t="shared" si="8"/>
        <v>0</v>
      </c>
      <c r="W149" s="108">
        <f>AN_TME_PY[[#This Row],[TOTAL Non-Truncated Unadjusted Claims Expenses]]-AN_TME_PY[[#This Row],[Total Claims Excluded because of Truncation]]</f>
        <v>0</v>
      </c>
      <c r="X149" s="108">
        <f t="shared" si="9"/>
        <v>0</v>
      </c>
      <c r="Y149" s="108">
        <f>AN_TME_PY[[#This Row],[TOTAL Non-Truncated Unadjusted Claims Expenses]]+AN_TME_PY[[#This Row],[TOTAL Non-Claims Expenses]]</f>
        <v>0</v>
      </c>
      <c r="Z149" s="108">
        <f>AN_TME_PY[[#This Row],[TOTAL Truncated Unadjusted Claims Expenses (A21 -A19)]]+AN_TME_PY[[#This Row],[TOTAL Non-Claims Expenses]]</f>
        <v>0</v>
      </c>
      <c r="AA149" s="235">
        <f>IFERROR(AN_TME_PY[[#This Row],[TOTAL Non-Truncated Unadjusted Expenses (A21 + A23)]]/AN_TME_PY[[#This Row],[Member Months]],0)</f>
        <v>0</v>
      </c>
      <c r="AB149" s="272">
        <f>IFERROR(AN_TME_PY[[#This Row],[TOTAL Truncated Unadjusted Expenses (A22 + A23)]]/AN_TME_PY[[#This Row],[Member Months]],0)</f>
        <v>0</v>
      </c>
      <c r="AC149" s="237">
        <f>IFERROR(AN_TME_PY[[#This Row],[Total Claims Excluded because of Truncation]]/AN_TME_PY[[#This Row],[Count of Members with Claims Truncated]], 0)</f>
        <v>0</v>
      </c>
      <c r="AD149" s="238">
        <f>IFERROR(AN_TME_PY[[#This Row],[Total Claims Excluded because of Truncation]]/AN_TME_PY[[#This Row],[TOTAL Non-Truncated Unadjusted Claims Expenses]], 0)</f>
        <v>0</v>
      </c>
    </row>
    <row r="150" spans="1:30" x14ac:dyDescent="0.25">
      <c r="A150" s="101"/>
      <c r="B150" s="104"/>
      <c r="C150" s="267"/>
      <c r="D150" s="105"/>
      <c r="E150" s="110"/>
      <c r="F150" s="110"/>
      <c r="G150" s="110"/>
      <c r="H150" s="110"/>
      <c r="I150" s="110"/>
      <c r="J150" s="110"/>
      <c r="K150" s="110"/>
      <c r="L150" s="110"/>
      <c r="M150" s="110"/>
      <c r="N150" s="110"/>
      <c r="O150" s="110"/>
      <c r="P150" s="110"/>
      <c r="Q150" s="110"/>
      <c r="R150" s="110"/>
      <c r="S150" s="110"/>
      <c r="T150" s="110"/>
      <c r="U150" s="263"/>
      <c r="V150" s="108">
        <f t="shared" si="8"/>
        <v>0</v>
      </c>
      <c r="W150" s="108">
        <f>AN_TME_PY[[#This Row],[TOTAL Non-Truncated Unadjusted Claims Expenses]]-AN_TME_PY[[#This Row],[Total Claims Excluded because of Truncation]]</f>
        <v>0</v>
      </c>
      <c r="X150" s="108">
        <f t="shared" si="9"/>
        <v>0</v>
      </c>
      <c r="Y150" s="108">
        <f>AN_TME_PY[[#This Row],[TOTAL Non-Truncated Unadjusted Claims Expenses]]+AN_TME_PY[[#This Row],[TOTAL Non-Claims Expenses]]</f>
        <v>0</v>
      </c>
      <c r="Z150" s="108">
        <f>AN_TME_PY[[#This Row],[TOTAL Truncated Unadjusted Claims Expenses (A21 -A19)]]+AN_TME_PY[[#This Row],[TOTAL Non-Claims Expenses]]</f>
        <v>0</v>
      </c>
      <c r="AA150" s="235">
        <f>IFERROR(AN_TME_PY[[#This Row],[TOTAL Non-Truncated Unadjusted Expenses (A21 + A23)]]/AN_TME_PY[[#This Row],[Member Months]],0)</f>
        <v>0</v>
      </c>
      <c r="AB150" s="272">
        <f>IFERROR(AN_TME_PY[[#This Row],[TOTAL Truncated Unadjusted Expenses (A22 + A23)]]/AN_TME_PY[[#This Row],[Member Months]],0)</f>
        <v>0</v>
      </c>
      <c r="AC150" s="237">
        <f>IFERROR(AN_TME_PY[[#This Row],[Total Claims Excluded because of Truncation]]/AN_TME_PY[[#This Row],[Count of Members with Claims Truncated]], 0)</f>
        <v>0</v>
      </c>
      <c r="AD150" s="238">
        <f>IFERROR(AN_TME_PY[[#This Row],[Total Claims Excluded because of Truncation]]/AN_TME_PY[[#This Row],[TOTAL Non-Truncated Unadjusted Claims Expenses]], 0)</f>
        <v>0</v>
      </c>
    </row>
    <row r="151" spans="1:30" x14ac:dyDescent="0.25">
      <c r="A151" s="101"/>
      <c r="B151" s="104"/>
      <c r="C151" s="270"/>
      <c r="D151" s="105"/>
      <c r="E151" s="110"/>
      <c r="F151" s="110"/>
      <c r="G151" s="110"/>
      <c r="H151" s="110"/>
      <c r="I151" s="110"/>
      <c r="J151" s="110"/>
      <c r="K151" s="110"/>
      <c r="L151" s="110"/>
      <c r="M151" s="110"/>
      <c r="N151" s="110"/>
      <c r="O151" s="110"/>
      <c r="P151" s="110"/>
      <c r="Q151" s="110"/>
      <c r="R151" s="110"/>
      <c r="S151" s="110"/>
      <c r="T151" s="110"/>
      <c r="U151" s="263"/>
      <c r="V151" s="108">
        <f t="shared" si="8"/>
        <v>0</v>
      </c>
      <c r="W151" s="108">
        <f>AN_TME_PY[[#This Row],[TOTAL Non-Truncated Unadjusted Claims Expenses]]-AN_TME_PY[[#This Row],[Total Claims Excluded because of Truncation]]</f>
        <v>0</v>
      </c>
      <c r="X151" s="108">
        <f t="shared" si="9"/>
        <v>0</v>
      </c>
      <c r="Y151" s="108">
        <f>AN_TME_PY[[#This Row],[TOTAL Non-Truncated Unadjusted Claims Expenses]]+AN_TME_PY[[#This Row],[TOTAL Non-Claims Expenses]]</f>
        <v>0</v>
      </c>
      <c r="Z151" s="108">
        <f>AN_TME_PY[[#This Row],[TOTAL Truncated Unadjusted Claims Expenses (A21 -A19)]]+AN_TME_PY[[#This Row],[TOTAL Non-Claims Expenses]]</f>
        <v>0</v>
      </c>
      <c r="AA151" s="235">
        <f>IFERROR(AN_TME_PY[[#This Row],[TOTAL Non-Truncated Unadjusted Expenses (A21 + A23)]]/AN_TME_PY[[#This Row],[Member Months]],0)</f>
        <v>0</v>
      </c>
      <c r="AB151" s="272">
        <f>IFERROR(AN_TME_PY[[#This Row],[TOTAL Truncated Unadjusted Expenses (A22 + A23)]]/AN_TME_PY[[#This Row],[Member Months]],0)</f>
        <v>0</v>
      </c>
      <c r="AC151" s="237">
        <f>IFERROR(AN_TME_PY[[#This Row],[Total Claims Excluded because of Truncation]]/AN_TME_PY[[#This Row],[Count of Members with Claims Truncated]], 0)</f>
        <v>0</v>
      </c>
      <c r="AD151" s="238">
        <f>IFERROR(AN_TME_PY[[#This Row],[Total Claims Excluded because of Truncation]]/AN_TME_PY[[#This Row],[TOTAL Non-Truncated Unadjusted Claims Expenses]], 0)</f>
        <v>0</v>
      </c>
    </row>
    <row r="152" spans="1:30" x14ac:dyDescent="0.25">
      <c r="A152" s="101"/>
      <c r="B152" s="104"/>
      <c r="C152" s="267"/>
      <c r="D152" s="105"/>
      <c r="E152" s="110"/>
      <c r="F152" s="110"/>
      <c r="G152" s="110"/>
      <c r="H152" s="110"/>
      <c r="I152" s="110"/>
      <c r="J152" s="110"/>
      <c r="K152" s="110"/>
      <c r="L152" s="110"/>
      <c r="M152" s="110"/>
      <c r="N152" s="110"/>
      <c r="O152" s="110"/>
      <c r="P152" s="110"/>
      <c r="Q152" s="110"/>
      <c r="R152" s="110"/>
      <c r="S152" s="110"/>
      <c r="T152" s="110"/>
      <c r="U152" s="263"/>
      <c r="V152" s="108">
        <f t="shared" si="8"/>
        <v>0</v>
      </c>
      <c r="W152" s="108">
        <f>AN_TME_PY[[#This Row],[TOTAL Non-Truncated Unadjusted Claims Expenses]]-AN_TME_PY[[#This Row],[Total Claims Excluded because of Truncation]]</f>
        <v>0</v>
      </c>
      <c r="X152" s="108">
        <f t="shared" si="9"/>
        <v>0</v>
      </c>
      <c r="Y152" s="108">
        <f>AN_TME_PY[[#This Row],[TOTAL Non-Truncated Unadjusted Claims Expenses]]+AN_TME_PY[[#This Row],[TOTAL Non-Claims Expenses]]</f>
        <v>0</v>
      </c>
      <c r="Z152" s="108">
        <f>AN_TME_PY[[#This Row],[TOTAL Truncated Unadjusted Claims Expenses (A21 -A19)]]+AN_TME_PY[[#This Row],[TOTAL Non-Claims Expenses]]</f>
        <v>0</v>
      </c>
      <c r="AA152" s="235">
        <f>IFERROR(AN_TME_PY[[#This Row],[TOTAL Non-Truncated Unadjusted Expenses (A21 + A23)]]/AN_TME_PY[[#This Row],[Member Months]],0)</f>
        <v>0</v>
      </c>
      <c r="AB152" s="272">
        <f>IFERROR(AN_TME_PY[[#This Row],[TOTAL Truncated Unadjusted Expenses (A22 + A23)]]/AN_TME_PY[[#This Row],[Member Months]],0)</f>
        <v>0</v>
      </c>
      <c r="AC152" s="237">
        <f>IFERROR(AN_TME_PY[[#This Row],[Total Claims Excluded because of Truncation]]/AN_TME_PY[[#This Row],[Count of Members with Claims Truncated]], 0)</f>
        <v>0</v>
      </c>
      <c r="AD152" s="238">
        <f>IFERROR(AN_TME_PY[[#This Row],[Total Claims Excluded because of Truncation]]/AN_TME_PY[[#This Row],[TOTAL Non-Truncated Unadjusted Claims Expenses]], 0)</f>
        <v>0</v>
      </c>
    </row>
    <row r="153" spans="1:30" x14ac:dyDescent="0.25">
      <c r="A153" s="101"/>
      <c r="B153" s="104"/>
      <c r="C153" s="270"/>
      <c r="D153" s="105"/>
      <c r="E153" s="110"/>
      <c r="F153" s="110"/>
      <c r="G153" s="110"/>
      <c r="H153" s="110"/>
      <c r="I153" s="110"/>
      <c r="J153" s="110"/>
      <c r="K153" s="110"/>
      <c r="L153" s="110"/>
      <c r="M153" s="110"/>
      <c r="N153" s="110"/>
      <c r="O153" s="110"/>
      <c r="P153" s="110"/>
      <c r="Q153" s="110"/>
      <c r="R153" s="110"/>
      <c r="S153" s="110"/>
      <c r="T153" s="110"/>
      <c r="U153" s="263"/>
      <c r="V153" s="108">
        <f t="shared" si="8"/>
        <v>0</v>
      </c>
      <c r="W153" s="108">
        <f>AN_TME_PY[[#This Row],[TOTAL Non-Truncated Unadjusted Claims Expenses]]-AN_TME_PY[[#This Row],[Total Claims Excluded because of Truncation]]</f>
        <v>0</v>
      </c>
      <c r="X153" s="108">
        <f t="shared" si="9"/>
        <v>0</v>
      </c>
      <c r="Y153" s="108">
        <f>AN_TME_PY[[#This Row],[TOTAL Non-Truncated Unadjusted Claims Expenses]]+AN_TME_PY[[#This Row],[TOTAL Non-Claims Expenses]]</f>
        <v>0</v>
      </c>
      <c r="Z153" s="108">
        <f>AN_TME_PY[[#This Row],[TOTAL Truncated Unadjusted Claims Expenses (A21 -A19)]]+AN_TME_PY[[#This Row],[TOTAL Non-Claims Expenses]]</f>
        <v>0</v>
      </c>
      <c r="AA153" s="235">
        <f>IFERROR(AN_TME_PY[[#This Row],[TOTAL Non-Truncated Unadjusted Expenses (A21 + A23)]]/AN_TME_PY[[#This Row],[Member Months]],0)</f>
        <v>0</v>
      </c>
      <c r="AB153" s="272">
        <f>IFERROR(AN_TME_PY[[#This Row],[TOTAL Truncated Unadjusted Expenses (A22 + A23)]]/AN_TME_PY[[#This Row],[Member Months]],0)</f>
        <v>0</v>
      </c>
      <c r="AC153" s="237">
        <f>IFERROR(AN_TME_PY[[#This Row],[Total Claims Excluded because of Truncation]]/AN_TME_PY[[#This Row],[Count of Members with Claims Truncated]], 0)</f>
        <v>0</v>
      </c>
      <c r="AD153" s="238">
        <f>IFERROR(AN_TME_PY[[#This Row],[Total Claims Excluded because of Truncation]]/AN_TME_PY[[#This Row],[TOTAL Non-Truncated Unadjusted Claims Expenses]], 0)</f>
        <v>0</v>
      </c>
    </row>
    <row r="154" spans="1:30" x14ac:dyDescent="0.25">
      <c r="A154" s="101"/>
      <c r="B154" s="104"/>
      <c r="C154" s="267"/>
      <c r="D154" s="105"/>
      <c r="E154" s="110"/>
      <c r="F154" s="110"/>
      <c r="G154" s="110"/>
      <c r="H154" s="110"/>
      <c r="I154" s="110"/>
      <c r="J154" s="110"/>
      <c r="K154" s="110"/>
      <c r="L154" s="110"/>
      <c r="M154" s="110"/>
      <c r="N154" s="110"/>
      <c r="O154" s="110"/>
      <c r="P154" s="110"/>
      <c r="Q154" s="110"/>
      <c r="R154" s="110"/>
      <c r="S154" s="110"/>
      <c r="T154" s="110"/>
      <c r="U154" s="263"/>
      <c r="V154" s="108">
        <f t="shared" si="8"/>
        <v>0</v>
      </c>
      <c r="W154" s="108">
        <f>AN_TME_PY[[#This Row],[TOTAL Non-Truncated Unadjusted Claims Expenses]]-AN_TME_PY[[#This Row],[Total Claims Excluded because of Truncation]]</f>
        <v>0</v>
      </c>
      <c r="X154" s="108">
        <f t="shared" si="9"/>
        <v>0</v>
      </c>
      <c r="Y154" s="108">
        <f>AN_TME_PY[[#This Row],[TOTAL Non-Truncated Unadjusted Claims Expenses]]+AN_TME_PY[[#This Row],[TOTAL Non-Claims Expenses]]</f>
        <v>0</v>
      </c>
      <c r="Z154" s="108">
        <f>AN_TME_PY[[#This Row],[TOTAL Truncated Unadjusted Claims Expenses (A21 -A19)]]+AN_TME_PY[[#This Row],[TOTAL Non-Claims Expenses]]</f>
        <v>0</v>
      </c>
      <c r="AA154" s="235">
        <f>IFERROR(AN_TME_PY[[#This Row],[TOTAL Non-Truncated Unadjusted Expenses (A21 + A23)]]/AN_TME_PY[[#This Row],[Member Months]],0)</f>
        <v>0</v>
      </c>
      <c r="AB154" s="272">
        <f>IFERROR(AN_TME_PY[[#This Row],[TOTAL Truncated Unadjusted Expenses (A22 + A23)]]/AN_TME_PY[[#This Row],[Member Months]],0)</f>
        <v>0</v>
      </c>
      <c r="AC154" s="237">
        <f>IFERROR(AN_TME_PY[[#This Row],[Total Claims Excluded because of Truncation]]/AN_TME_PY[[#This Row],[Count of Members with Claims Truncated]], 0)</f>
        <v>0</v>
      </c>
      <c r="AD154" s="238">
        <f>IFERROR(AN_TME_PY[[#This Row],[Total Claims Excluded because of Truncation]]/AN_TME_PY[[#This Row],[TOTAL Non-Truncated Unadjusted Claims Expenses]], 0)</f>
        <v>0</v>
      </c>
    </row>
    <row r="155" spans="1:30" x14ac:dyDescent="0.25">
      <c r="A155" s="101"/>
      <c r="B155" s="104"/>
      <c r="C155" s="270"/>
      <c r="D155" s="105"/>
      <c r="E155" s="110"/>
      <c r="F155" s="110"/>
      <c r="G155" s="110"/>
      <c r="H155" s="110"/>
      <c r="I155" s="110"/>
      <c r="J155" s="110"/>
      <c r="K155" s="110"/>
      <c r="L155" s="110"/>
      <c r="M155" s="110"/>
      <c r="N155" s="110"/>
      <c r="O155" s="110"/>
      <c r="P155" s="110"/>
      <c r="Q155" s="110"/>
      <c r="R155" s="110"/>
      <c r="S155" s="110"/>
      <c r="T155" s="110"/>
      <c r="U155" s="263"/>
      <c r="V155" s="108">
        <f t="shared" si="8"/>
        <v>0</v>
      </c>
      <c r="W155" s="108">
        <f>AN_TME_PY[[#This Row],[TOTAL Non-Truncated Unadjusted Claims Expenses]]-AN_TME_PY[[#This Row],[Total Claims Excluded because of Truncation]]</f>
        <v>0</v>
      </c>
      <c r="X155" s="108">
        <f t="shared" si="9"/>
        <v>0</v>
      </c>
      <c r="Y155" s="108">
        <f>AN_TME_PY[[#This Row],[TOTAL Non-Truncated Unadjusted Claims Expenses]]+AN_TME_PY[[#This Row],[TOTAL Non-Claims Expenses]]</f>
        <v>0</v>
      </c>
      <c r="Z155" s="108">
        <f>AN_TME_PY[[#This Row],[TOTAL Truncated Unadjusted Claims Expenses (A21 -A19)]]+AN_TME_PY[[#This Row],[TOTAL Non-Claims Expenses]]</f>
        <v>0</v>
      </c>
      <c r="AA155" s="235">
        <f>IFERROR(AN_TME_PY[[#This Row],[TOTAL Non-Truncated Unadjusted Expenses (A21 + A23)]]/AN_TME_PY[[#This Row],[Member Months]],0)</f>
        <v>0</v>
      </c>
      <c r="AB155" s="272">
        <f>IFERROR(AN_TME_PY[[#This Row],[TOTAL Truncated Unadjusted Expenses (A22 + A23)]]/AN_TME_PY[[#This Row],[Member Months]],0)</f>
        <v>0</v>
      </c>
      <c r="AC155" s="237">
        <f>IFERROR(AN_TME_PY[[#This Row],[Total Claims Excluded because of Truncation]]/AN_TME_PY[[#This Row],[Count of Members with Claims Truncated]], 0)</f>
        <v>0</v>
      </c>
      <c r="AD155" s="238">
        <f>IFERROR(AN_TME_PY[[#This Row],[Total Claims Excluded because of Truncation]]/AN_TME_PY[[#This Row],[TOTAL Non-Truncated Unadjusted Claims Expenses]], 0)</f>
        <v>0</v>
      </c>
    </row>
    <row r="156" spans="1:30" x14ac:dyDescent="0.25">
      <c r="A156" s="101"/>
      <c r="B156" s="104"/>
      <c r="C156" s="267"/>
      <c r="D156" s="105"/>
      <c r="E156" s="110"/>
      <c r="F156" s="110"/>
      <c r="G156" s="110"/>
      <c r="H156" s="110"/>
      <c r="I156" s="110"/>
      <c r="J156" s="110"/>
      <c r="K156" s="110"/>
      <c r="L156" s="110"/>
      <c r="M156" s="110"/>
      <c r="N156" s="110"/>
      <c r="O156" s="110"/>
      <c r="P156" s="110"/>
      <c r="Q156" s="110"/>
      <c r="R156" s="110"/>
      <c r="S156" s="110"/>
      <c r="T156" s="110"/>
      <c r="U156" s="263"/>
      <c r="V156" s="108">
        <f t="shared" si="8"/>
        <v>0</v>
      </c>
      <c r="W156" s="108">
        <f>AN_TME_PY[[#This Row],[TOTAL Non-Truncated Unadjusted Claims Expenses]]-AN_TME_PY[[#This Row],[Total Claims Excluded because of Truncation]]</f>
        <v>0</v>
      </c>
      <c r="X156" s="108">
        <f t="shared" si="9"/>
        <v>0</v>
      </c>
      <c r="Y156" s="108">
        <f>AN_TME_PY[[#This Row],[TOTAL Non-Truncated Unadjusted Claims Expenses]]+AN_TME_PY[[#This Row],[TOTAL Non-Claims Expenses]]</f>
        <v>0</v>
      </c>
      <c r="Z156" s="108">
        <f>AN_TME_PY[[#This Row],[TOTAL Truncated Unadjusted Claims Expenses (A21 -A19)]]+AN_TME_PY[[#This Row],[TOTAL Non-Claims Expenses]]</f>
        <v>0</v>
      </c>
      <c r="AA156" s="235">
        <f>IFERROR(AN_TME_PY[[#This Row],[TOTAL Non-Truncated Unadjusted Expenses (A21 + A23)]]/AN_TME_PY[[#This Row],[Member Months]],0)</f>
        <v>0</v>
      </c>
      <c r="AB156" s="272">
        <f>IFERROR(AN_TME_PY[[#This Row],[TOTAL Truncated Unadjusted Expenses (A22 + A23)]]/AN_TME_PY[[#This Row],[Member Months]],0)</f>
        <v>0</v>
      </c>
      <c r="AC156" s="237">
        <f>IFERROR(AN_TME_PY[[#This Row],[Total Claims Excluded because of Truncation]]/AN_TME_PY[[#This Row],[Count of Members with Claims Truncated]], 0)</f>
        <v>0</v>
      </c>
      <c r="AD156" s="238">
        <f>IFERROR(AN_TME_PY[[#This Row],[Total Claims Excluded because of Truncation]]/AN_TME_PY[[#This Row],[TOTAL Non-Truncated Unadjusted Claims Expenses]], 0)</f>
        <v>0</v>
      </c>
    </row>
    <row r="157" spans="1:30" x14ac:dyDescent="0.25">
      <c r="A157" s="101"/>
      <c r="B157" s="104"/>
      <c r="C157" s="270"/>
      <c r="D157" s="105"/>
      <c r="E157" s="110"/>
      <c r="F157" s="110"/>
      <c r="G157" s="110"/>
      <c r="H157" s="110"/>
      <c r="I157" s="110"/>
      <c r="J157" s="110"/>
      <c r="K157" s="110"/>
      <c r="L157" s="110"/>
      <c r="M157" s="110"/>
      <c r="N157" s="110"/>
      <c r="O157" s="110"/>
      <c r="P157" s="110"/>
      <c r="Q157" s="110"/>
      <c r="R157" s="110"/>
      <c r="S157" s="110"/>
      <c r="T157" s="110"/>
      <c r="U157" s="263"/>
      <c r="V157" s="108">
        <f t="shared" si="8"/>
        <v>0</v>
      </c>
      <c r="W157" s="108">
        <f>AN_TME_PY[[#This Row],[TOTAL Non-Truncated Unadjusted Claims Expenses]]-AN_TME_PY[[#This Row],[Total Claims Excluded because of Truncation]]</f>
        <v>0</v>
      </c>
      <c r="X157" s="108">
        <f t="shared" si="9"/>
        <v>0</v>
      </c>
      <c r="Y157" s="108">
        <f>AN_TME_PY[[#This Row],[TOTAL Non-Truncated Unadjusted Claims Expenses]]+AN_TME_PY[[#This Row],[TOTAL Non-Claims Expenses]]</f>
        <v>0</v>
      </c>
      <c r="Z157" s="108">
        <f>AN_TME_PY[[#This Row],[TOTAL Truncated Unadjusted Claims Expenses (A21 -A19)]]+AN_TME_PY[[#This Row],[TOTAL Non-Claims Expenses]]</f>
        <v>0</v>
      </c>
      <c r="AA157" s="235">
        <f>IFERROR(AN_TME_PY[[#This Row],[TOTAL Non-Truncated Unadjusted Expenses (A21 + A23)]]/AN_TME_PY[[#This Row],[Member Months]],0)</f>
        <v>0</v>
      </c>
      <c r="AB157" s="272">
        <f>IFERROR(AN_TME_PY[[#This Row],[TOTAL Truncated Unadjusted Expenses (A22 + A23)]]/AN_TME_PY[[#This Row],[Member Months]],0)</f>
        <v>0</v>
      </c>
      <c r="AC157" s="237">
        <f>IFERROR(AN_TME_PY[[#This Row],[Total Claims Excluded because of Truncation]]/AN_TME_PY[[#This Row],[Count of Members with Claims Truncated]], 0)</f>
        <v>0</v>
      </c>
      <c r="AD157" s="238">
        <f>IFERROR(AN_TME_PY[[#This Row],[Total Claims Excluded because of Truncation]]/AN_TME_PY[[#This Row],[TOTAL Non-Truncated Unadjusted Claims Expenses]], 0)</f>
        <v>0</v>
      </c>
    </row>
    <row r="158" spans="1:30" x14ac:dyDescent="0.25">
      <c r="A158" s="101"/>
      <c r="B158" s="104"/>
      <c r="C158" s="267"/>
      <c r="D158" s="105"/>
      <c r="E158" s="110"/>
      <c r="F158" s="110"/>
      <c r="G158" s="110"/>
      <c r="H158" s="110"/>
      <c r="I158" s="110"/>
      <c r="J158" s="110"/>
      <c r="K158" s="110"/>
      <c r="L158" s="110"/>
      <c r="M158" s="110"/>
      <c r="N158" s="110"/>
      <c r="O158" s="110"/>
      <c r="P158" s="110"/>
      <c r="Q158" s="110"/>
      <c r="R158" s="110"/>
      <c r="S158" s="110"/>
      <c r="T158" s="110"/>
      <c r="U158" s="263"/>
      <c r="V158" s="108">
        <f t="shared" si="8"/>
        <v>0</v>
      </c>
      <c r="W158" s="108">
        <f>AN_TME_PY[[#This Row],[TOTAL Non-Truncated Unadjusted Claims Expenses]]-AN_TME_PY[[#This Row],[Total Claims Excluded because of Truncation]]</f>
        <v>0</v>
      </c>
      <c r="X158" s="108">
        <f t="shared" si="9"/>
        <v>0</v>
      </c>
      <c r="Y158" s="108">
        <f>AN_TME_PY[[#This Row],[TOTAL Non-Truncated Unadjusted Claims Expenses]]+AN_TME_PY[[#This Row],[TOTAL Non-Claims Expenses]]</f>
        <v>0</v>
      </c>
      <c r="Z158" s="108">
        <f>AN_TME_PY[[#This Row],[TOTAL Truncated Unadjusted Claims Expenses (A21 -A19)]]+AN_TME_PY[[#This Row],[TOTAL Non-Claims Expenses]]</f>
        <v>0</v>
      </c>
      <c r="AA158" s="235">
        <f>IFERROR(AN_TME_PY[[#This Row],[TOTAL Non-Truncated Unadjusted Expenses (A21 + A23)]]/AN_TME_PY[[#This Row],[Member Months]],0)</f>
        <v>0</v>
      </c>
      <c r="AB158" s="272">
        <f>IFERROR(AN_TME_PY[[#This Row],[TOTAL Truncated Unadjusted Expenses (A22 + A23)]]/AN_TME_PY[[#This Row],[Member Months]],0)</f>
        <v>0</v>
      </c>
      <c r="AC158" s="237">
        <f>IFERROR(AN_TME_PY[[#This Row],[Total Claims Excluded because of Truncation]]/AN_TME_PY[[#This Row],[Count of Members with Claims Truncated]], 0)</f>
        <v>0</v>
      </c>
      <c r="AD158" s="238">
        <f>IFERROR(AN_TME_PY[[#This Row],[Total Claims Excluded because of Truncation]]/AN_TME_PY[[#This Row],[TOTAL Non-Truncated Unadjusted Claims Expenses]], 0)</f>
        <v>0</v>
      </c>
    </row>
    <row r="159" spans="1:30" x14ac:dyDescent="0.25">
      <c r="A159" s="101"/>
      <c r="B159" s="104"/>
      <c r="C159" s="270"/>
      <c r="D159" s="105"/>
      <c r="E159" s="110"/>
      <c r="F159" s="110"/>
      <c r="G159" s="110"/>
      <c r="H159" s="110"/>
      <c r="I159" s="110"/>
      <c r="J159" s="110"/>
      <c r="K159" s="110"/>
      <c r="L159" s="110"/>
      <c r="M159" s="110"/>
      <c r="N159" s="110"/>
      <c r="O159" s="110"/>
      <c r="P159" s="110"/>
      <c r="Q159" s="110"/>
      <c r="R159" s="110"/>
      <c r="S159" s="110"/>
      <c r="T159" s="110"/>
      <c r="U159" s="263"/>
      <c r="V159" s="108">
        <f t="shared" si="8"/>
        <v>0</v>
      </c>
      <c r="W159" s="108">
        <f>AN_TME_PY[[#This Row],[TOTAL Non-Truncated Unadjusted Claims Expenses]]-AN_TME_PY[[#This Row],[Total Claims Excluded because of Truncation]]</f>
        <v>0</v>
      </c>
      <c r="X159" s="108">
        <f t="shared" si="9"/>
        <v>0</v>
      </c>
      <c r="Y159" s="108">
        <f>AN_TME_PY[[#This Row],[TOTAL Non-Truncated Unadjusted Claims Expenses]]+AN_TME_PY[[#This Row],[TOTAL Non-Claims Expenses]]</f>
        <v>0</v>
      </c>
      <c r="Z159" s="108">
        <f>AN_TME_PY[[#This Row],[TOTAL Truncated Unadjusted Claims Expenses (A21 -A19)]]+AN_TME_PY[[#This Row],[TOTAL Non-Claims Expenses]]</f>
        <v>0</v>
      </c>
      <c r="AA159" s="235">
        <f>IFERROR(AN_TME_PY[[#This Row],[TOTAL Non-Truncated Unadjusted Expenses (A21 + A23)]]/AN_TME_PY[[#This Row],[Member Months]],0)</f>
        <v>0</v>
      </c>
      <c r="AB159" s="272">
        <f>IFERROR(AN_TME_PY[[#This Row],[TOTAL Truncated Unadjusted Expenses (A22 + A23)]]/AN_TME_PY[[#This Row],[Member Months]],0)</f>
        <v>0</v>
      </c>
      <c r="AC159" s="237">
        <f>IFERROR(AN_TME_PY[[#This Row],[Total Claims Excluded because of Truncation]]/AN_TME_PY[[#This Row],[Count of Members with Claims Truncated]], 0)</f>
        <v>0</v>
      </c>
      <c r="AD159" s="238">
        <f>IFERROR(AN_TME_PY[[#This Row],[Total Claims Excluded because of Truncation]]/AN_TME_PY[[#This Row],[TOTAL Non-Truncated Unadjusted Claims Expenses]], 0)</f>
        <v>0</v>
      </c>
    </row>
    <row r="160" spans="1:30" x14ac:dyDescent="0.25">
      <c r="A160" s="101"/>
      <c r="B160" s="104"/>
      <c r="C160" s="267"/>
      <c r="D160" s="105"/>
      <c r="E160" s="110"/>
      <c r="F160" s="110"/>
      <c r="G160" s="110"/>
      <c r="H160" s="110"/>
      <c r="I160" s="110"/>
      <c r="J160" s="110"/>
      <c r="K160" s="110"/>
      <c r="L160" s="110"/>
      <c r="M160" s="110"/>
      <c r="N160" s="110"/>
      <c r="O160" s="110"/>
      <c r="P160" s="110"/>
      <c r="Q160" s="110"/>
      <c r="R160" s="110"/>
      <c r="S160" s="110"/>
      <c r="T160" s="110"/>
      <c r="U160" s="263"/>
      <c r="V160" s="108">
        <f t="shared" si="8"/>
        <v>0</v>
      </c>
      <c r="W160" s="108">
        <f>AN_TME_PY[[#This Row],[TOTAL Non-Truncated Unadjusted Claims Expenses]]-AN_TME_PY[[#This Row],[Total Claims Excluded because of Truncation]]</f>
        <v>0</v>
      </c>
      <c r="X160" s="108">
        <f t="shared" si="9"/>
        <v>0</v>
      </c>
      <c r="Y160" s="108">
        <f>AN_TME_PY[[#This Row],[TOTAL Non-Truncated Unadjusted Claims Expenses]]+AN_TME_PY[[#This Row],[TOTAL Non-Claims Expenses]]</f>
        <v>0</v>
      </c>
      <c r="Z160" s="108">
        <f>AN_TME_PY[[#This Row],[TOTAL Truncated Unadjusted Claims Expenses (A21 -A19)]]+AN_TME_PY[[#This Row],[TOTAL Non-Claims Expenses]]</f>
        <v>0</v>
      </c>
      <c r="AA160" s="235">
        <f>IFERROR(AN_TME_PY[[#This Row],[TOTAL Non-Truncated Unadjusted Expenses (A21 + A23)]]/AN_TME_PY[[#This Row],[Member Months]],0)</f>
        <v>0</v>
      </c>
      <c r="AB160" s="272">
        <f>IFERROR(AN_TME_PY[[#This Row],[TOTAL Truncated Unadjusted Expenses (A22 + A23)]]/AN_TME_PY[[#This Row],[Member Months]],0)</f>
        <v>0</v>
      </c>
      <c r="AC160" s="237">
        <f>IFERROR(AN_TME_PY[[#This Row],[Total Claims Excluded because of Truncation]]/AN_TME_PY[[#This Row],[Count of Members with Claims Truncated]], 0)</f>
        <v>0</v>
      </c>
      <c r="AD160" s="238">
        <f>IFERROR(AN_TME_PY[[#This Row],[Total Claims Excluded because of Truncation]]/AN_TME_PY[[#This Row],[TOTAL Non-Truncated Unadjusted Claims Expenses]], 0)</f>
        <v>0</v>
      </c>
    </row>
    <row r="161" spans="1:30" x14ac:dyDescent="0.25">
      <c r="A161" s="101"/>
      <c r="B161" s="104"/>
      <c r="C161" s="270"/>
      <c r="D161" s="105"/>
      <c r="E161" s="110"/>
      <c r="F161" s="110"/>
      <c r="G161" s="110"/>
      <c r="H161" s="110"/>
      <c r="I161" s="110"/>
      <c r="J161" s="110"/>
      <c r="K161" s="110"/>
      <c r="L161" s="110"/>
      <c r="M161" s="110"/>
      <c r="N161" s="110"/>
      <c r="O161" s="110"/>
      <c r="P161" s="110"/>
      <c r="Q161" s="110"/>
      <c r="R161" s="110"/>
      <c r="S161" s="110"/>
      <c r="T161" s="110"/>
      <c r="U161" s="263"/>
      <c r="V161" s="108">
        <f t="shared" si="8"/>
        <v>0</v>
      </c>
      <c r="W161" s="108">
        <f>AN_TME_PY[[#This Row],[TOTAL Non-Truncated Unadjusted Claims Expenses]]-AN_TME_PY[[#This Row],[Total Claims Excluded because of Truncation]]</f>
        <v>0</v>
      </c>
      <c r="X161" s="108">
        <f t="shared" si="9"/>
        <v>0</v>
      </c>
      <c r="Y161" s="108">
        <f>AN_TME_PY[[#This Row],[TOTAL Non-Truncated Unadjusted Claims Expenses]]+AN_TME_PY[[#This Row],[TOTAL Non-Claims Expenses]]</f>
        <v>0</v>
      </c>
      <c r="Z161" s="108">
        <f>AN_TME_PY[[#This Row],[TOTAL Truncated Unadjusted Claims Expenses (A21 -A19)]]+AN_TME_PY[[#This Row],[TOTAL Non-Claims Expenses]]</f>
        <v>0</v>
      </c>
      <c r="AA161" s="235">
        <f>IFERROR(AN_TME_PY[[#This Row],[TOTAL Non-Truncated Unadjusted Expenses (A21 + A23)]]/AN_TME_PY[[#This Row],[Member Months]],0)</f>
        <v>0</v>
      </c>
      <c r="AB161" s="272">
        <f>IFERROR(AN_TME_PY[[#This Row],[TOTAL Truncated Unadjusted Expenses (A22 + A23)]]/AN_TME_PY[[#This Row],[Member Months]],0)</f>
        <v>0</v>
      </c>
      <c r="AC161" s="237">
        <f>IFERROR(AN_TME_PY[[#This Row],[Total Claims Excluded because of Truncation]]/AN_TME_PY[[#This Row],[Count of Members with Claims Truncated]], 0)</f>
        <v>0</v>
      </c>
      <c r="AD161" s="238">
        <f>IFERROR(AN_TME_PY[[#This Row],[Total Claims Excluded because of Truncation]]/AN_TME_PY[[#This Row],[TOTAL Non-Truncated Unadjusted Claims Expenses]], 0)</f>
        <v>0</v>
      </c>
    </row>
    <row r="162" spans="1:30" x14ac:dyDescent="0.25">
      <c r="A162" s="101"/>
      <c r="B162" s="104"/>
      <c r="C162" s="267"/>
      <c r="D162" s="105"/>
      <c r="E162" s="110"/>
      <c r="F162" s="110"/>
      <c r="G162" s="110"/>
      <c r="H162" s="110"/>
      <c r="I162" s="110"/>
      <c r="J162" s="110"/>
      <c r="K162" s="110"/>
      <c r="L162" s="110"/>
      <c r="M162" s="110"/>
      <c r="N162" s="110"/>
      <c r="O162" s="110"/>
      <c r="P162" s="110"/>
      <c r="Q162" s="110"/>
      <c r="R162" s="110"/>
      <c r="S162" s="110"/>
      <c r="T162" s="110"/>
      <c r="U162" s="263"/>
      <c r="V162" s="108">
        <f t="shared" si="8"/>
        <v>0</v>
      </c>
      <c r="W162" s="108">
        <f>AN_TME_PY[[#This Row],[TOTAL Non-Truncated Unadjusted Claims Expenses]]-AN_TME_PY[[#This Row],[Total Claims Excluded because of Truncation]]</f>
        <v>0</v>
      </c>
      <c r="X162" s="108">
        <f t="shared" si="9"/>
        <v>0</v>
      </c>
      <c r="Y162" s="108">
        <f>AN_TME_PY[[#This Row],[TOTAL Non-Truncated Unadjusted Claims Expenses]]+AN_TME_PY[[#This Row],[TOTAL Non-Claims Expenses]]</f>
        <v>0</v>
      </c>
      <c r="Z162" s="108">
        <f>AN_TME_PY[[#This Row],[TOTAL Truncated Unadjusted Claims Expenses (A21 -A19)]]+AN_TME_PY[[#This Row],[TOTAL Non-Claims Expenses]]</f>
        <v>0</v>
      </c>
      <c r="AA162" s="235">
        <f>IFERROR(AN_TME_PY[[#This Row],[TOTAL Non-Truncated Unadjusted Expenses (A21 + A23)]]/AN_TME_PY[[#This Row],[Member Months]],0)</f>
        <v>0</v>
      </c>
      <c r="AB162" s="272">
        <f>IFERROR(AN_TME_PY[[#This Row],[TOTAL Truncated Unadjusted Expenses (A22 + A23)]]/AN_TME_PY[[#This Row],[Member Months]],0)</f>
        <v>0</v>
      </c>
      <c r="AC162" s="237">
        <f>IFERROR(AN_TME_PY[[#This Row],[Total Claims Excluded because of Truncation]]/AN_TME_PY[[#This Row],[Count of Members with Claims Truncated]], 0)</f>
        <v>0</v>
      </c>
      <c r="AD162" s="238">
        <f>IFERROR(AN_TME_PY[[#This Row],[Total Claims Excluded because of Truncation]]/AN_TME_PY[[#This Row],[TOTAL Non-Truncated Unadjusted Claims Expenses]], 0)</f>
        <v>0</v>
      </c>
    </row>
    <row r="163" spans="1:30" x14ac:dyDescent="0.25">
      <c r="A163" s="101"/>
      <c r="B163" s="104"/>
      <c r="C163" s="270"/>
      <c r="D163" s="105"/>
      <c r="E163" s="110"/>
      <c r="F163" s="110"/>
      <c r="G163" s="110"/>
      <c r="H163" s="110"/>
      <c r="I163" s="110"/>
      <c r="J163" s="110"/>
      <c r="K163" s="110"/>
      <c r="L163" s="110"/>
      <c r="M163" s="110"/>
      <c r="N163" s="110"/>
      <c r="O163" s="110"/>
      <c r="P163" s="110"/>
      <c r="Q163" s="110"/>
      <c r="R163" s="110"/>
      <c r="S163" s="110"/>
      <c r="T163" s="110"/>
      <c r="U163" s="263"/>
      <c r="V163" s="108">
        <f t="shared" si="8"/>
        <v>0</v>
      </c>
      <c r="W163" s="108">
        <f>AN_TME_PY[[#This Row],[TOTAL Non-Truncated Unadjusted Claims Expenses]]-AN_TME_PY[[#This Row],[Total Claims Excluded because of Truncation]]</f>
        <v>0</v>
      </c>
      <c r="X163" s="108">
        <f t="shared" si="9"/>
        <v>0</v>
      </c>
      <c r="Y163" s="108">
        <f>AN_TME_PY[[#This Row],[TOTAL Non-Truncated Unadjusted Claims Expenses]]+AN_TME_PY[[#This Row],[TOTAL Non-Claims Expenses]]</f>
        <v>0</v>
      </c>
      <c r="Z163" s="108">
        <f>AN_TME_PY[[#This Row],[TOTAL Truncated Unadjusted Claims Expenses (A21 -A19)]]+AN_TME_PY[[#This Row],[TOTAL Non-Claims Expenses]]</f>
        <v>0</v>
      </c>
      <c r="AA163" s="235">
        <f>IFERROR(AN_TME_PY[[#This Row],[TOTAL Non-Truncated Unadjusted Expenses (A21 + A23)]]/AN_TME_PY[[#This Row],[Member Months]],0)</f>
        <v>0</v>
      </c>
      <c r="AB163" s="272">
        <f>IFERROR(AN_TME_PY[[#This Row],[TOTAL Truncated Unadjusted Expenses (A22 + A23)]]/AN_TME_PY[[#This Row],[Member Months]],0)</f>
        <v>0</v>
      </c>
      <c r="AC163" s="237">
        <f>IFERROR(AN_TME_PY[[#This Row],[Total Claims Excluded because of Truncation]]/AN_TME_PY[[#This Row],[Count of Members with Claims Truncated]], 0)</f>
        <v>0</v>
      </c>
      <c r="AD163" s="238">
        <f>IFERROR(AN_TME_PY[[#This Row],[Total Claims Excluded because of Truncation]]/AN_TME_PY[[#This Row],[TOTAL Non-Truncated Unadjusted Claims Expenses]], 0)</f>
        <v>0</v>
      </c>
    </row>
    <row r="164" spans="1:30" x14ac:dyDescent="0.25">
      <c r="A164" s="101"/>
      <c r="B164" s="104"/>
      <c r="C164" s="267"/>
      <c r="D164" s="105"/>
      <c r="E164" s="110"/>
      <c r="F164" s="110"/>
      <c r="G164" s="110"/>
      <c r="H164" s="110"/>
      <c r="I164" s="110"/>
      <c r="J164" s="110"/>
      <c r="K164" s="110"/>
      <c r="L164" s="110"/>
      <c r="M164" s="110"/>
      <c r="N164" s="110"/>
      <c r="O164" s="110"/>
      <c r="P164" s="110"/>
      <c r="Q164" s="110"/>
      <c r="R164" s="110"/>
      <c r="S164" s="110"/>
      <c r="T164" s="110"/>
      <c r="U164" s="263"/>
      <c r="V164" s="108">
        <f t="shared" si="8"/>
        <v>0</v>
      </c>
      <c r="W164" s="108">
        <f>AN_TME_PY[[#This Row],[TOTAL Non-Truncated Unadjusted Claims Expenses]]-AN_TME_PY[[#This Row],[Total Claims Excluded because of Truncation]]</f>
        <v>0</v>
      </c>
      <c r="X164" s="108">
        <f t="shared" si="9"/>
        <v>0</v>
      </c>
      <c r="Y164" s="108">
        <f>AN_TME_PY[[#This Row],[TOTAL Non-Truncated Unadjusted Claims Expenses]]+AN_TME_PY[[#This Row],[TOTAL Non-Claims Expenses]]</f>
        <v>0</v>
      </c>
      <c r="Z164" s="108">
        <f>AN_TME_PY[[#This Row],[TOTAL Truncated Unadjusted Claims Expenses (A21 -A19)]]+AN_TME_PY[[#This Row],[TOTAL Non-Claims Expenses]]</f>
        <v>0</v>
      </c>
      <c r="AA164" s="235">
        <f>IFERROR(AN_TME_PY[[#This Row],[TOTAL Non-Truncated Unadjusted Expenses (A21 + A23)]]/AN_TME_PY[[#This Row],[Member Months]],0)</f>
        <v>0</v>
      </c>
      <c r="AB164" s="272">
        <f>IFERROR(AN_TME_PY[[#This Row],[TOTAL Truncated Unadjusted Expenses (A22 + A23)]]/AN_TME_PY[[#This Row],[Member Months]],0)</f>
        <v>0</v>
      </c>
      <c r="AC164" s="237">
        <f>IFERROR(AN_TME_PY[[#This Row],[Total Claims Excluded because of Truncation]]/AN_TME_PY[[#This Row],[Count of Members with Claims Truncated]], 0)</f>
        <v>0</v>
      </c>
      <c r="AD164" s="238">
        <f>IFERROR(AN_TME_PY[[#This Row],[Total Claims Excluded because of Truncation]]/AN_TME_PY[[#This Row],[TOTAL Non-Truncated Unadjusted Claims Expenses]], 0)</f>
        <v>0</v>
      </c>
    </row>
    <row r="165" spans="1:30" x14ac:dyDescent="0.25">
      <c r="A165" s="101"/>
      <c r="B165" s="104"/>
      <c r="C165" s="270"/>
      <c r="D165" s="105"/>
      <c r="E165" s="110"/>
      <c r="F165" s="110"/>
      <c r="G165" s="110"/>
      <c r="H165" s="110"/>
      <c r="I165" s="110"/>
      <c r="J165" s="110"/>
      <c r="K165" s="110"/>
      <c r="L165" s="110"/>
      <c r="M165" s="110"/>
      <c r="N165" s="110"/>
      <c r="O165" s="110"/>
      <c r="P165" s="110"/>
      <c r="Q165" s="110"/>
      <c r="R165" s="110"/>
      <c r="S165" s="110"/>
      <c r="T165" s="110"/>
      <c r="U165" s="263"/>
      <c r="V165" s="108">
        <f t="shared" si="8"/>
        <v>0</v>
      </c>
      <c r="W165" s="108">
        <f>AN_TME_PY[[#This Row],[TOTAL Non-Truncated Unadjusted Claims Expenses]]-AN_TME_PY[[#This Row],[Total Claims Excluded because of Truncation]]</f>
        <v>0</v>
      </c>
      <c r="X165" s="108">
        <f t="shared" si="9"/>
        <v>0</v>
      </c>
      <c r="Y165" s="108">
        <f>AN_TME_PY[[#This Row],[TOTAL Non-Truncated Unadjusted Claims Expenses]]+AN_TME_PY[[#This Row],[TOTAL Non-Claims Expenses]]</f>
        <v>0</v>
      </c>
      <c r="Z165" s="108">
        <f>AN_TME_PY[[#This Row],[TOTAL Truncated Unadjusted Claims Expenses (A21 -A19)]]+AN_TME_PY[[#This Row],[TOTAL Non-Claims Expenses]]</f>
        <v>0</v>
      </c>
      <c r="AA165" s="235">
        <f>IFERROR(AN_TME_PY[[#This Row],[TOTAL Non-Truncated Unadjusted Expenses (A21 + A23)]]/AN_TME_PY[[#This Row],[Member Months]],0)</f>
        <v>0</v>
      </c>
      <c r="AB165" s="272">
        <f>IFERROR(AN_TME_PY[[#This Row],[TOTAL Truncated Unadjusted Expenses (A22 + A23)]]/AN_TME_PY[[#This Row],[Member Months]],0)</f>
        <v>0</v>
      </c>
      <c r="AC165" s="237">
        <f>IFERROR(AN_TME_PY[[#This Row],[Total Claims Excluded because of Truncation]]/AN_TME_PY[[#This Row],[Count of Members with Claims Truncated]], 0)</f>
        <v>0</v>
      </c>
      <c r="AD165" s="238">
        <f>IFERROR(AN_TME_PY[[#This Row],[Total Claims Excluded because of Truncation]]/AN_TME_PY[[#This Row],[TOTAL Non-Truncated Unadjusted Claims Expenses]], 0)</f>
        <v>0</v>
      </c>
    </row>
    <row r="166" spans="1:30" x14ac:dyDescent="0.25">
      <c r="A166" s="101"/>
      <c r="B166" s="104"/>
      <c r="C166" s="267"/>
      <c r="D166" s="105"/>
      <c r="E166" s="110"/>
      <c r="F166" s="110"/>
      <c r="G166" s="110"/>
      <c r="H166" s="110"/>
      <c r="I166" s="110"/>
      <c r="J166" s="110"/>
      <c r="K166" s="110"/>
      <c r="L166" s="110"/>
      <c r="M166" s="110"/>
      <c r="N166" s="110"/>
      <c r="O166" s="110"/>
      <c r="P166" s="110"/>
      <c r="Q166" s="110"/>
      <c r="R166" s="110"/>
      <c r="S166" s="110"/>
      <c r="T166" s="110"/>
      <c r="U166" s="263"/>
      <c r="V166" s="108">
        <f t="shared" si="8"/>
        <v>0</v>
      </c>
      <c r="W166" s="108">
        <f>AN_TME_PY[[#This Row],[TOTAL Non-Truncated Unadjusted Claims Expenses]]-AN_TME_PY[[#This Row],[Total Claims Excluded because of Truncation]]</f>
        <v>0</v>
      </c>
      <c r="X166" s="108">
        <f t="shared" si="9"/>
        <v>0</v>
      </c>
      <c r="Y166" s="108">
        <f>AN_TME_PY[[#This Row],[TOTAL Non-Truncated Unadjusted Claims Expenses]]+AN_TME_PY[[#This Row],[TOTAL Non-Claims Expenses]]</f>
        <v>0</v>
      </c>
      <c r="Z166" s="108">
        <f>AN_TME_PY[[#This Row],[TOTAL Truncated Unadjusted Claims Expenses (A21 -A19)]]+AN_TME_PY[[#This Row],[TOTAL Non-Claims Expenses]]</f>
        <v>0</v>
      </c>
      <c r="AA166" s="235">
        <f>IFERROR(AN_TME_PY[[#This Row],[TOTAL Non-Truncated Unadjusted Expenses (A21 + A23)]]/AN_TME_PY[[#This Row],[Member Months]],0)</f>
        <v>0</v>
      </c>
      <c r="AB166" s="272">
        <f>IFERROR(AN_TME_PY[[#This Row],[TOTAL Truncated Unadjusted Expenses (A22 + A23)]]/AN_TME_PY[[#This Row],[Member Months]],0)</f>
        <v>0</v>
      </c>
      <c r="AC166" s="237">
        <f>IFERROR(AN_TME_PY[[#This Row],[Total Claims Excluded because of Truncation]]/AN_TME_PY[[#This Row],[Count of Members with Claims Truncated]], 0)</f>
        <v>0</v>
      </c>
      <c r="AD166" s="238">
        <f>IFERROR(AN_TME_PY[[#This Row],[Total Claims Excluded because of Truncation]]/AN_TME_PY[[#This Row],[TOTAL Non-Truncated Unadjusted Claims Expenses]], 0)</f>
        <v>0</v>
      </c>
    </row>
    <row r="167" spans="1:30" x14ac:dyDescent="0.25">
      <c r="A167" s="101"/>
      <c r="B167" s="104"/>
      <c r="C167" s="270"/>
      <c r="D167" s="105"/>
      <c r="E167" s="110"/>
      <c r="F167" s="110"/>
      <c r="G167" s="110"/>
      <c r="H167" s="110"/>
      <c r="I167" s="110"/>
      <c r="J167" s="110"/>
      <c r="K167" s="110"/>
      <c r="L167" s="110"/>
      <c r="M167" s="110"/>
      <c r="N167" s="110"/>
      <c r="O167" s="110"/>
      <c r="P167" s="110"/>
      <c r="Q167" s="110"/>
      <c r="R167" s="110"/>
      <c r="S167" s="110"/>
      <c r="T167" s="110"/>
      <c r="U167" s="263"/>
      <c r="V167" s="108">
        <f t="shared" si="8"/>
        <v>0</v>
      </c>
      <c r="W167" s="108">
        <f>AN_TME_PY[[#This Row],[TOTAL Non-Truncated Unadjusted Claims Expenses]]-AN_TME_PY[[#This Row],[Total Claims Excluded because of Truncation]]</f>
        <v>0</v>
      </c>
      <c r="X167" s="108">
        <f t="shared" si="9"/>
        <v>0</v>
      </c>
      <c r="Y167" s="108">
        <f>AN_TME_PY[[#This Row],[TOTAL Non-Truncated Unadjusted Claims Expenses]]+AN_TME_PY[[#This Row],[TOTAL Non-Claims Expenses]]</f>
        <v>0</v>
      </c>
      <c r="Z167" s="108">
        <f>AN_TME_PY[[#This Row],[TOTAL Truncated Unadjusted Claims Expenses (A21 -A19)]]+AN_TME_PY[[#This Row],[TOTAL Non-Claims Expenses]]</f>
        <v>0</v>
      </c>
      <c r="AA167" s="235">
        <f>IFERROR(AN_TME_PY[[#This Row],[TOTAL Non-Truncated Unadjusted Expenses (A21 + A23)]]/AN_TME_PY[[#This Row],[Member Months]],0)</f>
        <v>0</v>
      </c>
      <c r="AB167" s="272">
        <f>IFERROR(AN_TME_PY[[#This Row],[TOTAL Truncated Unadjusted Expenses (A22 + A23)]]/AN_TME_PY[[#This Row],[Member Months]],0)</f>
        <v>0</v>
      </c>
      <c r="AC167" s="237">
        <f>IFERROR(AN_TME_PY[[#This Row],[Total Claims Excluded because of Truncation]]/AN_TME_PY[[#This Row],[Count of Members with Claims Truncated]], 0)</f>
        <v>0</v>
      </c>
      <c r="AD167" s="238">
        <f>IFERROR(AN_TME_PY[[#This Row],[Total Claims Excluded because of Truncation]]/AN_TME_PY[[#This Row],[TOTAL Non-Truncated Unadjusted Claims Expenses]], 0)</f>
        <v>0</v>
      </c>
    </row>
    <row r="168" spans="1:30" x14ac:dyDescent="0.25">
      <c r="A168" s="101"/>
      <c r="B168" s="104"/>
      <c r="C168" s="267"/>
      <c r="D168" s="105"/>
      <c r="E168" s="110"/>
      <c r="F168" s="110"/>
      <c r="G168" s="110"/>
      <c r="H168" s="110"/>
      <c r="I168" s="110"/>
      <c r="J168" s="110"/>
      <c r="K168" s="110"/>
      <c r="L168" s="110"/>
      <c r="M168" s="110"/>
      <c r="N168" s="110"/>
      <c r="O168" s="110"/>
      <c r="P168" s="110"/>
      <c r="Q168" s="110"/>
      <c r="R168" s="110"/>
      <c r="S168" s="110"/>
      <c r="T168" s="110"/>
      <c r="U168" s="263"/>
      <c r="V168" s="108">
        <f t="shared" si="8"/>
        <v>0</v>
      </c>
      <c r="W168" s="108">
        <f>AN_TME_PY[[#This Row],[TOTAL Non-Truncated Unadjusted Claims Expenses]]-AN_TME_PY[[#This Row],[Total Claims Excluded because of Truncation]]</f>
        <v>0</v>
      </c>
      <c r="X168" s="108">
        <f t="shared" si="9"/>
        <v>0</v>
      </c>
      <c r="Y168" s="108">
        <f>AN_TME_PY[[#This Row],[TOTAL Non-Truncated Unadjusted Claims Expenses]]+AN_TME_PY[[#This Row],[TOTAL Non-Claims Expenses]]</f>
        <v>0</v>
      </c>
      <c r="Z168" s="108">
        <f>AN_TME_PY[[#This Row],[TOTAL Truncated Unadjusted Claims Expenses (A21 -A19)]]+AN_TME_PY[[#This Row],[TOTAL Non-Claims Expenses]]</f>
        <v>0</v>
      </c>
      <c r="AA168" s="235">
        <f>IFERROR(AN_TME_PY[[#This Row],[TOTAL Non-Truncated Unadjusted Expenses (A21 + A23)]]/AN_TME_PY[[#This Row],[Member Months]],0)</f>
        <v>0</v>
      </c>
      <c r="AB168" s="272">
        <f>IFERROR(AN_TME_PY[[#This Row],[TOTAL Truncated Unadjusted Expenses (A22 + A23)]]/AN_TME_PY[[#This Row],[Member Months]],0)</f>
        <v>0</v>
      </c>
      <c r="AC168" s="237">
        <f>IFERROR(AN_TME_PY[[#This Row],[Total Claims Excluded because of Truncation]]/AN_TME_PY[[#This Row],[Count of Members with Claims Truncated]], 0)</f>
        <v>0</v>
      </c>
      <c r="AD168" s="238">
        <f>IFERROR(AN_TME_PY[[#This Row],[Total Claims Excluded because of Truncation]]/AN_TME_PY[[#This Row],[TOTAL Non-Truncated Unadjusted Claims Expenses]], 0)</f>
        <v>0</v>
      </c>
    </row>
    <row r="169" spans="1:30" x14ac:dyDescent="0.25">
      <c r="A169" s="101"/>
      <c r="B169" s="104"/>
      <c r="C169" s="270"/>
      <c r="D169" s="105"/>
      <c r="E169" s="110"/>
      <c r="F169" s="110"/>
      <c r="G169" s="110"/>
      <c r="H169" s="110"/>
      <c r="I169" s="110"/>
      <c r="J169" s="110"/>
      <c r="K169" s="110"/>
      <c r="L169" s="110"/>
      <c r="M169" s="110"/>
      <c r="N169" s="110"/>
      <c r="O169" s="110"/>
      <c r="P169" s="110"/>
      <c r="Q169" s="110"/>
      <c r="R169" s="110"/>
      <c r="S169" s="110"/>
      <c r="T169" s="110"/>
      <c r="U169" s="263"/>
      <c r="V169" s="108">
        <f t="shared" si="8"/>
        <v>0</v>
      </c>
      <c r="W169" s="108">
        <f>AN_TME_PY[[#This Row],[TOTAL Non-Truncated Unadjusted Claims Expenses]]-AN_TME_PY[[#This Row],[Total Claims Excluded because of Truncation]]</f>
        <v>0</v>
      </c>
      <c r="X169" s="108">
        <f t="shared" si="9"/>
        <v>0</v>
      </c>
      <c r="Y169" s="108">
        <f>AN_TME_PY[[#This Row],[TOTAL Non-Truncated Unadjusted Claims Expenses]]+AN_TME_PY[[#This Row],[TOTAL Non-Claims Expenses]]</f>
        <v>0</v>
      </c>
      <c r="Z169" s="108">
        <f>AN_TME_PY[[#This Row],[TOTAL Truncated Unadjusted Claims Expenses (A21 -A19)]]+AN_TME_PY[[#This Row],[TOTAL Non-Claims Expenses]]</f>
        <v>0</v>
      </c>
      <c r="AA169" s="235">
        <f>IFERROR(AN_TME_PY[[#This Row],[TOTAL Non-Truncated Unadjusted Expenses (A21 + A23)]]/AN_TME_PY[[#This Row],[Member Months]],0)</f>
        <v>0</v>
      </c>
      <c r="AB169" s="272">
        <f>IFERROR(AN_TME_PY[[#This Row],[TOTAL Truncated Unadjusted Expenses (A22 + A23)]]/AN_TME_PY[[#This Row],[Member Months]],0)</f>
        <v>0</v>
      </c>
      <c r="AC169" s="237">
        <f>IFERROR(AN_TME_PY[[#This Row],[Total Claims Excluded because of Truncation]]/AN_TME_PY[[#This Row],[Count of Members with Claims Truncated]], 0)</f>
        <v>0</v>
      </c>
      <c r="AD169" s="238">
        <f>IFERROR(AN_TME_PY[[#This Row],[Total Claims Excluded because of Truncation]]/AN_TME_PY[[#This Row],[TOTAL Non-Truncated Unadjusted Claims Expenses]], 0)</f>
        <v>0</v>
      </c>
    </row>
    <row r="170" spans="1:30" x14ac:dyDescent="0.25">
      <c r="A170" s="101"/>
      <c r="B170" s="104"/>
      <c r="C170" s="267"/>
      <c r="D170" s="105"/>
      <c r="E170" s="110"/>
      <c r="F170" s="110"/>
      <c r="G170" s="110"/>
      <c r="H170" s="110"/>
      <c r="I170" s="110"/>
      <c r="J170" s="110"/>
      <c r="K170" s="110"/>
      <c r="L170" s="110"/>
      <c r="M170" s="110"/>
      <c r="N170" s="110"/>
      <c r="O170" s="110"/>
      <c r="P170" s="110"/>
      <c r="Q170" s="110"/>
      <c r="R170" s="110"/>
      <c r="S170" s="110"/>
      <c r="T170" s="110"/>
      <c r="U170" s="263"/>
      <c r="V170" s="108">
        <f t="shared" si="8"/>
        <v>0</v>
      </c>
      <c r="W170" s="108">
        <f>AN_TME_PY[[#This Row],[TOTAL Non-Truncated Unadjusted Claims Expenses]]-AN_TME_PY[[#This Row],[Total Claims Excluded because of Truncation]]</f>
        <v>0</v>
      </c>
      <c r="X170" s="108">
        <f t="shared" si="9"/>
        <v>0</v>
      </c>
      <c r="Y170" s="108">
        <f>AN_TME_PY[[#This Row],[TOTAL Non-Truncated Unadjusted Claims Expenses]]+AN_TME_PY[[#This Row],[TOTAL Non-Claims Expenses]]</f>
        <v>0</v>
      </c>
      <c r="Z170" s="108">
        <f>AN_TME_PY[[#This Row],[TOTAL Truncated Unadjusted Claims Expenses (A21 -A19)]]+AN_TME_PY[[#This Row],[TOTAL Non-Claims Expenses]]</f>
        <v>0</v>
      </c>
      <c r="AA170" s="235">
        <f>IFERROR(AN_TME_PY[[#This Row],[TOTAL Non-Truncated Unadjusted Expenses (A21 + A23)]]/AN_TME_PY[[#This Row],[Member Months]],0)</f>
        <v>0</v>
      </c>
      <c r="AB170" s="272">
        <f>IFERROR(AN_TME_PY[[#This Row],[TOTAL Truncated Unadjusted Expenses (A22 + A23)]]/AN_TME_PY[[#This Row],[Member Months]],0)</f>
        <v>0</v>
      </c>
      <c r="AC170" s="237">
        <f>IFERROR(AN_TME_PY[[#This Row],[Total Claims Excluded because of Truncation]]/AN_TME_PY[[#This Row],[Count of Members with Claims Truncated]], 0)</f>
        <v>0</v>
      </c>
      <c r="AD170" s="238">
        <f>IFERROR(AN_TME_PY[[#This Row],[Total Claims Excluded because of Truncation]]/AN_TME_PY[[#This Row],[TOTAL Non-Truncated Unadjusted Claims Expenses]], 0)</f>
        <v>0</v>
      </c>
    </row>
    <row r="171" spans="1:30" x14ac:dyDescent="0.25">
      <c r="A171" s="101"/>
      <c r="B171" s="104"/>
      <c r="C171" s="270"/>
      <c r="D171" s="105"/>
      <c r="E171" s="110"/>
      <c r="F171" s="110"/>
      <c r="G171" s="110"/>
      <c r="H171" s="110"/>
      <c r="I171" s="110"/>
      <c r="J171" s="110"/>
      <c r="K171" s="110"/>
      <c r="L171" s="110"/>
      <c r="M171" s="110"/>
      <c r="N171" s="110"/>
      <c r="O171" s="110"/>
      <c r="P171" s="110"/>
      <c r="Q171" s="110"/>
      <c r="R171" s="110"/>
      <c r="S171" s="110"/>
      <c r="T171" s="110"/>
      <c r="U171" s="263"/>
      <c r="V171" s="108">
        <f t="shared" ref="V171:V200" si="10">SUM(E171:G171)+SUM(I171:M171)</f>
        <v>0</v>
      </c>
      <c r="W171" s="108">
        <f>AN_TME_PY[[#This Row],[TOTAL Non-Truncated Unadjusted Claims Expenses]]-AN_TME_PY[[#This Row],[Total Claims Excluded because of Truncation]]</f>
        <v>0</v>
      </c>
      <c r="X171" s="108">
        <f t="shared" ref="X171:X200" si="11">SUM(N171:R171)</f>
        <v>0</v>
      </c>
      <c r="Y171" s="108">
        <f>AN_TME_PY[[#This Row],[TOTAL Non-Truncated Unadjusted Claims Expenses]]+AN_TME_PY[[#This Row],[TOTAL Non-Claims Expenses]]</f>
        <v>0</v>
      </c>
      <c r="Z171" s="108">
        <f>AN_TME_PY[[#This Row],[TOTAL Truncated Unadjusted Claims Expenses (A21 -A19)]]+AN_TME_PY[[#This Row],[TOTAL Non-Claims Expenses]]</f>
        <v>0</v>
      </c>
      <c r="AA171" s="235">
        <f>IFERROR(AN_TME_PY[[#This Row],[TOTAL Non-Truncated Unadjusted Expenses (A21 + A23)]]/AN_TME_PY[[#This Row],[Member Months]],0)</f>
        <v>0</v>
      </c>
      <c r="AB171" s="272">
        <f>IFERROR(AN_TME_PY[[#This Row],[TOTAL Truncated Unadjusted Expenses (A22 + A23)]]/AN_TME_PY[[#This Row],[Member Months]],0)</f>
        <v>0</v>
      </c>
      <c r="AC171" s="237">
        <f>IFERROR(AN_TME_PY[[#This Row],[Total Claims Excluded because of Truncation]]/AN_TME_PY[[#This Row],[Count of Members with Claims Truncated]], 0)</f>
        <v>0</v>
      </c>
      <c r="AD171" s="238">
        <f>IFERROR(AN_TME_PY[[#This Row],[Total Claims Excluded because of Truncation]]/AN_TME_PY[[#This Row],[TOTAL Non-Truncated Unadjusted Claims Expenses]], 0)</f>
        <v>0</v>
      </c>
    </row>
    <row r="172" spans="1:30" x14ac:dyDescent="0.25">
      <c r="A172" s="101"/>
      <c r="B172" s="104"/>
      <c r="C172" s="267"/>
      <c r="D172" s="105"/>
      <c r="E172" s="110"/>
      <c r="F172" s="110"/>
      <c r="G172" s="110"/>
      <c r="H172" s="110"/>
      <c r="I172" s="110"/>
      <c r="J172" s="110"/>
      <c r="K172" s="110"/>
      <c r="L172" s="110"/>
      <c r="M172" s="110"/>
      <c r="N172" s="110"/>
      <c r="O172" s="110"/>
      <c r="P172" s="110"/>
      <c r="Q172" s="110"/>
      <c r="R172" s="110"/>
      <c r="S172" s="110"/>
      <c r="T172" s="110"/>
      <c r="U172" s="263"/>
      <c r="V172" s="108">
        <f t="shared" si="10"/>
        <v>0</v>
      </c>
      <c r="W172" s="108">
        <f>AN_TME_PY[[#This Row],[TOTAL Non-Truncated Unadjusted Claims Expenses]]-AN_TME_PY[[#This Row],[Total Claims Excluded because of Truncation]]</f>
        <v>0</v>
      </c>
      <c r="X172" s="108">
        <f t="shared" si="11"/>
        <v>0</v>
      </c>
      <c r="Y172" s="108">
        <f>AN_TME_PY[[#This Row],[TOTAL Non-Truncated Unadjusted Claims Expenses]]+AN_TME_PY[[#This Row],[TOTAL Non-Claims Expenses]]</f>
        <v>0</v>
      </c>
      <c r="Z172" s="108">
        <f>AN_TME_PY[[#This Row],[TOTAL Truncated Unadjusted Claims Expenses (A21 -A19)]]+AN_TME_PY[[#This Row],[TOTAL Non-Claims Expenses]]</f>
        <v>0</v>
      </c>
      <c r="AA172" s="235">
        <f>IFERROR(AN_TME_PY[[#This Row],[TOTAL Non-Truncated Unadjusted Expenses (A21 + A23)]]/AN_TME_PY[[#This Row],[Member Months]],0)</f>
        <v>0</v>
      </c>
      <c r="AB172" s="272">
        <f>IFERROR(AN_TME_PY[[#This Row],[TOTAL Truncated Unadjusted Expenses (A22 + A23)]]/AN_TME_PY[[#This Row],[Member Months]],0)</f>
        <v>0</v>
      </c>
      <c r="AC172" s="237">
        <f>IFERROR(AN_TME_PY[[#This Row],[Total Claims Excluded because of Truncation]]/AN_TME_PY[[#This Row],[Count of Members with Claims Truncated]], 0)</f>
        <v>0</v>
      </c>
      <c r="AD172" s="238">
        <f>IFERROR(AN_TME_PY[[#This Row],[Total Claims Excluded because of Truncation]]/AN_TME_PY[[#This Row],[TOTAL Non-Truncated Unadjusted Claims Expenses]], 0)</f>
        <v>0</v>
      </c>
    </row>
    <row r="173" spans="1:30" x14ac:dyDescent="0.25">
      <c r="A173" s="101"/>
      <c r="B173" s="104"/>
      <c r="C173" s="270"/>
      <c r="D173" s="105"/>
      <c r="E173" s="110"/>
      <c r="F173" s="110"/>
      <c r="G173" s="110"/>
      <c r="H173" s="110"/>
      <c r="I173" s="110"/>
      <c r="J173" s="110"/>
      <c r="K173" s="110"/>
      <c r="L173" s="110"/>
      <c r="M173" s="110"/>
      <c r="N173" s="110"/>
      <c r="O173" s="110"/>
      <c r="P173" s="110"/>
      <c r="Q173" s="110"/>
      <c r="R173" s="110"/>
      <c r="S173" s="110"/>
      <c r="T173" s="110"/>
      <c r="U173" s="263"/>
      <c r="V173" s="108">
        <f t="shared" si="10"/>
        <v>0</v>
      </c>
      <c r="W173" s="108">
        <f>AN_TME_PY[[#This Row],[TOTAL Non-Truncated Unadjusted Claims Expenses]]-AN_TME_PY[[#This Row],[Total Claims Excluded because of Truncation]]</f>
        <v>0</v>
      </c>
      <c r="X173" s="108">
        <f t="shared" si="11"/>
        <v>0</v>
      </c>
      <c r="Y173" s="108">
        <f>AN_TME_PY[[#This Row],[TOTAL Non-Truncated Unadjusted Claims Expenses]]+AN_TME_PY[[#This Row],[TOTAL Non-Claims Expenses]]</f>
        <v>0</v>
      </c>
      <c r="Z173" s="108">
        <f>AN_TME_PY[[#This Row],[TOTAL Truncated Unadjusted Claims Expenses (A21 -A19)]]+AN_TME_PY[[#This Row],[TOTAL Non-Claims Expenses]]</f>
        <v>0</v>
      </c>
      <c r="AA173" s="235">
        <f>IFERROR(AN_TME_PY[[#This Row],[TOTAL Non-Truncated Unadjusted Expenses (A21 + A23)]]/AN_TME_PY[[#This Row],[Member Months]],0)</f>
        <v>0</v>
      </c>
      <c r="AB173" s="272">
        <f>IFERROR(AN_TME_PY[[#This Row],[TOTAL Truncated Unadjusted Expenses (A22 + A23)]]/AN_TME_PY[[#This Row],[Member Months]],0)</f>
        <v>0</v>
      </c>
      <c r="AC173" s="237">
        <f>IFERROR(AN_TME_PY[[#This Row],[Total Claims Excluded because of Truncation]]/AN_TME_PY[[#This Row],[Count of Members with Claims Truncated]], 0)</f>
        <v>0</v>
      </c>
      <c r="AD173" s="238">
        <f>IFERROR(AN_TME_PY[[#This Row],[Total Claims Excluded because of Truncation]]/AN_TME_PY[[#This Row],[TOTAL Non-Truncated Unadjusted Claims Expenses]], 0)</f>
        <v>0</v>
      </c>
    </row>
    <row r="174" spans="1:30" x14ac:dyDescent="0.25">
      <c r="A174" s="101"/>
      <c r="B174" s="104"/>
      <c r="C174" s="267"/>
      <c r="D174" s="105"/>
      <c r="E174" s="110"/>
      <c r="F174" s="110"/>
      <c r="G174" s="110"/>
      <c r="H174" s="110"/>
      <c r="I174" s="110"/>
      <c r="J174" s="110"/>
      <c r="K174" s="110"/>
      <c r="L174" s="110"/>
      <c r="M174" s="110"/>
      <c r="N174" s="110"/>
      <c r="O174" s="110"/>
      <c r="P174" s="110"/>
      <c r="Q174" s="110"/>
      <c r="R174" s="110"/>
      <c r="S174" s="110"/>
      <c r="T174" s="110"/>
      <c r="U174" s="263"/>
      <c r="V174" s="108">
        <f t="shared" si="10"/>
        <v>0</v>
      </c>
      <c r="W174" s="108">
        <f>AN_TME_PY[[#This Row],[TOTAL Non-Truncated Unadjusted Claims Expenses]]-AN_TME_PY[[#This Row],[Total Claims Excluded because of Truncation]]</f>
        <v>0</v>
      </c>
      <c r="X174" s="108">
        <f t="shared" si="11"/>
        <v>0</v>
      </c>
      <c r="Y174" s="108">
        <f>AN_TME_PY[[#This Row],[TOTAL Non-Truncated Unadjusted Claims Expenses]]+AN_TME_PY[[#This Row],[TOTAL Non-Claims Expenses]]</f>
        <v>0</v>
      </c>
      <c r="Z174" s="108">
        <f>AN_TME_PY[[#This Row],[TOTAL Truncated Unadjusted Claims Expenses (A21 -A19)]]+AN_TME_PY[[#This Row],[TOTAL Non-Claims Expenses]]</f>
        <v>0</v>
      </c>
      <c r="AA174" s="235">
        <f>IFERROR(AN_TME_PY[[#This Row],[TOTAL Non-Truncated Unadjusted Expenses (A21 + A23)]]/AN_TME_PY[[#This Row],[Member Months]],0)</f>
        <v>0</v>
      </c>
      <c r="AB174" s="272">
        <f>IFERROR(AN_TME_PY[[#This Row],[TOTAL Truncated Unadjusted Expenses (A22 + A23)]]/AN_TME_PY[[#This Row],[Member Months]],0)</f>
        <v>0</v>
      </c>
      <c r="AC174" s="237">
        <f>IFERROR(AN_TME_PY[[#This Row],[Total Claims Excluded because of Truncation]]/AN_TME_PY[[#This Row],[Count of Members with Claims Truncated]], 0)</f>
        <v>0</v>
      </c>
      <c r="AD174" s="238">
        <f>IFERROR(AN_TME_PY[[#This Row],[Total Claims Excluded because of Truncation]]/AN_TME_PY[[#This Row],[TOTAL Non-Truncated Unadjusted Claims Expenses]], 0)</f>
        <v>0</v>
      </c>
    </row>
    <row r="175" spans="1:30" x14ac:dyDescent="0.25">
      <c r="A175" s="101"/>
      <c r="B175" s="104"/>
      <c r="C175" s="270"/>
      <c r="D175" s="105"/>
      <c r="E175" s="110"/>
      <c r="F175" s="110"/>
      <c r="G175" s="110"/>
      <c r="H175" s="110"/>
      <c r="I175" s="110"/>
      <c r="J175" s="110"/>
      <c r="K175" s="110"/>
      <c r="L175" s="110"/>
      <c r="M175" s="110"/>
      <c r="N175" s="110"/>
      <c r="O175" s="110"/>
      <c r="P175" s="110"/>
      <c r="Q175" s="110"/>
      <c r="R175" s="110"/>
      <c r="S175" s="110"/>
      <c r="T175" s="110"/>
      <c r="U175" s="263"/>
      <c r="V175" s="108">
        <f t="shared" si="10"/>
        <v>0</v>
      </c>
      <c r="W175" s="108">
        <f>AN_TME_PY[[#This Row],[TOTAL Non-Truncated Unadjusted Claims Expenses]]-AN_TME_PY[[#This Row],[Total Claims Excluded because of Truncation]]</f>
        <v>0</v>
      </c>
      <c r="X175" s="108">
        <f t="shared" si="11"/>
        <v>0</v>
      </c>
      <c r="Y175" s="108">
        <f>AN_TME_PY[[#This Row],[TOTAL Non-Truncated Unadjusted Claims Expenses]]+AN_TME_PY[[#This Row],[TOTAL Non-Claims Expenses]]</f>
        <v>0</v>
      </c>
      <c r="Z175" s="108">
        <f>AN_TME_PY[[#This Row],[TOTAL Truncated Unadjusted Claims Expenses (A21 -A19)]]+AN_TME_PY[[#This Row],[TOTAL Non-Claims Expenses]]</f>
        <v>0</v>
      </c>
      <c r="AA175" s="235">
        <f>IFERROR(AN_TME_PY[[#This Row],[TOTAL Non-Truncated Unadjusted Expenses (A21 + A23)]]/AN_TME_PY[[#This Row],[Member Months]],0)</f>
        <v>0</v>
      </c>
      <c r="AB175" s="272">
        <f>IFERROR(AN_TME_PY[[#This Row],[TOTAL Truncated Unadjusted Expenses (A22 + A23)]]/AN_TME_PY[[#This Row],[Member Months]],0)</f>
        <v>0</v>
      </c>
      <c r="AC175" s="237">
        <f>IFERROR(AN_TME_PY[[#This Row],[Total Claims Excluded because of Truncation]]/AN_TME_PY[[#This Row],[Count of Members with Claims Truncated]], 0)</f>
        <v>0</v>
      </c>
      <c r="AD175" s="238">
        <f>IFERROR(AN_TME_PY[[#This Row],[Total Claims Excluded because of Truncation]]/AN_TME_PY[[#This Row],[TOTAL Non-Truncated Unadjusted Claims Expenses]], 0)</f>
        <v>0</v>
      </c>
    </row>
    <row r="176" spans="1:30" x14ac:dyDescent="0.25">
      <c r="A176" s="101"/>
      <c r="B176" s="104"/>
      <c r="C176" s="267"/>
      <c r="D176" s="105"/>
      <c r="E176" s="110"/>
      <c r="F176" s="110"/>
      <c r="G176" s="110"/>
      <c r="H176" s="110"/>
      <c r="I176" s="110"/>
      <c r="J176" s="110"/>
      <c r="K176" s="110"/>
      <c r="L176" s="110"/>
      <c r="M176" s="110"/>
      <c r="N176" s="110"/>
      <c r="O176" s="110"/>
      <c r="P176" s="110"/>
      <c r="Q176" s="110"/>
      <c r="R176" s="110"/>
      <c r="S176" s="110"/>
      <c r="T176" s="110"/>
      <c r="U176" s="263"/>
      <c r="V176" s="108">
        <f t="shared" si="10"/>
        <v>0</v>
      </c>
      <c r="W176" s="108">
        <f>AN_TME_PY[[#This Row],[TOTAL Non-Truncated Unadjusted Claims Expenses]]-AN_TME_PY[[#This Row],[Total Claims Excluded because of Truncation]]</f>
        <v>0</v>
      </c>
      <c r="X176" s="108">
        <f t="shared" si="11"/>
        <v>0</v>
      </c>
      <c r="Y176" s="108">
        <f>AN_TME_PY[[#This Row],[TOTAL Non-Truncated Unadjusted Claims Expenses]]+AN_TME_PY[[#This Row],[TOTAL Non-Claims Expenses]]</f>
        <v>0</v>
      </c>
      <c r="Z176" s="108">
        <f>AN_TME_PY[[#This Row],[TOTAL Truncated Unadjusted Claims Expenses (A21 -A19)]]+AN_TME_PY[[#This Row],[TOTAL Non-Claims Expenses]]</f>
        <v>0</v>
      </c>
      <c r="AA176" s="235">
        <f>IFERROR(AN_TME_PY[[#This Row],[TOTAL Non-Truncated Unadjusted Expenses (A21 + A23)]]/AN_TME_PY[[#This Row],[Member Months]],0)</f>
        <v>0</v>
      </c>
      <c r="AB176" s="272">
        <f>IFERROR(AN_TME_PY[[#This Row],[TOTAL Truncated Unadjusted Expenses (A22 + A23)]]/AN_TME_PY[[#This Row],[Member Months]],0)</f>
        <v>0</v>
      </c>
      <c r="AC176" s="237">
        <f>IFERROR(AN_TME_PY[[#This Row],[Total Claims Excluded because of Truncation]]/AN_TME_PY[[#This Row],[Count of Members with Claims Truncated]], 0)</f>
        <v>0</v>
      </c>
      <c r="AD176" s="238">
        <f>IFERROR(AN_TME_PY[[#This Row],[Total Claims Excluded because of Truncation]]/AN_TME_PY[[#This Row],[TOTAL Non-Truncated Unadjusted Claims Expenses]], 0)</f>
        <v>0</v>
      </c>
    </row>
    <row r="177" spans="1:30" x14ac:dyDescent="0.25">
      <c r="A177" s="101"/>
      <c r="B177" s="104"/>
      <c r="C177" s="270"/>
      <c r="D177" s="105"/>
      <c r="E177" s="110"/>
      <c r="F177" s="110"/>
      <c r="G177" s="110"/>
      <c r="H177" s="110"/>
      <c r="I177" s="110"/>
      <c r="J177" s="110"/>
      <c r="K177" s="110"/>
      <c r="L177" s="110"/>
      <c r="M177" s="110"/>
      <c r="N177" s="110"/>
      <c r="O177" s="110"/>
      <c r="P177" s="110"/>
      <c r="Q177" s="110"/>
      <c r="R177" s="110"/>
      <c r="S177" s="110"/>
      <c r="T177" s="110"/>
      <c r="U177" s="263"/>
      <c r="V177" s="108">
        <f t="shared" si="10"/>
        <v>0</v>
      </c>
      <c r="W177" s="108">
        <f>AN_TME_PY[[#This Row],[TOTAL Non-Truncated Unadjusted Claims Expenses]]-AN_TME_PY[[#This Row],[Total Claims Excluded because of Truncation]]</f>
        <v>0</v>
      </c>
      <c r="X177" s="108">
        <f t="shared" si="11"/>
        <v>0</v>
      </c>
      <c r="Y177" s="108">
        <f>AN_TME_PY[[#This Row],[TOTAL Non-Truncated Unadjusted Claims Expenses]]+AN_TME_PY[[#This Row],[TOTAL Non-Claims Expenses]]</f>
        <v>0</v>
      </c>
      <c r="Z177" s="108">
        <f>AN_TME_PY[[#This Row],[TOTAL Truncated Unadjusted Claims Expenses (A21 -A19)]]+AN_TME_PY[[#This Row],[TOTAL Non-Claims Expenses]]</f>
        <v>0</v>
      </c>
      <c r="AA177" s="235">
        <f>IFERROR(AN_TME_PY[[#This Row],[TOTAL Non-Truncated Unadjusted Expenses (A21 + A23)]]/AN_TME_PY[[#This Row],[Member Months]],0)</f>
        <v>0</v>
      </c>
      <c r="AB177" s="272">
        <f>IFERROR(AN_TME_PY[[#This Row],[TOTAL Truncated Unadjusted Expenses (A22 + A23)]]/AN_TME_PY[[#This Row],[Member Months]],0)</f>
        <v>0</v>
      </c>
      <c r="AC177" s="237">
        <f>IFERROR(AN_TME_PY[[#This Row],[Total Claims Excluded because of Truncation]]/AN_TME_PY[[#This Row],[Count of Members with Claims Truncated]], 0)</f>
        <v>0</v>
      </c>
      <c r="AD177" s="238">
        <f>IFERROR(AN_TME_PY[[#This Row],[Total Claims Excluded because of Truncation]]/AN_TME_PY[[#This Row],[TOTAL Non-Truncated Unadjusted Claims Expenses]], 0)</f>
        <v>0</v>
      </c>
    </row>
    <row r="178" spans="1:30" x14ac:dyDescent="0.25">
      <c r="A178" s="101"/>
      <c r="B178" s="104"/>
      <c r="C178" s="267"/>
      <c r="D178" s="105"/>
      <c r="E178" s="110"/>
      <c r="F178" s="110"/>
      <c r="G178" s="110"/>
      <c r="H178" s="110"/>
      <c r="I178" s="110"/>
      <c r="J178" s="110"/>
      <c r="K178" s="110"/>
      <c r="L178" s="110"/>
      <c r="M178" s="110"/>
      <c r="N178" s="110"/>
      <c r="O178" s="110"/>
      <c r="P178" s="110"/>
      <c r="Q178" s="110"/>
      <c r="R178" s="110"/>
      <c r="S178" s="110"/>
      <c r="T178" s="110"/>
      <c r="U178" s="263"/>
      <c r="V178" s="108">
        <f t="shared" si="10"/>
        <v>0</v>
      </c>
      <c r="W178" s="108">
        <f>AN_TME_PY[[#This Row],[TOTAL Non-Truncated Unadjusted Claims Expenses]]-AN_TME_PY[[#This Row],[Total Claims Excluded because of Truncation]]</f>
        <v>0</v>
      </c>
      <c r="X178" s="108">
        <f t="shared" si="11"/>
        <v>0</v>
      </c>
      <c r="Y178" s="108">
        <f>AN_TME_PY[[#This Row],[TOTAL Non-Truncated Unadjusted Claims Expenses]]+AN_TME_PY[[#This Row],[TOTAL Non-Claims Expenses]]</f>
        <v>0</v>
      </c>
      <c r="Z178" s="108">
        <f>AN_TME_PY[[#This Row],[TOTAL Truncated Unadjusted Claims Expenses (A21 -A19)]]+AN_TME_PY[[#This Row],[TOTAL Non-Claims Expenses]]</f>
        <v>0</v>
      </c>
      <c r="AA178" s="235">
        <f>IFERROR(AN_TME_PY[[#This Row],[TOTAL Non-Truncated Unadjusted Expenses (A21 + A23)]]/AN_TME_PY[[#This Row],[Member Months]],0)</f>
        <v>0</v>
      </c>
      <c r="AB178" s="272">
        <f>IFERROR(AN_TME_PY[[#This Row],[TOTAL Truncated Unadjusted Expenses (A22 + A23)]]/AN_TME_PY[[#This Row],[Member Months]],0)</f>
        <v>0</v>
      </c>
      <c r="AC178" s="237">
        <f>IFERROR(AN_TME_PY[[#This Row],[Total Claims Excluded because of Truncation]]/AN_TME_PY[[#This Row],[Count of Members with Claims Truncated]], 0)</f>
        <v>0</v>
      </c>
      <c r="AD178" s="238">
        <f>IFERROR(AN_TME_PY[[#This Row],[Total Claims Excluded because of Truncation]]/AN_TME_PY[[#This Row],[TOTAL Non-Truncated Unadjusted Claims Expenses]], 0)</f>
        <v>0</v>
      </c>
    </row>
    <row r="179" spans="1:30" x14ac:dyDescent="0.25">
      <c r="A179" s="101"/>
      <c r="B179" s="104"/>
      <c r="C179" s="270"/>
      <c r="D179" s="105"/>
      <c r="E179" s="110"/>
      <c r="F179" s="110"/>
      <c r="G179" s="110"/>
      <c r="H179" s="110"/>
      <c r="I179" s="110"/>
      <c r="J179" s="110"/>
      <c r="K179" s="110"/>
      <c r="L179" s="110"/>
      <c r="M179" s="110"/>
      <c r="N179" s="110"/>
      <c r="O179" s="110"/>
      <c r="P179" s="110"/>
      <c r="Q179" s="110"/>
      <c r="R179" s="110"/>
      <c r="S179" s="110"/>
      <c r="T179" s="110"/>
      <c r="U179" s="263"/>
      <c r="V179" s="108">
        <f t="shared" si="10"/>
        <v>0</v>
      </c>
      <c r="W179" s="108">
        <f>AN_TME_PY[[#This Row],[TOTAL Non-Truncated Unadjusted Claims Expenses]]-AN_TME_PY[[#This Row],[Total Claims Excluded because of Truncation]]</f>
        <v>0</v>
      </c>
      <c r="X179" s="108">
        <f t="shared" si="11"/>
        <v>0</v>
      </c>
      <c r="Y179" s="108">
        <f>AN_TME_PY[[#This Row],[TOTAL Non-Truncated Unadjusted Claims Expenses]]+AN_TME_PY[[#This Row],[TOTAL Non-Claims Expenses]]</f>
        <v>0</v>
      </c>
      <c r="Z179" s="108">
        <f>AN_TME_PY[[#This Row],[TOTAL Truncated Unadjusted Claims Expenses (A21 -A19)]]+AN_TME_PY[[#This Row],[TOTAL Non-Claims Expenses]]</f>
        <v>0</v>
      </c>
      <c r="AA179" s="235">
        <f>IFERROR(AN_TME_PY[[#This Row],[TOTAL Non-Truncated Unadjusted Expenses (A21 + A23)]]/AN_TME_PY[[#This Row],[Member Months]],0)</f>
        <v>0</v>
      </c>
      <c r="AB179" s="272">
        <f>IFERROR(AN_TME_PY[[#This Row],[TOTAL Truncated Unadjusted Expenses (A22 + A23)]]/AN_TME_PY[[#This Row],[Member Months]],0)</f>
        <v>0</v>
      </c>
      <c r="AC179" s="237">
        <f>IFERROR(AN_TME_PY[[#This Row],[Total Claims Excluded because of Truncation]]/AN_TME_PY[[#This Row],[Count of Members with Claims Truncated]], 0)</f>
        <v>0</v>
      </c>
      <c r="AD179" s="238">
        <f>IFERROR(AN_TME_PY[[#This Row],[Total Claims Excluded because of Truncation]]/AN_TME_PY[[#This Row],[TOTAL Non-Truncated Unadjusted Claims Expenses]], 0)</f>
        <v>0</v>
      </c>
    </row>
    <row r="180" spans="1:30" x14ac:dyDescent="0.25">
      <c r="A180" s="101"/>
      <c r="B180" s="104"/>
      <c r="C180" s="267"/>
      <c r="D180" s="105"/>
      <c r="E180" s="110"/>
      <c r="F180" s="110"/>
      <c r="G180" s="110"/>
      <c r="H180" s="110"/>
      <c r="I180" s="110"/>
      <c r="J180" s="110"/>
      <c r="K180" s="110"/>
      <c r="L180" s="110"/>
      <c r="M180" s="110"/>
      <c r="N180" s="110"/>
      <c r="O180" s="110"/>
      <c r="P180" s="110"/>
      <c r="Q180" s="110"/>
      <c r="R180" s="110"/>
      <c r="S180" s="110"/>
      <c r="T180" s="110"/>
      <c r="U180" s="263"/>
      <c r="V180" s="108">
        <f t="shared" si="10"/>
        <v>0</v>
      </c>
      <c r="W180" s="108">
        <f>AN_TME_PY[[#This Row],[TOTAL Non-Truncated Unadjusted Claims Expenses]]-AN_TME_PY[[#This Row],[Total Claims Excluded because of Truncation]]</f>
        <v>0</v>
      </c>
      <c r="X180" s="108">
        <f t="shared" si="11"/>
        <v>0</v>
      </c>
      <c r="Y180" s="108">
        <f>AN_TME_PY[[#This Row],[TOTAL Non-Truncated Unadjusted Claims Expenses]]+AN_TME_PY[[#This Row],[TOTAL Non-Claims Expenses]]</f>
        <v>0</v>
      </c>
      <c r="Z180" s="108">
        <f>AN_TME_PY[[#This Row],[TOTAL Truncated Unadjusted Claims Expenses (A21 -A19)]]+AN_TME_PY[[#This Row],[TOTAL Non-Claims Expenses]]</f>
        <v>0</v>
      </c>
      <c r="AA180" s="235">
        <f>IFERROR(AN_TME_PY[[#This Row],[TOTAL Non-Truncated Unadjusted Expenses (A21 + A23)]]/AN_TME_PY[[#This Row],[Member Months]],0)</f>
        <v>0</v>
      </c>
      <c r="AB180" s="272">
        <f>IFERROR(AN_TME_PY[[#This Row],[TOTAL Truncated Unadjusted Expenses (A22 + A23)]]/AN_TME_PY[[#This Row],[Member Months]],0)</f>
        <v>0</v>
      </c>
      <c r="AC180" s="237">
        <f>IFERROR(AN_TME_PY[[#This Row],[Total Claims Excluded because of Truncation]]/AN_TME_PY[[#This Row],[Count of Members with Claims Truncated]], 0)</f>
        <v>0</v>
      </c>
      <c r="AD180" s="238">
        <f>IFERROR(AN_TME_PY[[#This Row],[Total Claims Excluded because of Truncation]]/AN_TME_PY[[#This Row],[TOTAL Non-Truncated Unadjusted Claims Expenses]], 0)</f>
        <v>0</v>
      </c>
    </row>
    <row r="181" spans="1:30" x14ac:dyDescent="0.25">
      <c r="A181" s="101"/>
      <c r="B181" s="104"/>
      <c r="C181" s="270"/>
      <c r="D181" s="105"/>
      <c r="E181" s="110"/>
      <c r="F181" s="110"/>
      <c r="G181" s="110"/>
      <c r="H181" s="110"/>
      <c r="I181" s="110"/>
      <c r="J181" s="110"/>
      <c r="K181" s="110"/>
      <c r="L181" s="110"/>
      <c r="M181" s="110"/>
      <c r="N181" s="110"/>
      <c r="O181" s="110"/>
      <c r="P181" s="110"/>
      <c r="Q181" s="110"/>
      <c r="R181" s="110"/>
      <c r="S181" s="110"/>
      <c r="T181" s="110"/>
      <c r="U181" s="263"/>
      <c r="V181" s="108">
        <f t="shared" si="10"/>
        <v>0</v>
      </c>
      <c r="W181" s="108">
        <f>AN_TME_PY[[#This Row],[TOTAL Non-Truncated Unadjusted Claims Expenses]]-AN_TME_PY[[#This Row],[Total Claims Excluded because of Truncation]]</f>
        <v>0</v>
      </c>
      <c r="X181" s="108">
        <f t="shared" si="11"/>
        <v>0</v>
      </c>
      <c r="Y181" s="108">
        <f>AN_TME_PY[[#This Row],[TOTAL Non-Truncated Unadjusted Claims Expenses]]+AN_TME_PY[[#This Row],[TOTAL Non-Claims Expenses]]</f>
        <v>0</v>
      </c>
      <c r="Z181" s="108">
        <f>AN_TME_PY[[#This Row],[TOTAL Truncated Unadjusted Claims Expenses (A21 -A19)]]+AN_TME_PY[[#This Row],[TOTAL Non-Claims Expenses]]</f>
        <v>0</v>
      </c>
      <c r="AA181" s="235">
        <f>IFERROR(AN_TME_PY[[#This Row],[TOTAL Non-Truncated Unadjusted Expenses (A21 + A23)]]/AN_TME_PY[[#This Row],[Member Months]],0)</f>
        <v>0</v>
      </c>
      <c r="AB181" s="272">
        <f>IFERROR(AN_TME_PY[[#This Row],[TOTAL Truncated Unadjusted Expenses (A22 + A23)]]/AN_TME_PY[[#This Row],[Member Months]],0)</f>
        <v>0</v>
      </c>
      <c r="AC181" s="237">
        <f>IFERROR(AN_TME_PY[[#This Row],[Total Claims Excluded because of Truncation]]/AN_TME_PY[[#This Row],[Count of Members with Claims Truncated]], 0)</f>
        <v>0</v>
      </c>
      <c r="AD181" s="238">
        <f>IFERROR(AN_TME_PY[[#This Row],[Total Claims Excluded because of Truncation]]/AN_TME_PY[[#This Row],[TOTAL Non-Truncated Unadjusted Claims Expenses]], 0)</f>
        <v>0</v>
      </c>
    </row>
    <row r="182" spans="1:30" x14ac:dyDescent="0.25">
      <c r="A182" s="101"/>
      <c r="B182" s="104"/>
      <c r="C182" s="267"/>
      <c r="D182" s="105"/>
      <c r="E182" s="110"/>
      <c r="F182" s="110"/>
      <c r="G182" s="110"/>
      <c r="H182" s="110"/>
      <c r="I182" s="110"/>
      <c r="J182" s="110"/>
      <c r="K182" s="110"/>
      <c r="L182" s="110"/>
      <c r="M182" s="110"/>
      <c r="N182" s="110"/>
      <c r="O182" s="110"/>
      <c r="P182" s="110"/>
      <c r="Q182" s="110"/>
      <c r="R182" s="110"/>
      <c r="S182" s="110"/>
      <c r="T182" s="110"/>
      <c r="U182" s="263"/>
      <c r="V182" s="108">
        <f t="shared" si="10"/>
        <v>0</v>
      </c>
      <c r="W182" s="108">
        <f>AN_TME_PY[[#This Row],[TOTAL Non-Truncated Unadjusted Claims Expenses]]-AN_TME_PY[[#This Row],[Total Claims Excluded because of Truncation]]</f>
        <v>0</v>
      </c>
      <c r="X182" s="108">
        <f t="shared" si="11"/>
        <v>0</v>
      </c>
      <c r="Y182" s="108">
        <f>AN_TME_PY[[#This Row],[TOTAL Non-Truncated Unadjusted Claims Expenses]]+AN_TME_PY[[#This Row],[TOTAL Non-Claims Expenses]]</f>
        <v>0</v>
      </c>
      <c r="Z182" s="108">
        <f>AN_TME_PY[[#This Row],[TOTAL Truncated Unadjusted Claims Expenses (A21 -A19)]]+AN_TME_PY[[#This Row],[TOTAL Non-Claims Expenses]]</f>
        <v>0</v>
      </c>
      <c r="AA182" s="235">
        <f>IFERROR(AN_TME_PY[[#This Row],[TOTAL Non-Truncated Unadjusted Expenses (A21 + A23)]]/AN_TME_PY[[#This Row],[Member Months]],0)</f>
        <v>0</v>
      </c>
      <c r="AB182" s="272">
        <f>IFERROR(AN_TME_PY[[#This Row],[TOTAL Truncated Unadjusted Expenses (A22 + A23)]]/AN_TME_PY[[#This Row],[Member Months]],0)</f>
        <v>0</v>
      </c>
      <c r="AC182" s="237">
        <f>IFERROR(AN_TME_PY[[#This Row],[Total Claims Excluded because of Truncation]]/AN_TME_PY[[#This Row],[Count of Members with Claims Truncated]], 0)</f>
        <v>0</v>
      </c>
      <c r="AD182" s="238">
        <f>IFERROR(AN_TME_PY[[#This Row],[Total Claims Excluded because of Truncation]]/AN_TME_PY[[#This Row],[TOTAL Non-Truncated Unadjusted Claims Expenses]], 0)</f>
        <v>0</v>
      </c>
    </row>
    <row r="183" spans="1:30" x14ac:dyDescent="0.25">
      <c r="A183" s="101"/>
      <c r="B183" s="104"/>
      <c r="C183" s="270"/>
      <c r="D183" s="105"/>
      <c r="E183" s="110"/>
      <c r="F183" s="110"/>
      <c r="G183" s="110"/>
      <c r="H183" s="110"/>
      <c r="I183" s="110"/>
      <c r="J183" s="110"/>
      <c r="K183" s="110"/>
      <c r="L183" s="110"/>
      <c r="M183" s="110"/>
      <c r="N183" s="110"/>
      <c r="O183" s="110"/>
      <c r="P183" s="110"/>
      <c r="Q183" s="110"/>
      <c r="R183" s="110"/>
      <c r="S183" s="110"/>
      <c r="T183" s="110"/>
      <c r="U183" s="263"/>
      <c r="V183" s="108">
        <f t="shared" si="10"/>
        <v>0</v>
      </c>
      <c r="W183" s="108">
        <f>AN_TME_PY[[#This Row],[TOTAL Non-Truncated Unadjusted Claims Expenses]]-AN_TME_PY[[#This Row],[Total Claims Excluded because of Truncation]]</f>
        <v>0</v>
      </c>
      <c r="X183" s="108">
        <f t="shared" si="11"/>
        <v>0</v>
      </c>
      <c r="Y183" s="108">
        <f>AN_TME_PY[[#This Row],[TOTAL Non-Truncated Unadjusted Claims Expenses]]+AN_TME_PY[[#This Row],[TOTAL Non-Claims Expenses]]</f>
        <v>0</v>
      </c>
      <c r="Z183" s="108">
        <f>AN_TME_PY[[#This Row],[TOTAL Truncated Unadjusted Claims Expenses (A21 -A19)]]+AN_TME_PY[[#This Row],[TOTAL Non-Claims Expenses]]</f>
        <v>0</v>
      </c>
      <c r="AA183" s="235">
        <f>IFERROR(AN_TME_PY[[#This Row],[TOTAL Non-Truncated Unadjusted Expenses (A21 + A23)]]/AN_TME_PY[[#This Row],[Member Months]],0)</f>
        <v>0</v>
      </c>
      <c r="AB183" s="272">
        <f>IFERROR(AN_TME_PY[[#This Row],[TOTAL Truncated Unadjusted Expenses (A22 + A23)]]/AN_TME_PY[[#This Row],[Member Months]],0)</f>
        <v>0</v>
      </c>
      <c r="AC183" s="237">
        <f>IFERROR(AN_TME_PY[[#This Row],[Total Claims Excluded because of Truncation]]/AN_TME_PY[[#This Row],[Count of Members with Claims Truncated]], 0)</f>
        <v>0</v>
      </c>
      <c r="AD183" s="238">
        <f>IFERROR(AN_TME_PY[[#This Row],[Total Claims Excluded because of Truncation]]/AN_TME_PY[[#This Row],[TOTAL Non-Truncated Unadjusted Claims Expenses]], 0)</f>
        <v>0</v>
      </c>
    </row>
    <row r="184" spans="1:30" x14ac:dyDescent="0.25">
      <c r="A184" s="101"/>
      <c r="B184" s="104"/>
      <c r="C184" s="267"/>
      <c r="D184" s="105"/>
      <c r="E184" s="110"/>
      <c r="F184" s="110"/>
      <c r="G184" s="110"/>
      <c r="H184" s="110"/>
      <c r="I184" s="110"/>
      <c r="J184" s="110"/>
      <c r="K184" s="110"/>
      <c r="L184" s="110"/>
      <c r="M184" s="110"/>
      <c r="N184" s="110"/>
      <c r="O184" s="110"/>
      <c r="P184" s="110"/>
      <c r="Q184" s="110"/>
      <c r="R184" s="110"/>
      <c r="S184" s="110"/>
      <c r="T184" s="110"/>
      <c r="U184" s="263"/>
      <c r="V184" s="108">
        <f t="shared" si="10"/>
        <v>0</v>
      </c>
      <c r="W184" s="108">
        <f>AN_TME_PY[[#This Row],[TOTAL Non-Truncated Unadjusted Claims Expenses]]-AN_TME_PY[[#This Row],[Total Claims Excluded because of Truncation]]</f>
        <v>0</v>
      </c>
      <c r="X184" s="108">
        <f t="shared" si="11"/>
        <v>0</v>
      </c>
      <c r="Y184" s="108">
        <f>AN_TME_PY[[#This Row],[TOTAL Non-Truncated Unadjusted Claims Expenses]]+AN_TME_PY[[#This Row],[TOTAL Non-Claims Expenses]]</f>
        <v>0</v>
      </c>
      <c r="Z184" s="108">
        <f>AN_TME_PY[[#This Row],[TOTAL Truncated Unadjusted Claims Expenses (A21 -A19)]]+AN_TME_PY[[#This Row],[TOTAL Non-Claims Expenses]]</f>
        <v>0</v>
      </c>
      <c r="AA184" s="235">
        <f>IFERROR(AN_TME_PY[[#This Row],[TOTAL Non-Truncated Unadjusted Expenses (A21 + A23)]]/AN_TME_PY[[#This Row],[Member Months]],0)</f>
        <v>0</v>
      </c>
      <c r="AB184" s="272">
        <f>IFERROR(AN_TME_PY[[#This Row],[TOTAL Truncated Unadjusted Expenses (A22 + A23)]]/AN_TME_PY[[#This Row],[Member Months]],0)</f>
        <v>0</v>
      </c>
      <c r="AC184" s="237">
        <f>IFERROR(AN_TME_PY[[#This Row],[Total Claims Excluded because of Truncation]]/AN_TME_PY[[#This Row],[Count of Members with Claims Truncated]], 0)</f>
        <v>0</v>
      </c>
      <c r="AD184" s="238">
        <f>IFERROR(AN_TME_PY[[#This Row],[Total Claims Excluded because of Truncation]]/AN_TME_PY[[#This Row],[TOTAL Non-Truncated Unadjusted Claims Expenses]], 0)</f>
        <v>0</v>
      </c>
    </row>
    <row r="185" spans="1:30" x14ac:dyDescent="0.25">
      <c r="A185" s="101"/>
      <c r="B185" s="104"/>
      <c r="C185" s="270"/>
      <c r="D185" s="105"/>
      <c r="E185" s="110"/>
      <c r="F185" s="110"/>
      <c r="G185" s="110"/>
      <c r="H185" s="110"/>
      <c r="I185" s="110"/>
      <c r="J185" s="110"/>
      <c r="K185" s="110"/>
      <c r="L185" s="110"/>
      <c r="M185" s="110"/>
      <c r="N185" s="110"/>
      <c r="O185" s="110"/>
      <c r="P185" s="110"/>
      <c r="Q185" s="110"/>
      <c r="R185" s="110"/>
      <c r="S185" s="110"/>
      <c r="T185" s="110"/>
      <c r="U185" s="263"/>
      <c r="V185" s="108">
        <f t="shared" si="10"/>
        <v>0</v>
      </c>
      <c r="W185" s="108">
        <f>AN_TME_PY[[#This Row],[TOTAL Non-Truncated Unadjusted Claims Expenses]]-AN_TME_PY[[#This Row],[Total Claims Excluded because of Truncation]]</f>
        <v>0</v>
      </c>
      <c r="X185" s="108">
        <f t="shared" si="11"/>
        <v>0</v>
      </c>
      <c r="Y185" s="108">
        <f>AN_TME_PY[[#This Row],[TOTAL Non-Truncated Unadjusted Claims Expenses]]+AN_TME_PY[[#This Row],[TOTAL Non-Claims Expenses]]</f>
        <v>0</v>
      </c>
      <c r="Z185" s="108">
        <f>AN_TME_PY[[#This Row],[TOTAL Truncated Unadjusted Claims Expenses (A21 -A19)]]+AN_TME_PY[[#This Row],[TOTAL Non-Claims Expenses]]</f>
        <v>0</v>
      </c>
      <c r="AA185" s="235">
        <f>IFERROR(AN_TME_PY[[#This Row],[TOTAL Non-Truncated Unadjusted Expenses (A21 + A23)]]/AN_TME_PY[[#This Row],[Member Months]],0)</f>
        <v>0</v>
      </c>
      <c r="AB185" s="272">
        <f>IFERROR(AN_TME_PY[[#This Row],[TOTAL Truncated Unadjusted Expenses (A22 + A23)]]/AN_TME_PY[[#This Row],[Member Months]],0)</f>
        <v>0</v>
      </c>
      <c r="AC185" s="237">
        <f>IFERROR(AN_TME_PY[[#This Row],[Total Claims Excluded because of Truncation]]/AN_TME_PY[[#This Row],[Count of Members with Claims Truncated]], 0)</f>
        <v>0</v>
      </c>
      <c r="AD185" s="238">
        <f>IFERROR(AN_TME_PY[[#This Row],[Total Claims Excluded because of Truncation]]/AN_TME_PY[[#This Row],[TOTAL Non-Truncated Unadjusted Claims Expenses]], 0)</f>
        <v>0</v>
      </c>
    </row>
    <row r="186" spans="1:30" x14ac:dyDescent="0.25">
      <c r="A186" s="101"/>
      <c r="B186" s="104"/>
      <c r="C186" s="267"/>
      <c r="D186" s="105"/>
      <c r="E186" s="110"/>
      <c r="F186" s="110"/>
      <c r="G186" s="110"/>
      <c r="H186" s="110"/>
      <c r="I186" s="110"/>
      <c r="J186" s="110"/>
      <c r="K186" s="110"/>
      <c r="L186" s="110"/>
      <c r="M186" s="110"/>
      <c r="N186" s="110"/>
      <c r="O186" s="110"/>
      <c r="P186" s="110"/>
      <c r="Q186" s="110"/>
      <c r="R186" s="110"/>
      <c r="S186" s="110"/>
      <c r="T186" s="110"/>
      <c r="U186" s="263"/>
      <c r="V186" s="108">
        <f t="shared" si="10"/>
        <v>0</v>
      </c>
      <c r="W186" s="108">
        <f>AN_TME_PY[[#This Row],[TOTAL Non-Truncated Unadjusted Claims Expenses]]-AN_TME_PY[[#This Row],[Total Claims Excluded because of Truncation]]</f>
        <v>0</v>
      </c>
      <c r="X186" s="108">
        <f t="shared" si="11"/>
        <v>0</v>
      </c>
      <c r="Y186" s="108">
        <f>AN_TME_PY[[#This Row],[TOTAL Non-Truncated Unadjusted Claims Expenses]]+AN_TME_PY[[#This Row],[TOTAL Non-Claims Expenses]]</f>
        <v>0</v>
      </c>
      <c r="Z186" s="108">
        <f>AN_TME_PY[[#This Row],[TOTAL Truncated Unadjusted Claims Expenses (A21 -A19)]]+AN_TME_PY[[#This Row],[TOTAL Non-Claims Expenses]]</f>
        <v>0</v>
      </c>
      <c r="AA186" s="235">
        <f>IFERROR(AN_TME_PY[[#This Row],[TOTAL Non-Truncated Unadjusted Expenses (A21 + A23)]]/AN_TME_PY[[#This Row],[Member Months]],0)</f>
        <v>0</v>
      </c>
      <c r="AB186" s="272">
        <f>IFERROR(AN_TME_PY[[#This Row],[TOTAL Truncated Unadjusted Expenses (A22 + A23)]]/AN_TME_PY[[#This Row],[Member Months]],0)</f>
        <v>0</v>
      </c>
      <c r="AC186" s="237">
        <f>IFERROR(AN_TME_PY[[#This Row],[Total Claims Excluded because of Truncation]]/AN_TME_PY[[#This Row],[Count of Members with Claims Truncated]], 0)</f>
        <v>0</v>
      </c>
      <c r="AD186" s="238">
        <f>IFERROR(AN_TME_PY[[#This Row],[Total Claims Excluded because of Truncation]]/AN_TME_PY[[#This Row],[TOTAL Non-Truncated Unadjusted Claims Expenses]], 0)</f>
        <v>0</v>
      </c>
    </row>
    <row r="187" spans="1:30" x14ac:dyDescent="0.25">
      <c r="A187" s="101"/>
      <c r="B187" s="104"/>
      <c r="C187" s="270"/>
      <c r="D187" s="105"/>
      <c r="E187" s="110"/>
      <c r="F187" s="110"/>
      <c r="G187" s="110"/>
      <c r="H187" s="110"/>
      <c r="I187" s="110"/>
      <c r="J187" s="110"/>
      <c r="K187" s="110"/>
      <c r="L187" s="110"/>
      <c r="M187" s="110"/>
      <c r="N187" s="110"/>
      <c r="O187" s="110"/>
      <c r="P187" s="110"/>
      <c r="Q187" s="110"/>
      <c r="R187" s="110"/>
      <c r="S187" s="110"/>
      <c r="T187" s="110"/>
      <c r="U187" s="263"/>
      <c r="V187" s="108">
        <f t="shared" si="10"/>
        <v>0</v>
      </c>
      <c r="W187" s="108">
        <f>AN_TME_PY[[#This Row],[TOTAL Non-Truncated Unadjusted Claims Expenses]]-AN_TME_PY[[#This Row],[Total Claims Excluded because of Truncation]]</f>
        <v>0</v>
      </c>
      <c r="X187" s="108">
        <f t="shared" si="11"/>
        <v>0</v>
      </c>
      <c r="Y187" s="108">
        <f>AN_TME_PY[[#This Row],[TOTAL Non-Truncated Unadjusted Claims Expenses]]+AN_TME_PY[[#This Row],[TOTAL Non-Claims Expenses]]</f>
        <v>0</v>
      </c>
      <c r="Z187" s="108">
        <f>AN_TME_PY[[#This Row],[TOTAL Truncated Unadjusted Claims Expenses (A21 -A19)]]+AN_TME_PY[[#This Row],[TOTAL Non-Claims Expenses]]</f>
        <v>0</v>
      </c>
      <c r="AA187" s="235">
        <f>IFERROR(AN_TME_PY[[#This Row],[TOTAL Non-Truncated Unadjusted Expenses (A21 + A23)]]/AN_TME_PY[[#This Row],[Member Months]],0)</f>
        <v>0</v>
      </c>
      <c r="AB187" s="272">
        <f>IFERROR(AN_TME_PY[[#This Row],[TOTAL Truncated Unadjusted Expenses (A22 + A23)]]/AN_TME_PY[[#This Row],[Member Months]],0)</f>
        <v>0</v>
      </c>
      <c r="AC187" s="237">
        <f>IFERROR(AN_TME_PY[[#This Row],[Total Claims Excluded because of Truncation]]/AN_TME_PY[[#This Row],[Count of Members with Claims Truncated]], 0)</f>
        <v>0</v>
      </c>
      <c r="AD187" s="238">
        <f>IFERROR(AN_TME_PY[[#This Row],[Total Claims Excluded because of Truncation]]/AN_TME_PY[[#This Row],[TOTAL Non-Truncated Unadjusted Claims Expenses]], 0)</f>
        <v>0</v>
      </c>
    </row>
    <row r="188" spans="1:30" x14ac:dyDescent="0.25">
      <c r="A188" s="101"/>
      <c r="B188" s="104"/>
      <c r="C188" s="267"/>
      <c r="D188" s="105"/>
      <c r="E188" s="110"/>
      <c r="F188" s="110"/>
      <c r="G188" s="110"/>
      <c r="H188" s="110"/>
      <c r="I188" s="110"/>
      <c r="J188" s="110"/>
      <c r="K188" s="110"/>
      <c r="L188" s="110"/>
      <c r="M188" s="110"/>
      <c r="N188" s="110"/>
      <c r="O188" s="110"/>
      <c r="P188" s="110"/>
      <c r="Q188" s="110"/>
      <c r="R188" s="110"/>
      <c r="S188" s="110"/>
      <c r="T188" s="110"/>
      <c r="U188" s="263"/>
      <c r="V188" s="108">
        <f t="shared" si="10"/>
        <v>0</v>
      </c>
      <c r="W188" s="108">
        <f>AN_TME_PY[[#This Row],[TOTAL Non-Truncated Unadjusted Claims Expenses]]-AN_TME_PY[[#This Row],[Total Claims Excluded because of Truncation]]</f>
        <v>0</v>
      </c>
      <c r="X188" s="108">
        <f t="shared" si="11"/>
        <v>0</v>
      </c>
      <c r="Y188" s="108">
        <f>AN_TME_PY[[#This Row],[TOTAL Non-Truncated Unadjusted Claims Expenses]]+AN_TME_PY[[#This Row],[TOTAL Non-Claims Expenses]]</f>
        <v>0</v>
      </c>
      <c r="Z188" s="108">
        <f>AN_TME_PY[[#This Row],[TOTAL Truncated Unadjusted Claims Expenses (A21 -A19)]]+AN_TME_PY[[#This Row],[TOTAL Non-Claims Expenses]]</f>
        <v>0</v>
      </c>
      <c r="AA188" s="235">
        <f>IFERROR(AN_TME_PY[[#This Row],[TOTAL Non-Truncated Unadjusted Expenses (A21 + A23)]]/AN_TME_PY[[#This Row],[Member Months]],0)</f>
        <v>0</v>
      </c>
      <c r="AB188" s="272">
        <f>IFERROR(AN_TME_PY[[#This Row],[TOTAL Truncated Unadjusted Expenses (A22 + A23)]]/AN_TME_PY[[#This Row],[Member Months]],0)</f>
        <v>0</v>
      </c>
      <c r="AC188" s="237">
        <f>IFERROR(AN_TME_PY[[#This Row],[Total Claims Excluded because of Truncation]]/AN_TME_PY[[#This Row],[Count of Members with Claims Truncated]], 0)</f>
        <v>0</v>
      </c>
      <c r="AD188" s="238">
        <f>IFERROR(AN_TME_PY[[#This Row],[Total Claims Excluded because of Truncation]]/AN_TME_PY[[#This Row],[TOTAL Non-Truncated Unadjusted Claims Expenses]], 0)</f>
        <v>0</v>
      </c>
    </row>
    <row r="189" spans="1:30" x14ac:dyDescent="0.25">
      <c r="A189" s="101"/>
      <c r="B189" s="104"/>
      <c r="C189" s="270"/>
      <c r="D189" s="105"/>
      <c r="E189" s="110"/>
      <c r="F189" s="110"/>
      <c r="G189" s="110"/>
      <c r="H189" s="110"/>
      <c r="I189" s="110"/>
      <c r="J189" s="110"/>
      <c r="K189" s="110"/>
      <c r="L189" s="110"/>
      <c r="M189" s="110"/>
      <c r="N189" s="110"/>
      <c r="O189" s="110"/>
      <c r="P189" s="110"/>
      <c r="Q189" s="110"/>
      <c r="R189" s="110"/>
      <c r="S189" s="110"/>
      <c r="T189" s="110"/>
      <c r="U189" s="263"/>
      <c r="V189" s="108">
        <f t="shared" si="10"/>
        <v>0</v>
      </c>
      <c r="W189" s="108">
        <f>AN_TME_PY[[#This Row],[TOTAL Non-Truncated Unadjusted Claims Expenses]]-AN_TME_PY[[#This Row],[Total Claims Excluded because of Truncation]]</f>
        <v>0</v>
      </c>
      <c r="X189" s="108">
        <f t="shared" si="11"/>
        <v>0</v>
      </c>
      <c r="Y189" s="108">
        <f>AN_TME_PY[[#This Row],[TOTAL Non-Truncated Unadjusted Claims Expenses]]+AN_TME_PY[[#This Row],[TOTAL Non-Claims Expenses]]</f>
        <v>0</v>
      </c>
      <c r="Z189" s="108">
        <f>AN_TME_PY[[#This Row],[TOTAL Truncated Unadjusted Claims Expenses (A21 -A19)]]+AN_TME_PY[[#This Row],[TOTAL Non-Claims Expenses]]</f>
        <v>0</v>
      </c>
      <c r="AA189" s="235">
        <f>IFERROR(AN_TME_PY[[#This Row],[TOTAL Non-Truncated Unadjusted Expenses (A21 + A23)]]/AN_TME_PY[[#This Row],[Member Months]],0)</f>
        <v>0</v>
      </c>
      <c r="AB189" s="272">
        <f>IFERROR(AN_TME_PY[[#This Row],[TOTAL Truncated Unadjusted Expenses (A22 + A23)]]/AN_TME_PY[[#This Row],[Member Months]],0)</f>
        <v>0</v>
      </c>
      <c r="AC189" s="237">
        <f>IFERROR(AN_TME_PY[[#This Row],[Total Claims Excluded because of Truncation]]/AN_TME_PY[[#This Row],[Count of Members with Claims Truncated]], 0)</f>
        <v>0</v>
      </c>
      <c r="AD189" s="238">
        <f>IFERROR(AN_TME_PY[[#This Row],[Total Claims Excluded because of Truncation]]/AN_TME_PY[[#This Row],[TOTAL Non-Truncated Unadjusted Claims Expenses]], 0)</f>
        <v>0</v>
      </c>
    </row>
    <row r="190" spans="1:30" x14ac:dyDescent="0.25">
      <c r="A190" s="101"/>
      <c r="B190" s="104"/>
      <c r="C190" s="267"/>
      <c r="D190" s="105"/>
      <c r="E190" s="110"/>
      <c r="F190" s="110"/>
      <c r="G190" s="110"/>
      <c r="H190" s="110"/>
      <c r="I190" s="110"/>
      <c r="J190" s="110"/>
      <c r="K190" s="110"/>
      <c r="L190" s="110"/>
      <c r="M190" s="110"/>
      <c r="N190" s="110"/>
      <c r="O190" s="110"/>
      <c r="P190" s="110"/>
      <c r="Q190" s="110"/>
      <c r="R190" s="110"/>
      <c r="S190" s="110"/>
      <c r="T190" s="110"/>
      <c r="U190" s="263"/>
      <c r="V190" s="108">
        <f t="shared" si="10"/>
        <v>0</v>
      </c>
      <c r="W190" s="108">
        <f>AN_TME_PY[[#This Row],[TOTAL Non-Truncated Unadjusted Claims Expenses]]-AN_TME_PY[[#This Row],[Total Claims Excluded because of Truncation]]</f>
        <v>0</v>
      </c>
      <c r="X190" s="108">
        <f t="shared" si="11"/>
        <v>0</v>
      </c>
      <c r="Y190" s="108">
        <f>AN_TME_PY[[#This Row],[TOTAL Non-Truncated Unadjusted Claims Expenses]]+AN_TME_PY[[#This Row],[TOTAL Non-Claims Expenses]]</f>
        <v>0</v>
      </c>
      <c r="Z190" s="108">
        <f>AN_TME_PY[[#This Row],[TOTAL Truncated Unadjusted Claims Expenses (A21 -A19)]]+AN_TME_PY[[#This Row],[TOTAL Non-Claims Expenses]]</f>
        <v>0</v>
      </c>
      <c r="AA190" s="235">
        <f>IFERROR(AN_TME_PY[[#This Row],[TOTAL Non-Truncated Unadjusted Expenses (A21 + A23)]]/AN_TME_PY[[#This Row],[Member Months]],0)</f>
        <v>0</v>
      </c>
      <c r="AB190" s="272">
        <f>IFERROR(AN_TME_PY[[#This Row],[TOTAL Truncated Unadjusted Expenses (A22 + A23)]]/AN_TME_PY[[#This Row],[Member Months]],0)</f>
        <v>0</v>
      </c>
      <c r="AC190" s="237">
        <f>IFERROR(AN_TME_PY[[#This Row],[Total Claims Excluded because of Truncation]]/AN_TME_PY[[#This Row],[Count of Members with Claims Truncated]], 0)</f>
        <v>0</v>
      </c>
      <c r="AD190" s="238">
        <f>IFERROR(AN_TME_PY[[#This Row],[Total Claims Excluded because of Truncation]]/AN_TME_PY[[#This Row],[TOTAL Non-Truncated Unadjusted Claims Expenses]], 0)</f>
        <v>0</v>
      </c>
    </row>
    <row r="191" spans="1:30" x14ac:dyDescent="0.25">
      <c r="A191" s="101"/>
      <c r="B191" s="104"/>
      <c r="C191" s="270"/>
      <c r="D191" s="105"/>
      <c r="E191" s="110"/>
      <c r="F191" s="110"/>
      <c r="G191" s="110"/>
      <c r="H191" s="110"/>
      <c r="I191" s="110"/>
      <c r="J191" s="110"/>
      <c r="K191" s="110"/>
      <c r="L191" s="110"/>
      <c r="M191" s="110"/>
      <c r="N191" s="110"/>
      <c r="O191" s="110"/>
      <c r="P191" s="110"/>
      <c r="Q191" s="110"/>
      <c r="R191" s="110"/>
      <c r="S191" s="110"/>
      <c r="T191" s="110"/>
      <c r="U191" s="263"/>
      <c r="V191" s="108">
        <f t="shared" si="10"/>
        <v>0</v>
      </c>
      <c r="W191" s="108">
        <f>AN_TME_PY[[#This Row],[TOTAL Non-Truncated Unadjusted Claims Expenses]]-AN_TME_PY[[#This Row],[Total Claims Excluded because of Truncation]]</f>
        <v>0</v>
      </c>
      <c r="X191" s="108">
        <f t="shared" si="11"/>
        <v>0</v>
      </c>
      <c r="Y191" s="108">
        <f>AN_TME_PY[[#This Row],[TOTAL Non-Truncated Unadjusted Claims Expenses]]+AN_TME_PY[[#This Row],[TOTAL Non-Claims Expenses]]</f>
        <v>0</v>
      </c>
      <c r="Z191" s="108">
        <f>AN_TME_PY[[#This Row],[TOTAL Truncated Unadjusted Claims Expenses (A21 -A19)]]+AN_TME_PY[[#This Row],[TOTAL Non-Claims Expenses]]</f>
        <v>0</v>
      </c>
      <c r="AA191" s="235">
        <f>IFERROR(AN_TME_PY[[#This Row],[TOTAL Non-Truncated Unadjusted Expenses (A21 + A23)]]/AN_TME_PY[[#This Row],[Member Months]],0)</f>
        <v>0</v>
      </c>
      <c r="AB191" s="272">
        <f>IFERROR(AN_TME_PY[[#This Row],[TOTAL Truncated Unadjusted Expenses (A22 + A23)]]/AN_TME_PY[[#This Row],[Member Months]],0)</f>
        <v>0</v>
      </c>
      <c r="AC191" s="237">
        <f>IFERROR(AN_TME_PY[[#This Row],[Total Claims Excluded because of Truncation]]/AN_TME_PY[[#This Row],[Count of Members with Claims Truncated]], 0)</f>
        <v>0</v>
      </c>
      <c r="AD191" s="238">
        <f>IFERROR(AN_TME_PY[[#This Row],[Total Claims Excluded because of Truncation]]/AN_TME_PY[[#This Row],[TOTAL Non-Truncated Unadjusted Claims Expenses]], 0)</f>
        <v>0</v>
      </c>
    </row>
    <row r="192" spans="1:30" x14ac:dyDescent="0.25">
      <c r="A192" s="101"/>
      <c r="B192" s="104"/>
      <c r="C192" s="267"/>
      <c r="D192" s="105"/>
      <c r="E192" s="110"/>
      <c r="F192" s="110"/>
      <c r="G192" s="110"/>
      <c r="H192" s="110"/>
      <c r="I192" s="110"/>
      <c r="J192" s="110"/>
      <c r="K192" s="110"/>
      <c r="L192" s="110"/>
      <c r="M192" s="110"/>
      <c r="N192" s="110"/>
      <c r="O192" s="110"/>
      <c r="P192" s="110"/>
      <c r="Q192" s="110"/>
      <c r="R192" s="110"/>
      <c r="S192" s="110"/>
      <c r="T192" s="110"/>
      <c r="U192" s="263"/>
      <c r="V192" s="108">
        <f t="shared" si="10"/>
        <v>0</v>
      </c>
      <c r="W192" s="108">
        <f>AN_TME_PY[[#This Row],[TOTAL Non-Truncated Unadjusted Claims Expenses]]-AN_TME_PY[[#This Row],[Total Claims Excluded because of Truncation]]</f>
        <v>0</v>
      </c>
      <c r="X192" s="108">
        <f t="shared" si="11"/>
        <v>0</v>
      </c>
      <c r="Y192" s="108">
        <f>AN_TME_PY[[#This Row],[TOTAL Non-Truncated Unadjusted Claims Expenses]]+AN_TME_PY[[#This Row],[TOTAL Non-Claims Expenses]]</f>
        <v>0</v>
      </c>
      <c r="Z192" s="108">
        <f>AN_TME_PY[[#This Row],[TOTAL Truncated Unadjusted Claims Expenses (A21 -A19)]]+AN_TME_PY[[#This Row],[TOTAL Non-Claims Expenses]]</f>
        <v>0</v>
      </c>
      <c r="AA192" s="235">
        <f>IFERROR(AN_TME_PY[[#This Row],[TOTAL Non-Truncated Unadjusted Expenses (A21 + A23)]]/AN_TME_PY[[#This Row],[Member Months]],0)</f>
        <v>0</v>
      </c>
      <c r="AB192" s="272">
        <f>IFERROR(AN_TME_PY[[#This Row],[TOTAL Truncated Unadjusted Expenses (A22 + A23)]]/AN_TME_PY[[#This Row],[Member Months]],0)</f>
        <v>0</v>
      </c>
      <c r="AC192" s="237">
        <f>IFERROR(AN_TME_PY[[#This Row],[Total Claims Excluded because of Truncation]]/AN_TME_PY[[#This Row],[Count of Members with Claims Truncated]], 0)</f>
        <v>0</v>
      </c>
      <c r="AD192" s="238">
        <f>IFERROR(AN_TME_PY[[#This Row],[Total Claims Excluded because of Truncation]]/AN_TME_PY[[#This Row],[TOTAL Non-Truncated Unadjusted Claims Expenses]], 0)</f>
        <v>0</v>
      </c>
    </row>
    <row r="193" spans="1:30" x14ac:dyDescent="0.25">
      <c r="A193" s="101"/>
      <c r="B193" s="104"/>
      <c r="C193" s="270"/>
      <c r="D193" s="105"/>
      <c r="E193" s="110"/>
      <c r="F193" s="110"/>
      <c r="G193" s="110"/>
      <c r="H193" s="110"/>
      <c r="I193" s="110"/>
      <c r="J193" s="110"/>
      <c r="K193" s="110"/>
      <c r="L193" s="110"/>
      <c r="M193" s="110"/>
      <c r="N193" s="110"/>
      <c r="O193" s="110"/>
      <c r="P193" s="110"/>
      <c r="Q193" s="110"/>
      <c r="R193" s="110"/>
      <c r="S193" s="110"/>
      <c r="T193" s="110"/>
      <c r="U193" s="263"/>
      <c r="V193" s="108">
        <f t="shared" si="10"/>
        <v>0</v>
      </c>
      <c r="W193" s="108">
        <f>AN_TME_PY[[#This Row],[TOTAL Non-Truncated Unadjusted Claims Expenses]]-AN_TME_PY[[#This Row],[Total Claims Excluded because of Truncation]]</f>
        <v>0</v>
      </c>
      <c r="X193" s="108">
        <f t="shared" si="11"/>
        <v>0</v>
      </c>
      <c r="Y193" s="108">
        <f>AN_TME_PY[[#This Row],[TOTAL Non-Truncated Unadjusted Claims Expenses]]+AN_TME_PY[[#This Row],[TOTAL Non-Claims Expenses]]</f>
        <v>0</v>
      </c>
      <c r="Z193" s="108">
        <f>AN_TME_PY[[#This Row],[TOTAL Truncated Unadjusted Claims Expenses (A21 -A19)]]+AN_TME_PY[[#This Row],[TOTAL Non-Claims Expenses]]</f>
        <v>0</v>
      </c>
      <c r="AA193" s="235">
        <f>IFERROR(AN_TME_PY[[#This Row],[TOTAL Non-Truncated Unadjusted Expenses (A21 + A23)]]/AN_TME_PY[[#This Row],[Member Months]],0)</f>
        <v>0</v>
      </c>
      <c r="AB193" s="272">
        <f>IFERROR(AN_TME_PY[[#This Row],[TOTAL Truncated Unadjusted Expenses (A22 + A23)]]/AN_TME_PY[[#This Row],[Member Months]],0)</f>
        <v>0</v>
      </c>
      <c r="AC193" s="237">
        <f>IFERROR(AN_TME_PY[[#This Row],[Total Claims Excluded because of Truncation]]/AN_TME_PY[[#This Row],[Count of Members with Claims Truncated]], 0)</f>
        <v>0</v>
      </c>
      <c r="AD193" s="238">
        <f>IFERROR(AN_TME_PY[[#This Row],[Total Claims Excluded because of Truncation]]/AN_TME_PY[[#This Row],[TOTAL Non-Truncated Unadjusted Claims Expenses]], 0)</f>
        <v>0</v>
      </c>
    </row>
    <row r="194" spans="1:30" x14ac:dyDescent="0.25">
      <c r="A194" s="101"/>
      <c r="B194" s="104"/>
      <c r="C194" s="267"/>
      <c r="D194" s="105"/>
      <c r="E194" s="110"/>
      <c r="F194" s="110"/>
      <c r="G194" s="110"/>
      <c r="H194" s="110"/>
      <c r="I194" s="110"/>
      <c r="J194" s="110"/>
      <c r="K194" s="110"/>
      <c r="L194" s="110"/>
      <c r="M194" s="110"/>
      <c r="N194" s="110"/>
      <c r="O194" s="110"/>
      <c r="P194" s="110"/>
      <c r="Q194" s="110"/>
      <c r="R194" s="110"/>
      <c r="S194" s="110"/>
      <c r="T194" s="110"/>
      <c r="U194" s="263"/>
      <c r="V194" s="108">
        <f t="shared" si="10"/>
        <v>0</v>
      </c>
      <c r="W194" s="108">
        <f>AN_TME_PY[[#This Row],[TOTAL Non-Truncated Unadjusted Claims Expenses]]-AN_TME_PY[[#This Row],[Total Claims Excluded because of Truncation]]</f>
        <v>0</v>
      </c>
      <c r="X194" s="108">
        <f t="shared" si="11"/>
        <v>0</v>
      </c>
      <c r="Y194" s="108">
        <f>AN_TME_PY[[#This Row],[TOTAL Non-Truncated Unadjusted Claims Expenses]]+AN_TME_PY[[#This Row],[TOTAL Non-Claims Expenses]]</f>
        <v>0</v>
      </c>
      <c r="Z194" s="108">
        <f>AN_TME_PY[[#This Row],[TOTAL Truncated Unadjusted Claims Expenses (A21 -A19)]]+AN_TME_PY[[#This Row],[TOTAL Non-Claims Expenses]]</f>
        <v>0</v>
      </c>
      <c r="AA194" s="235">
        <f>IFERROR(AN_TME_PY[[#This Row],[TOTAL Non-Truncated Unadjusted Expenses (A21 + A23)]]/AN_TME_PY[[#This Row],[Member Months]],0)</f>
        <v>0</v>
      </c>
      <c r="AB194" s="272">
        <f>IFERROR(AN_TME_PY[[#This Row],[TOTAL Truncated Unadjusted Expenses (A22 + A23)]]/AN_TME_PY[[#This Row],[Member Months]],0)</f>
        <v>0</v>
      </c>
      <c r="AC194" s="237">
        <f>IFERROR(AN_TME_PY[[#This Row],[Total Claims Excluded because of Truncation]]/AN_TME_PY[[#This Row],[Count of Members with Claims Truncated]], 0)</f>
        <v>0</v>
      </c>
      <c r="AD194" s="238">
        <f>IFERROR(AN_TME_PY[[#This Row],[Total Claims Excluded because of Truncation]]/AN_TME_PY[[#This Row],[TOTAL Non-Truncated Unadjusted Claims Expenses]], 0)</f>
        <v>0</v>
      </c>
    </row>
    <row r="195" spans="1:30" x14ac:dyDescent="0.25">
      <c r="A195" s="101"/>
      <c r="B195" s="104"/>
      <c r="C195" s="270"/>
      <c r="D195" s="105"/>
      <c r="E195" s="110"/>
      <c r="F195" s="110"/>
      <c r="G195" s="110"/>
      <c r="H195" s="110"/>
      <c r="I195" s="110"/>
      <c r="J195" s="110"/>
      <c r="K195" s="110"/>
      <c r="L195" s="110"/>
      <c r="M195" s="110"/>
      <c r="N195" s="110"/>
      <c r="O195" s="110"/>
      <c r="P195" s="110"/>
      <c r="Q195" s="110"/>
      <c r="R195" s="110"/>
      <c r="S195" s="110"/>
      <c r="T195" s="110"/>
      <c r="U195" s="263"/>
      <c r="V195" s="108">
        <f t="shared" si="10"/>
        <v>0</v>
      </c>
      <c r="W195" s="108">
        <f>AN_TME_PY[[#This Row],[TOTAL Non-Truncated Unadjusted Claims Expenses]]-AN_TME_PY[[#This Row],[Total Claims Excluded because of Truncation]]</f>
        <v>0</v>
      </c>
      <c r="X195" s="108">
        <f t="shared" si="11"/>
        <v>0</v>
      </c>
      <c r="Y195" s="108">
        <f>AN_TME_PY[[#This Row],[TOTAL Non-Truncated Unadjusted Claims Expenses]]+AN_TME_PY[[#This Row],[TOTAL Non-Claims Expenses]]</f>
        <v>0</v>
      </c>
      <c r="Z195" s="108">
        <f>AN_TME_PY[[#This Row],[TOTAL Truncated Unadjusted Claims Expenses (A21 -A19)]]+AN_TME_PY[[#This Row],[TOTAL Non-Claims Expenses]]</f>
        <v>0</v>
      </c>
      <c r="AA195" s="235">
        <f>IFERROR(AN_TME_PY[[#This Row],[TOTAL Non-Truncated Unadjusted Expenses (A21 + A23)]]/AN_TME_PY[[#This Row],[Member Months]],0)</f>
        <v>0</v>
      </c>
      <c r="AB195" s="272">
        <f>IFERROR(AN_TME_PY[[#This Row],[TOTAL Truncated Unadjusted Expenses (A22 + A23)]]/AN_TME_PY[[#This Row],[Member Months]],0)</f>
        <v>0</v>
      </c>
      <c r="AC195" s="237">
        <f>IFERROR(AN_TME_PY[[#This Row],[Total Claims Excluded because of Truncation]]/AN_TME_PY[[#This Row],[Count of Members with Claims Truncated]], 0)</f>
        <v>0</v>
      </c>
      <c r="AD195" s="238">
        <f>IFERROR(AN_TME_PY[[#This Row],[Total Claims Excluded because of Truncation]]/AN_TME_PY[[#This Row],[TOTAL Non-Truncated Unadjusted Claims Expenses]], 0)</f>
        <v>0</v>
      </c>
    </row>
    <row r="196" spans="1:30" x14ac:dyDescent="0.25">
      <c r="A196" s="101"/>
      <c r="B196" s="104"/>
      <c r="C196" s="267"/>
      <c r="D196" s="105"/>
      <c r="E196" s="110"/>
      <c r="F196" s="110"/>
      <c r="G196" s="110"/>
      <c r="H196" s="110"/>
      <c r="I196" s="110"/>
      <c r="J196" s="110"/>
      <c r="K196" s="110"/>
      <c r="L196" s="110"/>
      <c r="M196" s="110"/>
      <c r="N196" s="110"/>
      <c r="O196" s="110"/>
      <c r="P196" s="110"/>
      <c r="Q196" s="110"/>
      <c r="R196" s="110"/>
      <c r="S196" s="110"/>
      <c r="T196" s="110"/>
      <c r="U196" s="263"/>
      <c r="V196" s="108">
        <f t="shared" si="10"/>
        <v>0</v>
      </c>
      <c r="W196" s="108">
        <f>AN_TME_PY[[#This Row],[TOTAL Non-Truncated Unadjusted Claims Expenses]]-AN_TME_PY[[#This Row],[Total Claims Excluded because of Truncation]]</f>
        <v>0</v>
      </c>
      <c r="X196" s="108">
        <f t="shared" si="11"/>
        <v>0</v>
      </c>
      <c r="Y196" s="108">
        <f>AN_TME_PY[[#This Row],[TOTAL Non-Truncated Unadjusted Claims Expenses]]+AN_TME_PY[[#This Row],[TOTAL Non-Claims Expenses]]</f>
        <v>0</v>
      </c>
      <c r="Z196" s="108">
        <f>AN_TME_PY[[#This Row],[TOTAL Truncated Unadjusted Claims Expenses (A21 -A19)]]+AN_TME_PY[[#This Row],[TOTAL Non-Claims Expenses]]</f>
        <v>0</v>
      </c>
      <c r="AA196" s="235">
        <f>IFERROR(AN_TME_PY[[#This Row],[TOTAL Non-Truncated Unadjusted Expenses (A21 + A23)]]/AN_TME_PY[[#This Row],[Member Months]],0)</f>
        <v>0</v>
      </c>
      <c r="AB196" s="272">
        <f>IFERROR(AN_TME_PY[[#This Row],[TOTAL Truncated Unadjusted Expenses (A22 + A23)]]/AN_TME_PY[[#This Row],[Member Months]],0)</f>
        <v>0</v>
      </c>
      <c r="AC196" s="237">
        <f>IFERROR(AN_TME_PY[[#This Row],[Total Claims Excluded because of Truncation]]/AN_TME_PY[[#This Row],[Count of Members with Claims Truncated]], 0)</f>
        <v>0</v>
      </c>
      <c r="AD196" s="238">
        <f>IFERROR(AN_TME_PY[[#This Row],[Total Claims Excluded because of Truncation]]/AN_TME_PY[[#This Row],[TOTAL Non-Truncated Unadjusted Claims Expenses]], 0)</f>
        <v>0</v>
      </c>
    </row>
    <row r="197" spans="1:30" x14ac:dyDescent="0.25">
      <c r="A197" s="101"/>
      <c r="B197" s="104"/>
      <c r="C197" s="270"/>
      <c r="D197" s="105"/>
      <c r="E197" s="110"/>
      <c r="F197" s="110"/>
      <c r="G197" s="110"/>
      <c r="H197" s="110"/>
      <c r="I197" s="110"/>
      <c r="J197" s="110"/>
      <c r="K197" s="110"/>
      <c r="L197" s="110"/>
      <c r="M197" s="110"/>
      <c r="N197" s="110"/>
      <c r="O197" s="110"/>
      <c r="P197" s="110"/>
      <c r="Q197" s="110"/>
      <c r="R197" s="110"/>
      <c r="S197" s="110"/>
      <c r="T197" s="110"/>
      <c r="U197" s="263"/>
      <c r="V197" s="108">
        <f t="shared" si="10"/>
        <v>0</v>
      </c>
      <c r="W197" s="108">
        <f>AN_TME_PY[[#This Row],[TOTAL Non-Truncated Unadjusted Claims Expenses]]-AN_TME_PY[[#This Row],[Total Claims Excluded because of Truncation]]</f>
        <v>0</v>
      </c>
      <c r="X197" s="108">
        <f t="shared" si="11"/>
        <v>0</v>
      </c>
      <c r="Y197" s="108">
        <f>AN_TME_PY[[#This Row],[TOTAL Non-Truncated Unadjusted Claims Expenses]]+AN_TME_PY[[#This Row],[TOTAL Non-Claims Expenses]]</f>
        <v>0</v>
      </c>
      <c r="Z197" s="108">
        <f>AN_TME_PY[[#This Row],[TOTAL Truncated Unadjusted Claims Expenses (A21 -A19)]]+AN_TME_PY[[#This Row],[TOTAL Non-Claims Expenses]]</f>
        <v>0</v>
      </c>
      <c r="AA197" s="235">
        <f>IFERROR(AN_TME_PY[[#This Row],[TOTAL Non-Truncated Unadjusted Expenses (A21 + A23)]]/AN_TME_PY[[#This Row],[Member Months]],0)</f>
        <v>0</v>
      </c>
      <c r="AB197" s="272">
        <f>IFERROR(AN_TME_PY[[#This Row],[TOTAL Truncated Unadjusted Expenses (A22 + A23)]]/AN_TME_PY[[#This Row],[Member Months]],0)</f>
        <v>0</v>
      </c>
      <c r="AC197" s="237">
        <f>IFERROR(AN_TME_PY[[#This Row],[Total Claims Excluded because of Truncation]]/AN_TME_PY[[#This Row],[Count of Members with Claims Truncated]], 0)</f>
        <v>0</v>
      </c>
      <c r="AD197" s="238">
        <f>IFERROR(AN_TME_PY[[#This Row],[Total Claims Excluded because of Truncation]]/AN_TME_PY[[#This Row],[TOTAL Non-Truncated Unadjusted Claims Expenses]], 0)</f>
        <v>0</v>
      </c>
    </row>
    <row r="198" spans="1:30" x14ac:dyDescent="0.25">
      <c r="A198" s="101"/>
      <c r="B198" s="104"/>
      <c r="C198" s="267"/>
      <c r="D198" s="105"/>
      <c r="E198" s="110"/>
      <c r="F198" s="110"/>
      <c r="G198" s="110"/>
      <c r="H198" s="110"/>
      <c r="I198" s="110"/>
      <c r="J198" s="110"/>
      <c r="K198" s="110"/>
      <c r="L198" s="110"/>
      <c r="M198" s="110"/>
      <c r="N198" s="110"/>
      <c r="O198" s="110"/>
      <c r="P198" s="110"/>
      <c r="Q198" s="110"/>
      <c r="R198" s="110"/>
      <c r="S198" s="110"/>
      <c r="T198" s="110"/>
      <c r="U198" s="263"/>
      <c r="V198" s="108">
        <f t="shared" si="10"/>
        <v>0</v>
      </c>
      <c r="W198" s="108">
        <f>AN_TME_PY[[#This Row],[TOTAL Non-Truncated Unadjusted Claims Expenses]]-AN_TME_PY[[#This Row],[Total Claims Excluded because of Truncation]]</f>
        <v>0</v>
      </c>
      <c r="X198" s="108">
        <f t="shared" si="11"/>
        <v>0</v>
      </c>
      <c r="Y198" s="108">
        <f>AN_TME_PY[[#This Row],[TOTAL Non-Truncated Unadjusted Claims Expenses]]+AN_TME_PY[[#This Row],[TOTAL Non-Claims Expenses]]</f>
        <v>0</v>
      </c>
      <c r="Z198" s="108">
        <f>AN_TME_PY[[#This Row],[TOTAL Truncated Unadjusted Claims Expenses (A21 -A19)]]+AN_TME_PY[[#This Row],[TOTAL Non-Claims Expenses]]</f>
        <v>0</v>
      </c>
      <c r="AA198" s="235">
        <f>IFERROR(AN_TME_PY[[#This Row],[TOTAL Non-Truncated Unadjusted Expenses (A21 + A23)]]/AN_TME_PY[[#This Row],[Member Months]],0)</f>
        <v>0</v>
      </c>
      <c r="AB198" s="272">
        <f>IFERROR(AN_TME_PY[[#This Row],[TOTAL Truncated Unadjusted Expenses (A22 + A23)]]/AN_TME_PY[[#This Row],[Member Months]],0)</f>
        <v>0</v>
      </c>
      <c r="AC198" s="237">
        <f>IFERROR(AN_TME_PY[[#This Row],[Total Claims Excluded because of Truncation]]/AN_TME_PY[[#This Row],[Count of Members with Claims Truncated]], 0)</f>
        <v>0</v>
      </c>
      <c r="AD198" s="238">
        <f>IFERROR(AN_TME_PY[[#This Row],[Total Claims Excluded because of Truncation]]/AN_TME_PY[[#This Row],[TOTAL Non-Truncated Unadjusted Claims Expenses]], 0)</f>
        <v>0</v>
      </c>
    </row>
    <row r="199" spans="1:30" x14ac:dyDescent="0.25">
      <c r="A199" s="101"/>
      <c r="B199" s="104"/>
      <c r="C199" s="270"/>
      <c r="D199" s="105"/>
      <c r="E199" s="110"/>
      <c r="F199" s="110"/>
      <c r="G199" s="110"/>
      <c r="H199" s="110"/>
      <c r="I199" s="110"/>
      <c r="J199" s="110"/>
      <c r="K199" s="110"/>
      <c r="L199" s="110"/>
      <c r="M199" s="110"/>
      <c r="N199" s="110"/>
      <c r="O199" s="110"/>
      <c r="P199" s="110"/>
      <c r="Q199" s="110"/>
      <c r="R199" s="110"/>
      <c r="S199" s="110"/>
      <c r="T199" s="110"/>
      <c r="U199" s="263"/>
      <c r="V199" s="108">
        <f t="shared" si="10"/>
        <v>0</v>
      </c>
      <c r="W199" s="108">
        <f>AN_TME_PY[[#This Row],[TOTAL Non-Truncated Unadjusted Claims Expenses]]-AN_TME_PY[[#This Row],[Total Claims Excluded because of Truncation]]</f>
        <v>0</v>
      </c>
      <c r="X199" s="108">
        <f t="shared" si="11"/>
        <v>0</v>
      </c>
      <c r="Y199" s="108">
        <f>AN_TME_PY[[#This Row],[TOTAL Non-Truncated Unadjusted Claims Expenses]]+AN_TME_PY[[#This Row],[TOTAL Non-Claims Expenses]]</f>
        <v>0</v>
      </c>
      <c r="Z199" s="108">
        <f>AN_TME_PY[[#This Row],[TOTAL Truncated Unadjusted Claims Expenses (A21 -A19)]]+AN_TME_PY[[#This Row],[TOTAL Non-Claims Expenses]]</f>
        <v>0</v>
      </c>
      <c r="AA199" s="235">
        <f>IFERROR(AN_TME_PY[[#This Row],[TOTAL Non-Truncated Unadjusted Expenses (A21 + A23)]]/AN_TME_PY[[#This Row],[Member Months]],0)</f>
        <v>0</v>
      </c>
      <c r="AB199" s="272">
        <f>IFERROR(AN_TME_PY[[#This Row],[TOTAL Truncated Unadjusted Expenses (A22 + A23)]]/AN_TME_PY[[#This Row],[Member Months]],0)</f>
        <v>0</v>
      </c>
      <c r="AC199" s="237">
        <f>IFERROR(AN_TME_PY[[#This Row],[Total Claims Excluded because of Truncation]]/AN_TME_PY[[#This Row],[Count of Members with Claims Truncated]], 0)</f>
        <v>0</v>
      </c>
      <c r="AD199" s="238">
        <f>IFERROR(AN_TME_PY[[#This Row],[Total Claims Excluded because of Truncation]]/AN_TME_PY[[#This Row],[TOTAL Non-Truncated Unadjusted Claims Expenses]], 0)</f>
        <v>0</v>
      </c>
    </row>
    <row r="200" spans="1:30" x14ac:dyDescent="0.25">
      <c r="A200" s="101"/>
      <c r="B200" s="104"/>
      <c r="C200" s="267"/>
      <c r="D200" s="105"/>
      <c r="E200" s="110"/>
      <c r="F200" s="110"/>
      <c r="G200" s="110"/>
      <c r="H200" s="110"/>
      <c r="I200" s="110"/>
      <c r="J200" s="110"/>
      <c r="K200" s="110"/>
      <c r="L200" s="110"/>
      <c r="M200" s="110"/>
      <c r="N200" s="110"/>
      <c r="O200" s="110"/>
      <c r="P200" s="110"/>
      <c r="Q200" s="110"/>
      <c r="R200" s="110"/>
      <c r="S200" s="110"/>
      <c r="T200" s="110"/>
      <c r="U200" s="263"/>
      <c r="V200" s="108">
        <f t="shared" si="10"/>
        <v>0</v>
      </c>
      <c r="W200" s="108">
        <f>AN_TME_PY[[#This Row],[TOTAL Non-Truncated Unadjusted Claims Expenses]]-AN_TME_PY[[#This Row],[Total Claims Excluded because of Truncation]]</f>
        <v>0</v>
      </c>
      <c r="X200" s="108">
        <f t="shared" si="11"/>
        <v>0</v>
      </c>
      <c r="Y200" s="108">
        <f>AN_TME_PY[[#This Row],[TOTAL Non-Truncated Unadjusted Claims Expenses]]+AN_TME_PY[[#This Row],[TOTAL Non-Claims Expenses]]</f>
        <v>0</v>
      </c>
      <c r="Z200" s="108">
        <f>AN_TME_PY[[#This Row],[TOTAL Truncated Unadjusted Claims Expenses (A21 -A19)]]+AN_TME_PY[[#This Row],[TOTAL Non-Claims Expenses]]</f>
        <v>0</v>
      </c>
      <c r="AA200" s="235">
        <f>IFERROR(AN_TME_PY[[#This Row],[TOTAL Non-Truncated Unadjusted Expenses (A21 + A23)]]/AN_TME_PY[[#This Row],[Member Months]],0)</f>
        <v>0</v>
      </c>
      <c r="AB200" s="272">
        <f>IFERROR(AN_TME_PY[[#This Row],[TOTAL Truncated Unadjusted Expenses (A22 + A23)]]/AN_TME_PY[[#This Row],[Member Months]],0)</f>
        <v>0</v>
      </c>
      <c r="AC200" s="237">
        <f>IFERROR(AN_TME_PY[[#This Row],[Total Claims Excluded because of Truncation]]/AN_TME_PY[[#This Row],[Count of Members with Claims Truncated]], 0)</f>
        <v>0</v>
      </c>
      <c r="AD200" s="238">
        <f>IFERROR(AN_TME_PY[[#This Row],[Total Claims Excluded because of Truncation]]/AN_TME_PY[[#This Row],[TOTAL Non-Truncated Unadjusted Claims Expenses]], 0)</f>
        <v>0</v>
      </c>
    </row>
  </sheetData>
  <sheetProtection algorithmName="SHA-512" hashValue="/0GLP85018HHRM+2aqQyPvU+6jMOCYOrRXZV2WJXGA6+SpTXpBWjkk0K8WqTaKbLmqiK0aejyC8u0zV/fpeqaA==" saltValue="FCAAOGY4V0k87Bp25nOHmQ==" spinCount="100000" sheet="1" insertRows="0" sort="0" autoFilter="0"/>
  <protectedRanges>
    <protectedRange sqref="C11:C200" name="Range1_1"/>
    <protectedRange sqref="A10:B47 D11:AD47" name="Range1"/>
  </protectedRanges>
  <mergeCells count="7">
    <mergeCell ref="C4:E5"/>
    <mergeCell ref="P4:Q6"/>
    <mergeCell ref="P3:Q3"/>
    <mergeCell ref="J3:K3"/>
    <mergeCell ref="M3:N3"/>
    <mergeCell ref="M4:N6"/>
    <mergeCell ref="J4:K6"/>
  </mergeCells>
  <conditionalFormatting sqref="H4">
    <cfRule type="cellIs" dxfId="61" priority="1" operator="lessThanOrEqual">
      <formula>0</formula>
    </cfRule>
    <cfRule type="cellIs" dxfId="60" priority="2" operator="greaterThan">
      <formula>0</formula>
    </cfRule>
  </conditionalFormatting>
  <conditionalFormatting sqref="J4:K6">
    <cfRule type="notContainsText" dxfId="59" priority="9" operator="notContains" text="Good">
      <formula>ISERROR(SEARCH("Good",J4))</formula>
    </cfRule>
    <cfRule type="containsText" dxfId="58" priority="10" operator="containsText" text="Good">
      <formula>NOT(ISERROR(SEARCH("Good",J4)))</formula>
    </cfRule>
  </conditionalFormatting>
  <conditionalFormatting sqref="M4:N6">
    <cfRule type="notContainsText" dxfId="57" priority="7" operator="notContains" text="Good">
      <formula>ISERROR(SEARCH("Good",M4))</formula>
    </cfRule>
    <cfRule type="containsText" dxfId="56" priority="8" operator="containsText" text="Good">
      <formula>NOT(ISERROR(SEARCH("Good",M4)))</formula>
    </cfRule>
  </conditionalFormatting>
  <conditionalFormatting sqref="P4">
    <cfRule type="notContainsText" dxfId="55" priority="5" operator="notContains" text="Good">
      <formula>ISERROR(SEARCH("Good",P4))</formula>
    </cfRule>
    <cfRule type="containsText" dxfId="54" priority="6" operator="containsText" text="Good">
      <formula>NOT(ISERROR(SEARCH("Good",P4)))</formula>
    </cfRule>
  </conditionalFormatting>
  <conditionalFormatting sqref="AC11:AC200">
    <cfRule type="cellIs" dxfId="53" priority="4" operator="greaterThanOrEqual">
      <formula>250000</formula>
    </cfRule>
  </conditionalFormatting>
  <conditionalFormatting sqref="AD11:AD200">
    <cfRule type="cellIs" dxfId="52" priority="3" operator="greaterThanOrEqual">
      <formula>0.1</formula>
    </cfRule>
  </conditionalFormatting>
  <dataValidations xWindow="551" yWindow="606" count="9">
    <dataValidation type="decimal" operator="greaterThanOrEqual" allowBlank="1" showInputMessage="1" showErrorMessage="1" error="See Definitions tab._x000a_No negative values." prompt="See Definitions tab._x000a_No negative values." sqref="Q11 Q12:Q200 T11:U200" xr:uid="{E08629EC-2893-4A0A-8B0F-7E0748D7538D}">
      <formula1>0</formula1>
    </dataValidation>
    <dataValidation type="textLength" operator="equal" allowBlank="1" showInputMessage="1" showErrorMessage="1" error="2 = Medicaid and Medicaid MCOs_x000a_6= Medicaid Expenditures for Duals" prompt="2 = Medicaid and Medicaid MCOs_x000a_6= Medicaid Expenditures for Duals" sqref="B11:B200" xr:uid="{874A7815-B71B-4621-ADC0-3D8548C9D027}">
      <formula1>1</formula1>
    </dataValidation>
    <dataValidation type="whole" allowBlank="1" showInputMessage="1" showErrorMessage="1" error="Please input the OHS-assigned organizational ID of the Advanced Network or the Carrier Overall ID (100). " prompt="If inputting Advanced Network-level TME, please input the OHS-assigned organizational ID of the Advanced Network._x000a_If inputting insurance carrier-level TME, please input the Carrier Overall ID (100)." sqref="A11:A200" xr:uid="{BB039431-D84F-4661-8C04-2A6FAB2C5F7B}">
      <formula1>100</formula1>
      <formula2>999</formula2>
    </dataValidation>
    <dataValidation type="decimal" operator="greaterThan" allowBlank="1" showInputMessage="1" showErrorMessage="1" error="The number of unique members participating in a plan each month with a medical benefit, regardless of whether the member has any paid claims." prompt="The number of unique members participating in a plan each month with a medical benefit, regardless of whether the member has any paid claims." sqref="D11:D200" xr:uid="{8B0B3EF8-F1D1-4D88-A1BC-A2FA9F139B94}">
      <formula1>0</formula1>
    </dataValidation>
    <dataValidation type="list" operator="equal" allowBlank="1" showDropDown="1" showInputMessage="1" showErrorMessage="1" error="Please input the insurance category being reported." prompt="Hierarchy Field Codes:_x000a_1 = Member Selection_x000a_2 = Contract Arrangement_x000a_3 = Utilization_x000a_4 = Unattributed Member Months" sqref="C11:C200" xr:uid="{71578AA1-4DF0-4AC6-8E23-000D6556642A}">
      <formula1>"1, 2, 3, 4"</formula1>
    </dataValidation>
    <dataValidation type="decimal" operator="greaterThanOrEqual" allowBlank="1" showInputMessage="1" showErrorMessage="1" error="See Definitions tab._x000a_No negative values." prompt="See Definitions tab._x000a_No negative values._x000a_" sqref="E11:O200" xr:uid="{7678B92E-1D33-4329-AFC7-84E7EC7C7E16}">
      <formula1>0</formula1>
    </dataValidation>
    <dataValidation type="decimal" operator="greaterThanOrEqual" allowBlank="1" showInputMessage="1" showErrorMessage="1" error="See Definitions tab._x000a_Report as a negative number." prompt="See Definitions tab._x000a_No negative values." sqref="R11:R200" xr:uid="{D7BF1789-8CED-4045-BA61-CE16324F0436}">
      <formula1>0</formula1>
    </dataValidation>
    <dataValidation allowBlank="1" showInputMessage="1" showErrorMessage="1" prompt="See Definitions tab." sqref="P11:P200" xr:uid="{04F2139F-7E84-4A38-88DD-BFD369CF3047}"/>
    <dataValidation type="decimal" operator="greaterThanOrEqual" allowBlank="1" showInputMessage="1" showErrorMessage="1" prompt="See Definitions tab._x000a_No negative values." sqref="S11:S200" xr:uid="{B90FA5F1-6F9A-4B4F-9A54-B8AD96B1FAF5}">
      <formula1>0</formula1>
    </dataValidation>
  </dataValidations>
  <hyperlinks>
    <hyperlink ref="J3:K3" location="Check" display="Check for Member Months" xr:uid="{155A7B4E-2E8B-4C97-B3FD-60730B874E9E}"/>
    <hyperlink ref="M3:N3" location="Check" display="Check for Truncated and Non-Truncated Spending" xr:uid="{F934CE60-F7BB-4C0E-837D-638C46E3B4AC}"/>
    <hyperlink ref="P3:Q3" location="'Advanced Network - 2022'!AD10:AE10" display="Check for Average Truncated Claims Per Member" xr:uid="{4B452295-59B1-462E-B54F-65E4FA6EFBEA}"/>
    <hyperlink ref="G3:H3" location="'Data Validation'!A1" display="Insurance Category Code" xr:uid="{0A8C8EB3-1098-4808-834D-6665CEA3E71C}"/>
  </hyperlink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3988F-6FCC-475A-8455-CAC1ABB9E83F}">
  <sheetPr>
    <tabColor theme="4"/>
  </sheetPr>
  <dimension ref="A1:D18"/>
  <sheetViews>
    <sheetView zoomScale="110" zoomScaleNormal="110" workbookViewId="0">
      <selection activeCell="J33" sqref="J33"/>
    </sheetView>
  </sheetViews>
  <sheetFormatPr defaultColWidth="9.140625" defaultRowHeight="15" x14ac:dyDescent="0.25"/>
  <cols>
    <col min="1" max="1" width="25" customWidth="1"/>
    <col min="2" max="4" width="28.7109375" customWidth="1"/>
  </cols>
  <sheetData>
    <row r="1" spans="1:4" x14ac:dyDescent="0.25">
      <c r="A1" s="1" t="s">
        <v>191</v>
      </c>
    </row>
    <row r="2" spans="1:4" x14ac:dyDescent="0.25">
      <c r="A2" s="1" t="s">
        <v>253</v>
      </c>
    </row>
    <row r="4" spans="1:4" x14ac:dyDescent="0.25">
      <c r="A4" t="s">
        <v>193</v>
      </c>
      <c r="C4" s="321" t="s">
        <v>194</v>
      </c>
      <c r="D4" s="321"/>
    </row>
    <row r="5" spans="1:4" x14ac:dyDescent="0.25">
      <c r="A5" s="82" t="s">
        <v>213</v>
      </c>
      <c r="C5" s="321"/>
      <c r="D5" s="321"/>
    </row>
    <row r="6" spans="1:4" x14ac:dyDescent="0.25">
      <c r="A6" s="82"/>
    </row>
    <row r="7" spans="1:4" x14ac:dyDescent="0.25">
      <c r="A7" s="82"/>
    </row>
    <row r="8" spans="1:4" x14ac:dyDescent="0.25">
      <c r="A8" s="82"/>
    </row>
    <row r="9" spans="1:4" x14ac:dyDescent="0.25">
      <c r="B9" s="4" t="s">
        <v>214</v>
      </c>
      <c r="C9" s="4" t="s">
        <v>215</v>
      </c>
      <c r="D9" s="4" t="s">
        <v>216</v>
      </c>
    </row>
    <row r="10" spans="1:4" s="88" customFormat="1" x14ac:dyDescent="0.25">
      <c r="A10" s="86" t="s">
        <v>84</v>
      </c>
      <c r="B10" s="87" t="s">
        <v>254</v>
      </c>
      <c r="C10" s="118" t="s">
        <v>255</v>
      </c>
      <c r="D10" s="117" t="s">
        <v>256</v>
      </c>
    </row>
    <row r="11" spans="1:4" x14ac:dyDescent="0.25">
      <c r="A11" s="104"/>
      <c r="B11" s="180" t="s">
        <v>45</v>
      </c>
      <c r="C11" s="180" t="s">
        <v>45</v>
      </c>
      <c r="D11" s="123"/>
    </row>
    <row r="12" spans="1:4" x14ac:dyDescent="0.25">
      <c r="A12" s="104"/>
      <c r="B12" s="180" t="s">
        <v>45</v>
      </c>
      <c r="C12" s="180" t="s">
        <v>45</v>
      </c>
      <c r="D12" s="123"/>
    </row>
    <row r="18" ht="12.75" customHeight="1" x14ac:dyDescent="0.25"/>
  </sheetData>
  <sheetProtection algorithmName="SHA-512" hashValue="VQvQuQ7qETlxH7oj3ZXC7BmJgAq4uLSMc2IwzvYA7CCG2cXKxZnrldMfMwuTCvrb/l/YuPHJA8Cm8V2618psvw==" saltValue="axV0dp1PzNASO7ScxoFOag==" spinCount="100000" sheet="1" objects="1" scenarios="1"/>
  <protectedRanges>
    <protectedRange sqref="A11:D12" name="Range1"/>
  </protectedRanges>
  <mergeCells count="1">
    <mergeCell ref="C4:D5"/>
  </mergeCells>
  <dataValidations count="2">
    <dataValidation type="decimal" operator="lessThanOrEqual" allowBlank="1" showInputMessage="1" showErrorMessage="1" error="See &quot;Definitions&quot; tab._x000a_Report as a negative value." prompt="See &quot;Definitions&quot; tab._x000a_Report as a negative value." sqref="D11:D12" xr:uid="{C593D495-D3C4-4040-BB8A-89F63F9157D1}">
      <formula1>0</formula1>
    </dataValidation>
    <dataValidation type="textLength" operator="equal" allowBlank="1" showInputMessage="1" showErrorMessage="1" error="2 = Medicaid and Medicaid MCOs_x000a_6= Medicaid Expenditures for Duals" prompt="2 = Medicaid and Medicaid MCOs_x000a_6= Medicaid Expenditures for Duals" sqref="A11:A12" xr:uid="{F72DA9DB-E774-4662-98BD-54BEC2AC6150}">
      <formula1>1</formula1>
    </dataValidation>
  </dataValidation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DC1E6-D9DA-4752-9462-412DB198B7CC}">
  <sheetPr>
    <tabColor theme="3"/>
  </sheetPr>
  <dimension ref="A1:D18"/>
  <sheetViews>
    <sheetView zoomScale="110" zoomScaleNormal="110" workbookViewId="0">
      <selection activeCell="C4" sqref="C4:D5"/>
    </sheetView>
  </sheetViews>
  <sheetFormatPr defaultColWidth="9.140625" defaultRowHeight="15" x14ac:dyDescent="0.25"/>
  <cols>
    <col min="1" max="1" width="25" customWidth="1"/>
    <col min="2" max="4" width="28.7109375" customWidth="1"/>
  </cols>
  <sheetData>
    <row r="1" spans="1:4" x14ac:dyDescent="0.25">
      <c r="A1" s="1" t="s">
        <v>191</v>
      </c>
    </row>
    <row r="2" spans="1:4" x14ac:dyDescent="0.25">
      <c r="A2" s="1" t="s">
        <v>257</v>
      </c>
    </row>
    <row r="4" spans="1:4" x14ac:dyDescent="0.25">
      <c r="A4" t="s">
        <v>193</v>
      </c>
      <c r="C4" s="323" t="s">
        <v>207</v>
      </c>
      <c r="D4" s="323"/>
    </row>
    <row r="5" spans="1:4" x14ac:dyDescent="0.25">
      <c r="A5" s="82" t="s">
        <v>213</v>
      </c>
      <c r="C5" s="323"/>
      <c r="D5" s="323"/>
    </row>
    <row r="6" spans="1:4" x14ac:dyDescent="0.25">
      <c r="A6" s="82"/>
    </row>
    <row r="7" spans="1:4" x14ac:dyDescent="0.25">
      <c r="A7" s="82"/>
    </row>
    <row r="8" spans="1:4" x14ac:dyDescent="0.25">
      <c r="A8" s="82"/>
    </row>
    <row r="9" spans="1:4" x14ac:dyDescent="0.25">
      <c r="B9" s="4" t="s">
        <v>214</v>
      </c>
      <c r="C9" s="4" t="s">
        <v>215</v>
      </c>
      <c r="D9" s="4" t="s">
        <v>216</v>
      </c>
    </row>
    <row r="10" spans="1:4" s="88" customFormat="1" x14ac:dyDescent="0.25">
      <c r="A10" s="86" t="s">
        <v>84</v>
      </c>
      <c r="B10" s="87" t="s">
        <v>254</v>
      </c>
      <c r="C10" s="118" t="s">
        <v>255</v>
      </c>
      <c r="D10" s="117" t="s">
        <v>256</v>
      </c>
    </row>
    <row r="11" spans="1:4" x14ac:dyDescent="0.25">
      <c r="A11" s="104"/>
      <c r="B11" s="180" t="s">
        <v>45</v>
      </c>
      <c r="C11" s="180" t="s">
        <v>45</v>
      </c>
      <c r="D11" s="123"/>
    </row>
    <row r="12" spans="1:4" x14ac:dyDescent="0.25">
      <c r="A12" s="104"/>
      <c r="B12" s="180" t="s">
        <v>45</v>
      </c>
      <c r="C12" s="180" t="s">
        <v>45</v>
      </c>
      <c r="D12" s="123"/>
    </row>
    <row r="18" ht="12.75" customHeight="1" x14ac:dyDescent="0.25"/>
  </sheetData>
  <sheetProtection algorithmName="SHA-512" hashValue="71zHkNlZIQFkNYHjTdkxLfJSfSW6vYBcMcsvk67lfDfSEF+ijBoAMvEqvkdCirpt86MTbIo6L/CnBAf3bNxsmQ==" saltValue="SJ1dzi3eDhTNIylppmqNkg==" spinCount="100000" sheet="1" objects="1" scenarios="1"/>
  <protectedRanges>
    <protectedRange sqref="A11:D12" name="Range1"/>
  </protectedRanges>
  <mergeCells count="1">
    <mergeCell ref="C4:D5"/>
  </mergeCells>
  <dataValidations count="2">
    <dataValidation type="textLength" operator="equal" allowBlank="1" showInputMessage="1" showErrorMessage="1" error="2 = Medicaid and Medicaid MCOs_x000a_6= Medicaid Expenditures for Duals" prompt="2 = Medicaid and Medicaid MCOs_x000a_6= Medicaid Expenditures for Duals" sqref="A11:A12" xr:uid="{2994C327-FDA3-4EB6-AAF2-6A5BE2B80D60}">
      <formula1>1</formula1>
    </dataValidation>
    <dataValidation type="decimal" operator="lessThanOrEqual" allowBlank="1" showInputMessage="1" showErrorMessage="1" error="See &quot;Definitions&quot; tab._x000a_Report as a negative value." prompt="See &quot;Definitions&quot; tab._x000a_Report as a negative value." sqref="D11:D12" xr:uid="{9214A4E0-4190-4213-9655-AFC046054B0C}">
      <formula1>0</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26CC1A160F2C4E953D5C17456E6333" ma:contentTypeVersion="16" ma:contentTypeDescription="Create a new document." ma:contentTypeScope="" ma:versionID="245194a285289a4ce3b897741a861f83">
  <xsd:schema xmlns:xsd="http://www.w3.org/2001/XMLSchema" xmlns:xs="http://www.w3.org/2001/XMLSchema" xmlns:p="http://schemas.microsoft.com/office/2006/metadata/properties" xmlns:ns2="3ca2d690-4b65-48b8-b367-984c1bbb45de" xmlns:ns3="d29a8555-db37-4257-91ea-e6d336cdedf2" targetNamespace="http://schemas.microsoft.com/office/2006/metadata/properties" ma:root="true" ma:fieldsID="5778dc79b8ea33854699f66598fdcf21" ns2:_="" ns3:_="">
    <xsd:import namespace="3ca2d690-4b65-48b8-b367-984c1bbb45de"/>
    <xsd:import namespace="d29a8555-db37-4257-91ea-e6d336cded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a2d690-4b65-48b8-b367-984c1bbb45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64c4022-8a08-492a-8fd9-63f32d90377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9a8555-db37-4257-91ea-e6d336cdedf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20fe0fe-7f6e-40d9-b998-99db2d565673}" ma:internalName="TaxCatchAll" ma:showField="CatchAllData" ma:web="d29a8555-db37-4257-91ea-e6d336cdedf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29a8555-db37-4257-91ea-e6d336cdedf2" xsi:nil="true"/>
    <lcf76f155ced4ddcb4097134ff3c332f xmlns="3ca2d690-4b65-48b8-b367-984c1bbb45d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905D3B5-1811-4FE3-8AD6-B1E9EEA0A849}">
  <ds:schemaRefs>
    <ds:schemaRef ds:uri="http://schemas.microsoft.com/sharepoint/v3/contenttype/forms"/>
  </ds:schemaRefs>
</ds:datastoreItem>
</file>

<file path=customXml/itemProps2.xml><?xml version="1.0" encoding="utf-8"?>
<ds:datastoreItem xmlns:ds="http://schemas.openxmlformats.org/officeDocument/2006/customXml" ds:itemID="{2D8A0A21-0060-47A1-B3CA-611151F02E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a2d690-4b65-48b8-b367-984c1bbb45de"/>
    <ds:schemaRef ds:uri="d29a8555-db37-4257-91ea-e6d336cded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72BC8B-BFF5-4C15-9C69-9329B096B366}">
  <ds:schemaRefs>
    <ds:schemaRef ds:uri="http://schemas.microsoft.com/office/2006/metadata/properties"/>
    <ds:schemaRef ds:uri="http://schemas.microsoft.com/office/infopath/2007/PartnerControls"/>
    <ds:schemaRef ds:uri="d29a8555-db37-4257-91ea-e6d336cdedf2"/>
    <ds:schemaRef ds:uri="3ca2d690-4b65-48b8-b367-984c1bbb45d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9</vt:i4>
      </vt:variant>
    </vt:vector>
  </HeadingPairs>
  <TitlesOfParts>
    <vt:vector size="28" baseType="lpstr">
      <vt:lpstr>Contents</vt:lpstr>
      <vt:lpstr>Reference Tables</vt:lpstr>
      <vt:lpstr>Definitions</vt:lpstr>
      <vt:lpstr>HD-TME - 2023</vt:lpstr>
      <vt:lpstr>HD-TME - 2024</vt:lpstr>
      <vt:lpstr>Advanced Network - 2023</vt:lpstr>
      <vt:lpstr>Advanced Network - 2024</vt:lpstr>
      <vt:lpstr>RX Rebates - 2023</vt:lpstr>
      <vt:lpstr>RX Rebates - 2024</vt:lpstr>
      <vt:lpstr>LOB Enrollment</vt:lpstr>
      <vt:lpstr>Standard Deviation - 2023</vt:lpstr>
      <vt:lpstr>Standard Deviation - 2024</vt:lpstr>
      <vt:lpstr>Age_Sex Factors - 2023</vt:lpstr>
      <vt:lpstr>Age_Sex Factors - 2024</vt:lpstr>
      <vt:lpstr>Mandatory Questions</vt:lpstr>
      <vt:lpstr>Validation by Market</vt:lpstr>
      <vt:lpstr>Validation by Provider</vt:lpstr>
      <vt:lpstr>Data Validation</vt:lpstr>
      <vt:lpstr>Data Validation Backup</vt:lpstr>
      <vt:lpstr>'Reference Tables'!_ftnref1</vt:lpstr>
      <vt:lpstr>'Reference Tables'!_ftnref2</vt:lpstr>
      <vt:lpstr>'Reference Tables'!_ftnref3</vt:lpstr>
      <vt:lpstr>'Reference Tables'!_ftnref4</vt:lpstr>
      <vt:lpstr>'Reference Tables'!_ftnref5</vt:lpstr>
      <vt:lpstr>Check</vt:lpstr>
      <vt:lpstr>MM_DSS</vt:lpstr>
      <vt:lpstr>MMChange20to21</vt:lpstr>
      <vt:lpstr>TruncSpend_AN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Deepti</dc:creator>
  <cp:keywords/>
  <dc:description/>
  <cp:lastModifiedBy>Christopher Romero-Gutierrez</cp:lastModifiedBy>
  <cp:revision/>
  <dcterms:created xsi:type="dcterms:W3CDTF">2014-03-21T15:16:19Z</dcterms:created>
  <dcterms:modified xsi:type="dcterms:W3CDTF">2025-08-01T18:58:02Z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0x0101006026CC1A160F2C4E953D5C17456E6333</vt:lpwstr>
  </property>
  <property fmtid="{D5CDD505-2E9C-101B-9397-08002B2CF9AE}" pid="3" name="AuthorIds_UIVersion_1024">
    <vt:lpwstr>17</vt:lpwstr>
  </property>
  <property fmtid="{D5CDD505-2E9C-101B-9397-08002B2CF9AE}" pid="4" name="AuthorIds_UIVersion_2048">
    <vt:lpwstr>22</vt:lpwstr>
  </property>
  <property fmtid="{D5CDD505-2E9C-101B-9397-08002B2CF9AE}" pid="5" name="AuthorIds_UIVersion_512">
    <vt:lpwstr>17</vt:lpwstr>
  </property>
  <property fmtid="{D5CDD505-2E9C-101B-9397-08002B2CF9AE}" pid="6" name="MediaServiceImageTags">
    <vt:lpwstr/>
  </property>
</Properties>
</file>