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never" defaultThemeVersion="124226"/>
  <mc:AlternateContent xmlns:mc="http://schemas.openxmlformats.org/markup-compatibility/2006">
    <mc:Choice Requires="x15">
      <x15ac:absPath xmlns:x15ac="http://schemas.microsoft.com/office/spreadsheetml/2010/11/ac" url="https://ctgovexec-my.sharepoint.com/personal/patricia_blodgett_ct_gov/Documents/Benchmarks/2025 Manuals/"/>
    </mc:Choice>
  </mc:AlternateContent>
  <xr:revisionPtr revIDLastSave="1365" documentId="14_{8FC8B10A-E069-4F0C-B453-EF348CBBE250}" xr6:coauthVersionLast="47" xr6:coauthVersionMax="47" xr10:uidLastSave="{EE3BB7A0-1CA0-4627-B8D9-BA4611651A02}"/>
  <workbookProtection workbookAlgorithmName="SHA-512" workbookHashValue="1Po2gxL87kPY/Q6eC9Fn++sHLSdxo4wmuVtylQZ/tx4Xp6tcZ4txLNxvW/3rnCQt/YuO/oaZUjQJ+jy2gY5SDg==" workbookSaltValue="e95op33S4HLPMYhY3KEfgw==" workbookSpinCount="100000" lockStructure="1"/>
  <bookViews>
    <workbookView xWindow="-108" yWindow="-108" windowWidth="23256" windowHeight="12456" tabRatio="926" xr2:uid="{C6523F09-6EEC-437D-9DBA-337F62A88BCD}"/>
  </bookViews>
  <sheets>
    <sheet name="Contents" sheetId="7" r:id="rId1"/>
    <sheet name="Reference Tables" sheetId="5" r:id="rId2"/>
    <sheet name="Definitions" sheetId="12" r:id="rId3"/>
    <sheet name="HD-TME - 2023" sheetId="21" r:id="rId4"/>
    <sheet name="HD-TME - 2024" sheetId="22" r:id="rId5"/>
    <sheet name="TME Record - 2023" sheetId="23" r:id="rId6"/>
    <sheet name="TME Record - 2024" sheetId="24" r:id="rId7"/>
    <sheet name="LOB Enrollment" sheetId="4" r:id="rId8"/>
    <sheet name="Standard Deviation - 2023" sheetId="25" r:id="rId9"/>
    <sheet name="Standard Deviation - 2024" sheetId="26" r:id="rId10"/>
    <sheet name="Age_Sex Factors - 2023" sheetId="28" r:id="rId11"/>
    <sheet name="Age_Sex Factors - 2024" sheetId="29" r:id="rId12"/>
    <sheet name="Mandatory Questions" sheetId="6" r:id="rId13"/>
    <sheet name="Validation by Market" sheetId="14" r:id="rId14"/>
    <sheet name="Data Validation" sheetId="11" r:id="rId15"/>
    <sheet name="Data Validation Backup" sheetId="9" state="hidden" r:id="rId16"/>
  </sheets>
  <definedNames>
    <definedName name="_AMO_UniqueIdentifier" hidden="1">"'b1cc02ed-c984-42fb-b62a-511c8fbc4dd9'"</definedName>
    <definedName name="ChangeinMMs">'Data Validation'!$K$38:$K$41</definedName>
    <definedName name="MMConsistency">'Data Validation'!$B$28:$I$41</definedName>
    <definedName name="SDTruncSpending">'Data Validation'!$B$58:$H$61</definedName>
    <definedName name="TruncSpendAlign">'Data Validation'!$B$44:$O$54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11" l="1"/>
  <c r="F105" i="11" s="1"/>
  <c r="C105" i="11"/>
  <c r="D105" i="11" s="1"/>
  <c r="I38" i="14" l="1"/>
  <c r="I44" i="14" s="1"/>
  <c r="H38" i="14"/>
  <c r="H44" i="14" s="1"/>
  <c r="I37" i="14"/>
  <c r="I43" i="14" s="1"/>
  <c r="H37" i="14"/>
  <c r="H43" i="14" s="1"/>
  <c r="I32" i="14"/>
  <c r="H32" i="14"/>
  <c r="I31" i="14"/>
  <c r="H31" i="14"/>
  <c r="I30" i="14"/>
  <c r="I36" i="14" s="1"/>
  <c r="I42" i="14" s="1"/>
  <c r="H30" i="14"/>
  <c r="H36" i="14" s="1"/>
  <c r="H42" i="14" s="1"/>
  <c r="I29" i="14"/>
  <c r="I35" i="14" s="1"/>
  <c r="I41" i="14" s="1"/>
  <c r="H29" i="14"/>
  <c r="H35" i="14" s="1"/>
  <c r="H41" i="14" s="1"/>
  <c r="I28" i="14"/>
  <c r="I34" i="14" s="1"/>
  <c r="I40" i="14" s="1"/>
  <c r="I46" i="14" s="1"/>
  <c r="H28" i="14"/>
  <c r="H34" i="14" s="1"/>
  <c r="H40" i="14" s="1"/>
  <c r="H46" i="14" s="1"/>
  <c r="I27" i="14"/>
  <c r="I33" i="14" s="1"/>
  <c r="I39" i="14" s="1"/>
  <c r="I45" i="14" s="1"/>
  <c r="H27" i="14"/>
  <c r="H33" i="14" s="1"/>
  <c r="H39" i="14" s="1"/>
  <c r="H45" i="14" s="1"/>
  <c r="I26" i="14"/>
  <c r="H26" i="14"/>
  <c r="D32" i="14"/>
  <c r="D38" i="14" s="1"/>
  <c r="D44" i="14" s="1"/>
  <c r="D31" i="14"/>
  <c r="D37" i="14" s="1"/>
  <c r="D43" i="14" s="1"/>
  <c r="D30" i="14"/>
  <c r="D36" i="14" s="1"/>
  <c r="D42" i="14" s="1"/>
  <c r="D29" i="14"/>
  <c r="D35" i="14" s="1"/>
  <c r="D41" i="14" s="1"/>
  <c r="D28" i="14"/>
  <c r="D34" i="14" s="1"/>
  <c r="D40" i="14" s="1"/>
  <c r="D46" i="14" s="1"/>
  <c r="D27" i="14"/>
  <c r="D33" i="14" s="1"/>
  <c r="D39" i="14" s="1"/>
  <c r="D45" i="14" s="1"/>
  <c r="D26" i="14"/>
  <c r="C43" i="14"/>
  <c r="C42" i="14"/>
  <c r="C41" i="14"/>
  <c r="C40" i="14"/>
  <c r="C46" i="14" s="1"/>
  <c r="C39" i="14"/>
  <c r="C45" i="14" s="1"/>
  <c r="C38" i="14"/>
  <c r="C44" i="14" s="1"/>
  <c r="D33" i="11"/>
  <c r="D32" i="11"/>
  <c r="D31" i="11"/>
  <c r="D25" i="11"/>
  <c r="C13" i="11"/>
  <c r="C12" i="11"/>
  <c r="D3" i="26"/>
  <c r="J14" i="28" l="1"/>
  <c r="J20" i="29"/>
  <c r="J11" i="29"/>
  <c r="J14" i="29"/>
  <c r="E104" i="11"/>
  <c r="F104" i="11" s="1"/>
  <c r="C104" i="11"/>
  <c r="D104" i="11" s="1"/>
  <c r="AB12" i="24"/>
  <c r="AB11" i="24"/>
  <c r="AB12" i="23"/>
  <c r="AB11" i="23"/>
  <c r="W11" i="24"/>
  <c r="W12" i="24"/>
  <c r="U11" i="24"/>
  <c r="AC11" i="24" s="1"/>
  <c r="U12" i="24"/>
  <c r="AC12" i="24" s="1"/>
  <c r="W11" i="23"/>
  <c r="W12" i="23"/>
  <c r="U11" i="23"/>
  <c r="V11" i="23" s="1"/>
  <c r="U12" i="23"/>
  <c r="V12" i="23" s="1"/>
  <c r="Y12" i="23" s="1"/>
  <c r="AA12" i="23" s="1"/>
  <c r="F60" i="11"/>
  <c r="C61" i="11"/>
  <c r="D61" i="11"/>
  <c r="J42" i="29"/>
  <c r="J41" i="29"/>
  <c r="J40" i="29"/>
  <c r="J39" i="29"/>
  <c r="J42" i="28"/>
  <c r="J41" i="28"/>
  <c r="J40" i="28"/>
  <c r="J11" i="28"/>
  <c r="J12" i="28"/>
  <c r="J13"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12" i="29"/>
  <c r="J13" i="29"/>
  <c r="J15" i="29"/>
  <c r="J16" i="29"/>
  <c r="J17" i="29"/>
  <c r="J18" i="29"/>
  <c r="J19" i="29"/>
  <c r="J21" i="29"/>
  <c r="J22" i="29"/>
  <c r="J23" i="29"/>
  <c r="J24" i="29"/>
  <c r="J25" i="29"/>
  <c r="J26" i="29"/>
  <c r="J27" i="29"/>
  <c r="J28" i="29"/>
  <c r="J29" i="29"/>
  <c r="J30" i="29"/>
  <c r="J31" i="29"/>
  <c r="J32" i="29"/>
  <c r="J33" i="29"/>
  <c r="J34" i="29"/>
  <c r="J35" i="29"/>
  <c r="J36" i="29"/>
  <c r="J37" i="29"/>
  <c r="J38" i="29"/>
  <c r="G61" i="11"/>
  <c r="G60" i="11"/>
  <c r="F61" i="11"/>
  <c r="D60" i="11"/>
  <c r="C60" i="11"/>
  <c r="V11" i="24" l="1"/>
  <c r="Y11" i="24" s="1"/>
  <c r="AA11" i="24" s="1"/>
  <c r="X11" i="24"/>
  <c r="Z11" i="24" s="1"/>
  <c r="AC11" i="23"/>
  <c r="X12" i="24"/>
  <c r="Z12" i="24" s="1"/>
  <c r="AC12" i="23"/>
  <c r="V12" i="24"/>
  <c r="Y12" i="24" s="1"/>
  <c r="AA12" i="24" s="1"/>
  <c r="Y11" i="23"/>
  <c r="AA11" i="23" s="1"/>
  <c r="X12" i="23"/>
  <c r="Z12" i="23" s="1"/>
  <c r="X11" i="23"/>
  <c r="Z11" i="23" s="1"/>
  <c r="E61" i="11"/>
  <c r="E60" i="11"/>
  <c r="H60" i="11"/>
  <c r="H61" i="11"/>
  <c r="C6" i="11" l="1"/>
  <c r="D3" i="25" s="1"/>
  <c r="D6" i="11"/>
  <c r="H41" i="11"/>
  <c r="H40" i="11"/>
  <c r="H39" i="11"/>
  <c r="H33" i="11"/>
  <c r="H32" i="11"/>
  <c r="H31" i="11"/>
  <c r="F24" i="11"/>
  <c r="F23" i="11"/>
  <c r="F22" i="11"/>
  <c r="F21" i="11"/>
  <c r="F20" i="11"/>
  <c r="F19" i="11"/>
  <c r="D24" i="11"/>
  <c r="D23" i="11"/>
  <c r="D22" i="11"/>
  <c r="D21" i="11"/>
  <c r="D20" i="11"/>
  <c r="D19" i="11"/>
  <c r="O54" i="11" l="1"/>
  <c r="N54" i="11"/>
  <c r="O53" i="11"/>
  <c r="N53" i="11"/>
  <c r="G54" i="11"/>
  <c r="F54" i="11"/>
  <c r="L54" i="11" s="1"/>
  <c r="E54" i="11"/>
  <c r="J54" i="11" s="1"/>
  <c r="D54" i="11"/>
  <c r="I54" i="11" s="1"/>
  <c r="C54" i="11"/>
  <c r="H54" i="11" s="1"/>
  <c r="G53" i="11"/>
  <c r="F53" i="11"/>
  <c r="K53" i="11" s="1"/>
  <c r="E53" i="11"/>
  <c r="J53" i="11" s="1"/>
  <c r="D53" i="11"/>
  <c r="I53" i="11" s="1"/>
  <c r="C53" i="11"/>
  <c r="H53" i="11" s="1"/>
  <c r="O48" i="11"/>
  <c r="N48" i="11"/>
  <c r="O47" i="11"/>
  <c r="N47" i="11"/>
  <c r="C48" i="11"/>
  <c r="H48" i="11" s="1"/>
  <c r="C47" i="11"/>
  <c r="H47" i="11" s="1"/>
  <c r="E48" i="11"/>
  <c r="E47" i="11"/>
  <c r="G48" i="11"/>
  <c r="G47" i="11"/>
  <c r="F48" i="11"/>
  <c r="L48" i="11" s="1"/>
  <c r="F47" i="11"/>
  <c r="L47" i="11" s="1"/>
  <c r="D48" i="11"/>
  <c r="I48" i="11" s="1"/>
  <c r="D47" i="11"/>
  <c r="I47" i="11" s="1"/>
  <c r="F41" i="11"/>
  <c r="F40" i="11"/>
  <c r="C41" i="11"/>
  <c r="C40" i="11"/>
  <c r="F33" i="11"/>
  <c r="F32" i="11"/>
  <c r="C33" i="11"/>
  <c r="C32" i="11"/>
  <c r="D40" i="11"/>
  <c r="D39" i="11"/>
  <c r="D41" i="11"/>
  <c r="H73" i="11" l="1"/>
  <c r="I40" i="11"/>
  <c r="M74" i="11"/>
  <c r="I41" i="11"/>
  <c r="L67" i="11"/>
  <c r="I33" i="11"/>
  <c r="C66" i="11"/>
  <c r="I32" i="11"/>
  <c r="K40" i="11"/>
  <c r="K41" i="11"/>
  <c r="C73" i="11"/>
  <c r="I73" i="11"/>
  <c r="K73" i="11"/>
  <c r="F74" i="11"/>
  <c r="H74" i="11"/>
  <c r="E66" i="11"/>
  <c r="I66" i="11"/>
  <c r="M66" i="11"/>
  <c r="E67" i="11"/>
  <c r="I67" i="11"/>
  <c r="M67" i="11"/>
  <c r="J73" i="11"/>
  <c r="G74" i="11"/>
  <c r="F66" i="11"/>
  <c r="F67" i="11"/>
  <c r="J67" i="11"/>
  <c r="D73" i="11"/>
  <c r="L73" i="11"/>
  <c r="I74" i="11"/>
  <c r="G66" i="11"/>
  <c r="K66" i="11"/>
  <c r="E73" i="11"/>
  <c r="M73" i="11"/>
  <c r="J74" i="11"/>
  <c r="J66" i="11"/>
  <c r="C67" i="11"/>
  <c r="G67" i="11"/>
  <c r="K67" i="11"/>
  <c r="F73" i="11"/>
  <c r="C74" i="11"/>
  <c r="K74" i="11"/>
  <c r="D66" i="11"/>
  <c r="H66" i="11"/>
  <c r="L66" i="11"/>
  <c r="G73" i="11"/>
  <c r="D74" i="11"/>
  <c r="L74" i="11"/>
  <c r="D67" i="11"/>
  <c r="H67" i="11"/>
  <c r="E74" i="11"/>
  <c r="M47" i="11"/>
  <c r="M48" i="11"/>
  <c r="L53" i="11"/>
  <c r="K54" i="11"/>
  <c r="M54" i="11"/>
  <c r="M53" i="11"/>
  <c r="J47" i="11"/>
  <c r="J48" i="11"/>
  <c r="K47" i="11"/>
  <c r="K48" i="11"/>
  <c r="E41" i="11"/>
  <c r="G41" i="11"/>
  <c r="C39" i="11"/>
  <c r="I39" i="11" s="1"/>
  <c r="E40" i="11"/>
  <c r="G40" i="11"/>
  <c r="G33" i="11"/>
  <c r="G32" i="11"/>
  <c r="F39" i="11"/>
  <c r="F31" i="11"/>
  <c r="C31" i="11"/>
  <c r="I31" i="11" s="1"/>
  <c r="D5" i="11" l="1"/>
  <c r="I3" i="24" s="1"/>
  <c r="C5" i="11"/>
  <c r="J3" i="23" s="1"/>
  <c r="E39" i="11"/>
  <c r="K39" i="11"/>
  <c r="D8" i="11" s="1"/>
  <c r="G39" i="11"/>
  <c r="G31" i="11"/>
  <c r="D4" i="11" l="1"/>
  <c r="F3" i="24" s="1"/>
  <c r="F25" i="11" s="1"/>
  <c r="E81" i="11"/>
  <c r="F81" i="11" s="1"/>
  <c r="E82" i="11"/>
  <c r="F82" i="11" s="1"/>
  <c r="E83" i="11"/>
  <c r="F83" i="11" s="1"/>
  <c r="E84" i="11"/>
  <c r="F84" i="11" s="1"/>
  <c r="E85" i="11"/>
  <c r="F85" i="11" s="1"/>
  <c r="E86" i="11"/>
  <c r="F86" i="11" s="1"/>
  <c r="E87" i="11"/>
  <c r="F87" i="11" s="1"/>
  <c r="E88" i="11"/>
  <c r="F88" i="11" s="1"/>
  <c r="E89" i="11"/>
  <c r="F89" i="11" s="1"/>
  <c r="E90" i="11"/>
  <c r="F90" i="11" s="1"/>
  <c r="E91" i="11"/>
  <c r="F91" i="11" s="1"/>
  <c r="E92" i="11"/>
  <c r="F92" i="11" s="1"/>
  <c r="E93" i="11"/>
  <c r="F93" i="11" s="1"/>
  <c r="E94" i="11"/>
  <c r="F94" i="11" s="1"/>
  <c r="E95" i="11"/>
  <c r="F95" i="11" s="1"/>
  <c r="E96" i="11"/>
  <c r="F96" i="11" s="1"/>
  <c r="E97" i="11"/>
  <c r="F97" i="11" s="1"/>
  <c r="E98" i="11"/>
  <c r="F98" i="11" s="1"/>
  <c r="E99" i="11"/>
  <c r="F99" i="11" s="1"/>
  <c r="E100" i="11"/>
  <c r="F100" i="11" s="1"/>
  <c r="E101" i="11"/>
  <c r="F101" i="11" s="1"/>
  <c r="E102" i="11"/>
  <c r="F102" i="11" s="1"/>
  <c r="E103" i="11"/>
  <c r="F103" i="11" s="1"/>
  <c r="E106" i="11"/>
  <c r="F106" i="11" s="1"/>
  <c r="C81" i="11"/>
  <c r="D81" i="11" s="1"/>
  <c r="C82" i="11"/>
  <c r="D82" i="11" s="1"/>
  <c r="C83" i="11"/>
  <c r="D83" i="11" s="1"/>
  <c r="C84" i="11"/>
  <c r="D84" i="11" s="1"/>
  <c r="C85" i="11"/>
  <c r="D85" i="11" s="1"/>
  <c r="C86" i="11"/>
  <c r="D86" i="11" s="1"/>
  <c r="C87" i="11"/>
  <c r="D87" i="11" s="1"/>
  <c r="C88" i="11"/>
  <c r="D88" i="11" s="1"/>
  <c r="C89" i="11"/>
  <c r="D89" i="11" s="1"/>
  <c r="C90" i="11"/>
  <c r="D90" i="11" s="1"/>
  <c r="C91" i="11"/>
  <c r="D91" i="11" s="1"/>
  <c r="C92" i="11"/>
  <c r="D92" i="11" s="1"/>
  <c r="C93" i="11"/>
  <c r="D93" i="11" s="1"/>
  <c r="C94" i="11"/>
  <c r="D94" i="11" s="1"/>
  <c r="C95" i="11"/>
  <c r="D95" i="11" s="1"/>
  <c r="C96" i="11"/>
  <c r="D96" i="11" s="1"/>
  <c r="C97" i="11"/>
  <c r="D97" i="11" s="1"/>
  <c r="C98" i="11"/>
  <c r="D98" i="11" s="1"/>
  <c r="C99" i="11"/>
  <c r="D99" i="11" s="1"/>
  <c r="C100" i="11"/>
  <c r="D100" i="11" s="1"/>
  <c r="C101" i="11"/>
  <c r="D101" i="11" s="1"/>
  <c r="C102" i="11"/>
  <c r="D102" i="11" s="1"/>
  <c r="C103" i="11"/>
  <c r="D103" i="11" s="1"/>
  <c r="C106" i="11"/>
  <c r="D106" i="11" s="1"/>
  <c r="E25" i="11"/>
  <c r="E24" i="11"/>
  <c r="E23" i="11"/>
  <c r="E22" i="11"/>
  <c r="E21" i="11"/>
  <c r="E20" i="11"/>
  <c r="E19" i="11"/>
  <c r="C25" i="11"/>
  <c r="C24" i="11"/>
  <c r="C23" i="11"/>
  <c r="C22" i="11"/>
  <c r="C21" i="11"/>
  <c r="C20" i="11"/>
  <c r="C19" i="11"/>
  <c r="D13" i="11"/>
  <c r="D12" i="11"/>
  <c r="D8" i="14"/>
  <c r="D7" i="14"/>
  <c r="C8" i="14"/>
  <c r="C7" i="14"/>
  <c r="D13" i="14"/>
  <c r="C26" i="14"/>
  <c r="C13" i="14"/>
  <c r="H13" i="14" l="1"/>
  <c r="C32" i="14"/>
  <c r="C31" i="14"/>
  <c r="C37" i="14" s="1"/>
  <c r="C30" i="14"/>
  <c r="C36" i="14" s="1"/>
  <c r="C29" i="14"/>
  <c r="C35" i="14" s="1"/>
  <c r="C28" i="14"/>
  <c r="C34" i="14" s="1"/>
  <c r="C27" i="14"/>
  <c r="E26" i="14"/>
  <c r="J26" i="14"/>
  <c r="I13" i="14"/>
  <c r="J13" i="14" s="1"/>
  <c r="E13" i="14"/>
  <c r="E7" i="14"/>
  <c r="E8" i="14"/>
  <c r="G20" i="11"/>
  <c r="D14" i="14"/>
  <c r="C14" i="14"/>
  <c r="C9" i="14"/>
  <c r="G24" i="11"/>
  <c r="G22" i="11"/>
  <c r="G23" i="11"/>
  <c r="G19" i="11"/>
  <c r="G21" i="11"/>
  <c r="D9" i="14"/>
  <c r="E9" i="14" s="1"/>
  <c r="E32" i="11"/>
  <c r="E31" i="11"/>
  <c r="J34" i="14"/>
  <c r="J29" i="14"/>
  <c r="J42" i="14"/>
  <c r="J30" i="14"/>
  <c r="J38" i="14"/>
  <c r="J45" i="14"/>
  <c r="J33" i="14"/>
  <c r="J31" i="14"/>
  <c r="J39" i="14"/>
  <c r="E34" i="14"/>
  <c r="E42" i="14"/>
  <c r="E28" i="14"/>
  <c r="E43" i="14"/>
  <c r="E32" i="14"/>
  <c r="E29" i="14"/>
  <c r="E38" i="14"/>
  <c r="E31" i="14"/>
  <c r="J43" i="14" l="1"/>
  <c r="E41" i="14"/>
  <c r="J35" i="14"/>
  <c r="E35" i="14"/>
  <c r="E40" i="14"/>
  <c r="J32" i="14"/>
  <c r="J46" i="14"/>
  <c r="E46" i="14"/>
  <c r="E27" i="14"/>
  <c r="C33" i="14"/>
  <c r="E39" i="14" s="1"/>
  <c r="E45" i="14"/>
  <c r="J36" i="14"/>
  <c r="J27" i="14"/>
  <c r="E36" i="14"/>
  <c r="E30" i="14"/>
  <c r="J28" i="14"/>
  <c r="J40" i="14"/>
  <c r="E33" i="14"/>
  <c r="C15" i="14"/>
  <c r="H15" i="14" s="1"/>
  <c r="H14" i="14"/>
  <c r="E44" i="14"/>
  <c r="J41" i="14"/>
  <c r="J44" i="14"/>
  <c r="I14" i="14"/>
  <c r="E14" i="14"/>
  <c r="D15" i="14"/>
  <c r="E33" i="11"/>
  <c r="C4" i="11" s="1"/>
  <c r="J14" i="14" l="1"/>
  <c r="E15" i="14"/>
  <c r="I15" i="14"/>
  <c r="J15" i="14" s="1"/>
  <c r="G3" i="23"/>
  <c r="G25" i="11" s="1"/>
  <c r="E37" i="14"/>
  <c r="D20" i="14"/>
  <c r="J37" i="14"/>
  <c r="I20" i="14" l="1"/>
  <c r="D19" i="14"/>
  <c r="C19" i="14"/>
  <c r="H19" i="14" s="1"/>
  <c r="C20" i="14"/>
  <c r="H20" i="14" s="1"/>
  <c r="I19" i="14" l="1"/>
  <c r="J19" i="14" s="1"/>
  <c r="E19" i="14"/>
  <c r="E20" i="14"/>
  <c r="J20" i="14"/>
  <c r="D21" i="14"/>
  <c r="C21" i="14"/>
  <c r="H21" i="14" s="1"/>
  <c r="I21" i="14" l="1"/>
  <c r="J21" i="14" s="1"/>
  <c r="E21" i="14"/>
</calcChain>
</file>

<file path=xl/sharedStrings.xml><?xml version="1.0" encoding="utf-8"?>
<sst xmlns="http://schemas.openxmlformats.org/spreadsheetml/2006/main" count="785" uniqueCount="341">
  <si>
    <t>This workbook contains the following tabs:</t>
  </si>
  <si>
    <t>Tab Name</t>
  </si>
  <si>
    <t>Required Data Entry?</t>
  </si>
  <si>
    <t>Tab Purpose</t>
  </si>
  <si>
    <t>Reference Tables</t>
  </si>
  <si>
    <t>No</t>
  </si>
  <si>
    <t>Definitions</t>
  </si>
  <si>
    <t>Yes</t>
  </si>
  <si>
    <t>Mandatory Questions</t>
  </si>
  <si>
    <t>OSC must answer questions on its data submission to ensure the submission is in alignment with the specifications outlined in the Implementation Manual.</t>
  </si>
  <si>
    <t>Validation by Market</t>
  </si>
  <si>
    <t>Data Validation</t>
  </si>
  <si>
    <t>Insurer TME Data Specifications
Reference Tables</t>
  </si>
  <si>
    <t>Insurers' TME Filing Schedule Date</t>
  </si>
  <si>
    <t>Files Due</t>
  </si>
  <si>
    <t>CY 2018 and CY 2019 TME</t>
  </si>
  <si>
    <t>CY 2019, CY 2020 and CY 2021 TME</t>
  </si>
  <si>
    <t>CY 2021 and CY 2022 TME</t>
  </si>
  <si>
    <t>CY 2022 and CY 2023 TME</t>
  </si>
  <si>
    <t>CY 2023 and CY 2024 TME</t>
  </si>
  <si>
    <t>CY 2024 and CY 2025 TME</t>
  </si>
  <si>
    <t>OSC Org ID</t>
  </si>
  <si>
    <t>Payer</t>
  </si>
  <si>
    <t>Connecticut Office of the State Comptroller (OSC)</t>
  </si>
  <si>
    <t>Insurance Category Code</t>
  </si>
  <si>
    <t>Definition</t>
  </si>
  <si>
    <t>Medicare Managed Care (excluding Medicare/Medicaid Dual Eligibles)</t>
  </si>
  <si>
    <t>Commercial - Full Claims</t>
  </si>
  <si>
    <t>Line of Business Category Code</t>
  </si>
  <si>
    <t>Self-insured</t>
  </si>
  <si>
    <t>Medicare Managed Care</t>
  </si>
  <si>
    <t>Market Code</t>
  </si>
  <si>
    <t>Medicare (Insurance Category Codes 1 and 5)</t>
  </si>
  <si>
    <t>Medicaid (Insurance Category Codes 2 and 6)</t>
  </si>
  <si>
    <t>Commercial (Insurance Category Codes 3 and 4)</t>
  </si>
  <si>
    <t>Age Band Code</t>
  </si>
  <si>
    <t>0 to 1 year old</t>
  </si>
  <si>
    <t>2 to 18 years old</t>
  </si>
  <si>
    <t>19 to 39 years old</t>
  </si>
  <si>
    <t>40 to 54 years old</t>
  </si>
  <si>
    <t>55 to 64 years old</t>
  </si>
  <si>
    <t>65 to 74 years old</t>
  </si>
  <si>
    <t>75 to 84 years old</t>
  </si>
  <si>
    <t>85 + years old</t>
  </si>
  <si>
    <t>Sex Code</t>
  </si>
  <si>
    <t>Female</t>
  </si>
  <si>
    <t>Male</t>
  </si>
  <si>
    <t>Service Category Definitions</t>
  </si>
  <si>
    <t>Large Provider Entity Tab</t>
  </si>
  <si>
    <t>Term</t>
  </si>
  <si>
    <t>Advanced Network/Carrier Overall ID</t>
  </si>
  <si>
    <t>Member Months (annual)</t>
  </si>
  <si>
    <t>Claims: Hospital Inpatient</t>
  </si>
  <si>
    <t>Claims: Hospital Outpatient</t>
  </si>
  <si>
    <t>The TME paid to hospitals for outpatient services generated from claims. Includes all hospital types and includes payments made for hospital-licensed satellite clinics. Includes emergency room services not resulting in admittance. Includes observation services. Does not include payments made for physician services provided on an outpatient basis that have been billed directly by a physician group practice or an individual physician.</t>
  </si>
  <si>
    <t>Claims: Professional, Primary Care</t>
  </si>
  <si>
    <t>Claims: Professional, Primary Care (for Monitoring Purposes)</t>
  </si>
  <si>
    <t>Claims: Professional, Specialty</t>
  </si>
  <si>
    <t>Claims: Professional Other</t>
  </si>
  <si>
    <t>Claims: Pharmacy</t>
  </si>
  <si>
    <t>Claims: Long-Term Care</t>
  </si>
  <si>
    <t>Claims: Other</t>
  </si>
  <si>
    <t>Non-Claims: Payments to Support Population Health and Practice Infrastructure</t>
  </si>
  <si>
    <t>Non-Claims: Other</t>
  </si>
  <si>
    <t>Non-Claims: Total Primary Care Non-Claims-Based Payments</t>
  </si>
  <si>
    <t>Total Claims Excluded because of Truncation</t>
  </si>
  <si>
    <t>Count of Members with Claims Truncated</t>
  </si>
  <si>
    <t>RX Rebates Tab</t>
  </si>
  <si>
    <t>Retail Pharmacy Rebates</t>
  </si>
  <si>
    <t>Medcal Pharmacy Rebates</t>
  </si>
  <si>
    <t>Line of Business Enrollment Tab</t>
  </si>
  <si>
    <t>Income from Fees of Uninsured Plans</t>
  </si>
  <si>
    <t>Standard Deviation Tab</t>
  </si>
  <si>
    <t>Total Truncated Spending</t>
  </si>
  <si>
    <t>Standard Deviation of Claims Expenditures</t>
  </si>
  <si>
    <t xml:space="preserve">The calculated standard deviation for all members for the applicable market and Advanced Network, reported as a PMPM value. Insurance carriers should include all members attributed to an Advanced Network, including members with no utilization. Standard deviation should be based on per-member-per-month (PMPM) spending. Insurance carriers should calculate the standard deviation PMPM after partial claims adjustments. Non-claims expenditures should be excluded from the calculation. 
</t>
  </si>
  <si>
    <t>Age/Sex Factors Tab</t>
  </si>
  <si>
    <t>Sex Band Code</t>
  </si>
  <si>
    <t>Total Member Months by Age/Sex Band</t>
  </si>
  <si>
    <t>Total Spending before Truncatio is Applied</t>
  </si>
  <si>
    <t>Count of Members whose Spending was Truncated</t>
  </si>
  <si>
    <t>Total Spending After Applying Truncation at the Member Level</t>
  </si>
  <si>
    <t>Total Spending Excluded from Spending After Applying Truncation at the Member Level</t>
  </si>
  <si>
    <t>The sum of all dollars that were removed from total spending after applying truncation at the member level.</t>
  </si>
  <si>
    <t>Connecticut</t>
  </si>
  <si>
    <t>Black = Payer-reported data </t>
  </si>
  <si>
    <t>HD001</t>
  </si>
  <si>
    <t>HD002</t>
  </si>
  <si>
    <t>HD003</t>
  </si>
  <si>
    <t>HD004</t>
  </si>
  <si>
    <t>Period Beginning Date</t>
  </si>
  <si>
    <t>Period Ending Date</t>
  </si>
  <si>
    <t>OSC Comments</t>
  </si>
  <si>
    <t>Check for Member months</t>
  </si>
  <si>
    <t>Check for Truncated and Non-Truncated Spending</t>
  </si>
  <si>
    <t>Blue = OHS-calculated data</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</si>
  <si>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</si>
  <si>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</si>
  <si>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</si>
  <si>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</si>
  <si>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</si>
  <si>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</si>
  <si>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</si>
  <si>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</si>
  <si>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</si>
  <si>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</si>
  <si>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</si>
  <si>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</si>
  <si>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</si>
  <si>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</si>
  <si>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</si>
  <si>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</si>
  <si>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</si>
  <si>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</si>
  <si>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</si>
  <si>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</si>
  <si>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</si>
  <si>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</si>
  <si>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</si>
  <si>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</si>
  <si>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</si>
  <si>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</si>
  <si>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</si>
  <si>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Member Months</t>
  </si>
  <si>
    <t>TOTAL Non-Truncated Unadjusted Claims Expenses</t>
  </si>
  <si>
    <t>TOTAL Truncated Unadjusted Claims Expenses (A21 -A19)</t>
  </si>
  <si>
    <t>TOTAL Non-Claims Expenses</t>
  </si>
  <si>
    <t>TOTAL Non-Truncated Unadjusted Expenses (A21 + A23)</t>
  </si>
  <si>
    <t>Non-Truncated Unadjusted TME (PMPM) (A24 / A1)</t>
  </si>
  <si>
    <t>Truncated Unadjusted TME (PMPM) (A25 / A1)</t>
  </si>
  <si>
    <t>Average Truncated Claims Per Member</t>
  </si>
  <si>
    <t>Total Claims Excluded (A19)/Total Non-Truncated Claims Expenses (A21)</t>
  </si>
  <si>
    <t>Check for alignment of truncated spending by market</t>
  </si>
  <si>
    <t>Commercial</t>
  </si>
  <si>
    <t>Other</t>
  </si>
  <si>
    <t>Market ID</t>
  </si>
  <si>
    <t>Standard Deviation PMPM</t>
  </si>
  <si>
    <t>Total Spending before Truncation is Applied</t>
  </si>
  <si>
    <t>Total Dollars Excluded from Spending After Applying Truncation at the Member Level</t>
  </si>
  <si>
    <t>Truncated Spending + Dollars Excluded = Total Spending before Truncation is Applied?</t>
  </si>
  <si>
    <t>Connecticut Insurer TME Data Specifications
Mandatory Questions</t>
  </si>
  <si>
    <t>I verify that the information in this workbook is accurate.</t>
  </si>
  <si>
    <t>Contact Name:</t>
  </si>
  <si>
    <t>[Input Required]</t>
  </si>
  <si>
    <t>Contact Email:</t>
  </si>
  <si>
    <t>All questions in this tab must be answered.</t>
  </si>
  <si>
    <t>Questions</t>
  </si>
  <si>
    <t>Comments</t>
  </si>
  <si>
    <t>Does the TME data include Connecticut residents only?</t>
  </si>
  <si>
    <t>Do the data represent members who receive, at a minimum, medical benefits?</t>
  </si>
  <si>
    <t>Are the data limited only to members for whom the insurer is primary on the claim?</t>
  </si>
  <si>
    <t>Are members attributed to Advanced Networks consistent with each contract?</t>
  </si>
  <si>
    <t>Do the TME data include allowed amounts?</t>
  </si>
  <si>
    <t>Does the TME include services provided by providers, regardless of location of provider?</t>
  </si>
  <si>
    <t>Does the TME include services provided by providers, regardless of the situs of the member's plan?</t>
  </si>
  <si>
    <t>Do the TME data include all data for all attributed members for each month a member was attributed?</t>
  </si>
  <si>
    <t>Are TME data submitted based on the incurred date/date of service?</t>
  </si>
  <si>
    <t xml:space="preserve">How long was the claims runout period for claims payments (e.g., "at least 120 days")? </t>
  </si>
  <si>
    <t xml:space="preserve">How long was the runout period for non-claims payments (e.g., "at least 180 days")? </t>
  </si>
  <si>
    <t>Are IBNR/IBNP factors applied to the TME data?</t>
  </si>
  <si>
    <t xml:space="preserve">If reporting ICC 4, was the spending adjusted prior to truncation? </t>
  </si>
  <si>
    <t>Is the standard deviation calculated using the formula for population standard deviation?</t>
  </si>
  <si>
    <t>In calculating standard deviation, is spending included for every month the member was attributed, regardless of whether the member has paid claims?</t>
  </si>
  <si>
    <t>Does the standard deviation data exclude non-claims spending?</t>
  </si>
  <si>
    <t>Is standard deviation calculated by market, which combines certain Insurance Category codes?</t>
  </si>
  <si>
    <t>Did you review the "Validation by Market," "Validation by Provider", and "Data Validation" tabs to ensure the consistency and accuracy of the data being submitted?</t>
  </si>
  <si>
    <t>Is there anything else you would like us to know about the data you submitted?</t>
  </si>
  <si>
    <t>Table 1: Member Months by Market</t>
  </si>
  <si>
    <t>Market</t>
  </si>
  <si>
    <t>Total</t>
  </si>
  <si>
    <t>Table 2: Total Medical Expense (TME) Trends by Market, Net of Rebates (Non-Truncated, Unadjusted)</t>
  </si>
  <si>
    <t>Table 3: Per Member Per Month (PMPM) TME Trends by Market, Net of Rebates (Non-Truncated, Unadjusted)</t>
  </si>
  <si>
    <t>Total (Non-Truncated, Unadjusted)</t>
  </si>
  <si>
    <t>Table 4: Total Medical Expense (TME) Trends by Market, Net of Rebates (Truncated, Unadjusted)</t>
  </si>
  <si>
    <t>Table 5: Per Member Per Month (PMPM) TME Trends by Market, Net of Rebates (Truncated, Unadjusted)</t>
  </si>
  <si>
    <t>Total (Truncated, Net of Rebates)</t>
  </si>
  <si>
    <t>Total (Truncated, Unadjusted)</t>
  </si>
  <si>
    <t>Table 6: Commercial - Full Claims (ICC 3) TME Trends PMPM</t>
  </si>
  <si>
    <t>Table 7: Medicare Managed Care (ICC 1) TME Trends PMPM</t>
  </si>
  <si>
    <t>Note: Individual service category PMPMs are not risk adjusted.</t>
  </si>
  <si>
    <t>Service Category</t>
  </si>
  <si>
    <t>Claims: Pharmacy (Net of Rebates)</t>
  </si>
  <si>
    <t>Total Claims Spending</t>
  </si>
  <si>
    <t>Total Risk-adjusted Claims Spending</t>
  </si>
  <si>
    <t>Total Non-claims Spending</t>
  </si>
  <si>
    <t>Total Unadjusted Spending, Net of Rebates</t>
  </si>
  <si>
    <t>Total Truncated Spending, Net of Rebates</t>
  </si>
  <si>
    <t>Insurer</t>
  </si>
  <si>
    <t>Alignment of member months across the TME Record, Age/Sex, Line of Business, and Standard Deviation Tabs</t>
  </si>
  <si>
    <t>Alignment of truncated and non-truncated spending Across the TME Record and Age/Sex tabs</t>
  </si>
  <si>
    <t>Alignment of Truncated Spending by Market between TME Record and Standard Deviation tabs</t>
  </si>
  <si>
    <t>Reporting Period</t>
  </si>
  <si>
    <t>Reported Dates</t>
  </si>
  <si>
    <t>Expected Insurance Category Codes for OSC</t>
  </si>
  <si>
    <t>Red highlighting indicates that there is no data where we would expected reported values.</t>
  </si>
  <si>
    <t>Red highlighting indicates member months do not match across tabs.</t>
  </si>
  <si>
    <t>TME Record</t>
  </si>
  <si>
    <t>Line of Business</t>
  </si>
  <si>
    <t>Consistent? If not, what is the variation between the two tabs?</t>
  </si>
  <si>
    <t>Age/Sex</t>
  </si>
  <si>
    <t>Consistent (TME Record and Age/Sex)? If not, what is the variation between the two tabs?</t>
  </si>
  <si>
    <t>Standard Deviation</t>
  </si>
  <si>
    <t>Consistent (Standard Deviation and TME Record?) If not, what is the variation between the two tabs?</t>
  </si>
  <si>
    <t>Category</t>
  </si>
  <si>
    <t>Consistent? (Advanced Network and Age/Sex)</t>
  </si>
  <si>
    <t>Count of members whose spending was truncated</t>
  </si>
  <si>
    <t>Total Dollars excluded?</t>
  </si>
  <si>
    <t>Count of members whose spending was truncated?</t>
  </si>
  <si>
    <t>Total Spending before Truncation is Applied?</t>
  </si>
  <si>
    <t>Total Spending After Applying Truncation at the Member Level?</t>
  </si>
  <si>
    <t>Total Members greater than Count of Members with Claims Truncated?
If not, what is the variation?</t>
  </si>
  <si>
    <t>TME Tab: Spending before Truncation greater than (or equal to) Spending after Truncation?</t>
  </si>
  <si>
    <t>TME Tab: 
Truncated Spending + Amount of Claims Truncated = Total Spending before Truncation?</t>
  </si>
  <si>
    <t>Consistency of Truncated Spending by TME Record and Standard Deviation Tabs</t>
  </si>
  <si>
    <t>Red highlighting indicates the reported PMPM is less than &lt;$10, potentially indicating an error.</t>
  </si>
  <si>
    <t xml:space="preserve"> Non-Truncated Unadjusted Expenses</t>
  </si>
  <si>
    <t>Total Non-Claims</t>
  </si>
  <si>
    <t>Responses to Mandatory Questions</t>
  </si>
  <si>
    <t>Red highlighting indicates a response that deviates from the answer we would expect to receive.</t>
  </si>
  <si>
    <t>Question</t>
  </si>
  <si>
    <t>Expected?</t>
  </si>
  <si>
    <t xml:space="preserve">How long was the claims runout period for claims payments (e.g., "at least 180 days")? </t>
  </si>
  <si>
    <t>Expected Insurance Category Codes</t>
  </si>
  <si>
    <t>Medicaid Managed Care</t>
  </si>
  <si>
    <t>Commercial Full Claims</t>
  </si>
  <si>
    <t>Commercial Partial Claims</t>
  </si>
  <si>
    <t>Medicare Exp. Duals</t>
  </si>
  <si>
    <t>Medicaid Exp. Duals</t>
  </si>
  <si>
    <t>Aetna Health &amp; Life</t>
  </si>
  <si>
    <t>X</t>
  </si>
  <si>
    <t>Anthem</t>
  </si>
  <si>
    <t>Cigna</t>
  </si>
  <si>
    <t>ConnectiCare</t>
  </si>
  <si>
    <t>UnitedHealthcare</t>
  </si>
  <si>
    <t>Wellcare</t>
  </si>
  <si>
    <t>Medicare Managed Care Enrollment by State/County/Contract 
X 12</t>
  </si>
  <si>
    <t>Expected Answer</t>
  </si>
  <si>
    <t>At least 180 days</t>
  </si>
  <si>
    <t>Header Record Template - 2023</t>
  </si>
  <si>
    <t>Total Medical Expenses Calculation Template - 2023</t>
  </si>
  <si>
    <t>2023 Member Months</t>
  </si>
  <si>
    <t>Standard Deviation Template - 2023</t>
  </si>
  <si>
    <t>Age/Sex Factors Template - 2023</t>
  </si>
  <si>
    <t>Response - 2023 Reporting</t>
  </si>
  <si>
    <t>2023</t>
  </si>
  <si>
    <t>Issue for 2023?</t>
  </si>
  <si>
    <t>Expected in 2023?</t>
  </si>
  <si>
    <t>Reported in Advanced Network tab for 2023?</t>
  </si>
  <si>
    <t>Consistency of Member Months Across TME Record, Age/Sex, Line of Business, and Standard Deviation tabs for 2023</t>
  </si>
  <si>
    <t>Consistency of Truncated Spending Across TME Record and Age/Sex Tabs for 2023</t>
  </si>
  <si>
    <t>Data from 2023 Age/Sex tab</t>
  </si>
  <si>
    <t>Do data in the Age/Sex tabs match data in the TME tab for 2023?</t>
  </si>
  <si>
    <t>Reasonableness of PMPMs for 2023</t>
  </si>
  <si>
    <t>2023 Answer</t>
  </si>
  <si>
    <t>This tab provides several reference tables to aid OSC in its data submission. Please refer to this tab, or the Implementation Manual, if you have any questions on what to submit in this template. 
OSC is not required to input any data in this tab.</t>
  </si>
  <si>
    <t>This tab provides the definitions of key terms used throughout this template, including the spending categories referenced in the TME Record tab. Please refer to this tab, or the Implementation Manual, if you have any questions on what to submit in this template.
OSC is not required to input any data in this tab.</t>
  </si>
  <si>
    <t>This tab uses OSC-provided information from the TME Record tab to calculate spend and trend by market and service category. These summary tables are intended to help OSC validate its data prior to submission.
OSC is not required to input any data in this tab. OSC must review this tab prior to submitting this file to ensure data are correct.</t>
  </si>
  <si>
    <t>This tab uses OSC-provided information from all tabs that require data entry to assess consistency in spending, truncation, member months, and other imputed data across tabs. These summary tables are intended to help OSC validate their data prior to submission.
OSC is not required to input any data in this tab. OSC must review this tab prior to submitting this file to ensure data are correct.</t>
  </si>
  <si>
    <t>TOTAL Truncated Unadjusted Expenses (A22 + A23)</t>
  </si>
  <si>
    <t xml:space="preserve">Do the spending in the age/sex bands contain non-claims data? </t>
  </si>
  <si>
    <t xml:space="preserve">Is truncation applied at the member level? </t>
  </si>
  <si>
    <t>Are members attributed to an Advanced Network less than annually? If yes, did you apply the "reset the clock" approach to truncate spending for members who switch Advanced Networks mid-year?</t>
  </si>
  <si>
    <t>Are pharmacy rebate data estimated? If yes, how?</t>
  </si>
  <si>
    <t>What carved-out services are estimated? If estimations were made, did OHS approve your methodology for estimating?</t>
  </si>
  <si>
    <t xml:space="preserve"> Note: Individual service category PMPMs are not risk adjusted.</t>
  </si>
  <si>
    <t>HD-TME 2023 and 2024</t>
  </si>
  <si>
    <t>OSC must submit summary information (e.g., period beginning and end date, information about clinical risk adjustment) and any payer-specific comments about the TME submission. Please note that there are separate tabs to submit 2023 and 2024 data.</t>
  </si>
  <si>
    <t>TME Record 2023 and 2024</t>
  </si>
  <si>
    <t>OSC must submit TME by insurance category, using the spending categories defined in the Implementation Manual. Please note that there are separate tabs to submit 2023 and 2024 data.</t>
  </si>
  <si>
    <t>Line of Business Enrollment 2023 and 2024</t>
  </si>
  <si>
    <t>OSC must submit member month information by line of business enrollment category. Please note that there are separate tabs to submit 2023 and 2024 data.</t>
  </si>
  <si>
    <t>Standard Deviation 2023 and 2024</t>
  </si>
  <si>
    <t>OSC must submit standard deviation by insurance category. Please note that there are separate tabs to submit 2023 and 2024 data.</t>
  </si>
  <si>
    <t>Age_Sex Factors 2023 and 2024</t>
  </si>
  <si>
    <t>OSC must submit spending by age band and by sex, for the purposes of risk adjustment. Please note that there are separate tabs to submit 2023 and 2024 data.</t>
  </si>
  <si>
    <r>
      <rPr>
        <b/>
        <sz val="18"/>
        <color theme="0"/>
        <rFont val="Calibri"/>
        <family val="2"/>
        <scheme val="minor"/>
      </rPr>
      <t xml:space="preserve">Please enter </t>
    </r>
    <r>
      <rPr>
        <b/>
        <u/>
        <sz val="18"/>
        <color theme="0"/>
        <rFont val="Calibri"/>
        <family val="2"/>
        <scheme val="minor"/>
      </rPr>
      <t>2023</t>
    </r>
    <r>
      <rPr>
        <b/>
        <sz val="18"/>
        <color theme="0"/>
        <rFont val="Calibri"/>
        <family val="2"/>
        <scheme val="minor"/>
      </rPr>
      <t xml:space="preserve"> data in this tab.</t>
    </r>
  </si>
  <si>
    <r>
      <rPr>
        <b/>
        <sz val="18"/>
        <color theme="0"/>
        <rFont val="Calibri"/>
        <family val="2"/>
        <scheme val="minor"/>
      </rPr>
      <t xml:space="preserve">Please enter </t>
    </r>
    <r>
      <rPr>
        <b/>
        <u/>
        <sz val="18"/>
        <color theme="0"/>
        <rFont val="Calibri"/>
        <family val="2"/>
        <scheme val="minor"/>
      </rPr>
      <t>2024</t>
    </r>
    <r>
      <rPr>
        <b/>
        <sz val="18"/>
        <color theme="0"/>
        <rFont val="Calibri"/>
        <family val="2"/>
        <scheme val="minor"/>
      </rPr>
      <t xml:space="preserve"> data in this tab.</t>
    </r>
  </si>
  <si>
    <t>Total Medical Expenses Calculation Template - 2024</t>
  </si>
  <si>
    <t>Header Record Template - 2024</t>
  </si>
  <si>
    <r>
      <rPr>
        <b/>
        <sz val="18"/>
        <color theme="0"/>
        <rFont val="Calibri"/>
        <family val="2"/>
        <scheme val="minor"/>
      </rPr>
      <t xml:space="preserve">Please enter </t>
    </r>
    <r>
      <rPr>
        <b/>
        <u/>
        <sz val="18"/>
        <color theme="0"/>
        <rFont val="Calibri"/>
        <family val="2"/>
        <scheme val="minor"/>
      </rPr>
      <t>2023</t>
    </r>
    <r>
      <rPr>
        <b/>
        <sz val="18"/>
        <color theme="0"/>
        <rFont val="Calibri"/>
        <family val="2"/>
        <scheme val="minor"/>
      </rPr>
      <t xml:space="preserve"> and </t>
    </r>
    <r>
      <rPr>
        <b/>
        <u/>
        <sz val="18"/>
        <color theme="0"/>
        <rFont val="Calibri"/>
        <family val="2"/>
        <scheme val="minor"/>
      </rPr>
      <t>2024</t>
    </r>
    <r>
      <rPr>
        <b/>
        <sz val="18"/>
        <color theme="0"/>
        <rFont val="Calibri"/>
        <family val="2"/>
        <scheme val="minor"/>
      </rPr>
      <t xml:space="preserve"> data in this tab.</t>
    </r>
  </si>
  <si>
    <t>Line of Business Enrollment Template - 2023 and 2024</t>
  </si>
  <si>
    <t>Standard Deviation Template - 2024</t>
  </si>
  <si>
    <t>2024 Member Months</t>
  </si>
  <si>
    <t>Age/Sex Factors Template - 2024</t>
  </si>
  <si>
    <t>Response - 2024 Reporting</t>
  </si>
  <si>
    <t>2024</t>
  </si>
  <si>
    <t>This tab uses the data you submitted in the TME Record tab to calculate member month and per member per month (PMPM) spend and trend by market and spending category. Please review the data in this tab prior to submission to ensure that you are comfortable with the 2023 and 2024 PMPM values and trend reflected in the tables below.</t>
  </si>
  <si>
    <t>2023-2024 Trend</t>
  </si>
  <si>
    <t>Issue for 2024?</t>
  </si>
  <si>
    <t>Expected in 2024?</t>
  </si>
  <si>
    <t>Reported in Advanced Network tab for 2024?</t>
  </si>
  <si>
    <t>Consistency of Member Months Across TME Record, Age/Sex, Line of Business, and Standard Deviation tabs for 2024</t>
  </si>
  <si>
    <t>Consistency of Truncated Spending Across TME Record and Age/Sex Tabs for 2024</t>
  </si>
  <si>
    <t>Data from 2024 Age/Sex tab</t>
  </si>
  <si>
    <t>Do data in the Age/Sex tabs match data in the TME tab for 2024?</t>
  </si>
  <si>
    <t>Reasonableness of PMPMs for 2024</t>
  </si>
  <si>
    <t>2024 Answer</t>
  </si>
  <si>
    <t>Were there any significant changes (&gt;10%) in MMs from 2023-2024 as reported by OSC?</t>
  </si>
  <si>
    <t>Consistent across 2023 and 2024?</t>
  </si>
  <si>
    <t>Change in MMs from 2023-22</t>
  </si>
  <si>
    <t>Is spending reported in a manner consistent with the service category definitions outlined in Version 5.0 of the Implementation Manual?</t>
  </si>
  <si>
    <t>Not Applicable.</t>
  </si>
  <si>
    <t>Non-Claims: Performance Payments</t>
  </si>
  <si>
    <t>Non-Claims: Shared Savings and Shared Risk Settlements</t>
  </si>
  <si>
    <t>Non-Claims: Capitation and Full Risk Payments</t>
  </si>
  <si>
    <t>2024 Public Data</t>
  </si>
  <si>
    <t>2023 Public Data</t>
  </si>
  <si>
    <t xml:space="preserve">Payments made to support the infrastructure and resources necessary for coordinating care, improving quality, and/or controlling costs. Includes, but is not limited to payments that support a) care management, care coordination, population health, medication reconciliation, b) primary care/behavioral health/social care integration, c) provider electronic health record (EHR)/health information technology (HIT) infrastructure and other provider data analytic payments, and d) patient-centered medical home recognition or practice transformation.
</t>
  </si>
  <si>
    <t xml:space="preserve">Payments made to providers based on their performance on specific metrics, which could be related to quality of care, patient outcomes, or data reporting. Includes pay-for-performance, i.e., payments to reward providers for achieving a set target, and pay-for-reporting, i.e., payments to providers for reporting on a set of metrics, usually to build capacity for pay-for-performance, payments. Includes shared savings distributions, i.e., payments received by providers if costs of services are below a set target, and shared risk recoupments, i.e., payments providers must recoup if costs of services are above a set target.
</t>
  </si>
  <si>
    <t>Financial arrangements where providers are rewarded for achieving cost savings and/or quality goals for a defined set of services over a specific period. Providers may share in the savings generated or bear financial risk if costs exceed expectations. Payments under this category includes shared savings and shared risk settlements a) for fee-for-service episode-based contracts and b) for fee-for-service total cost of care contracts.</t>
  </si>
  <si>
    <t xml:space="preserve">Payments made to providers on a per-patient basis, regardless of the amount of care the patient receives, with the provider assuming full financial risk. All non-claims-based payments for services delivered under the following payment arrangements: a) prospective episode-based payments that include full risk, b) capitation, c) prospective global budget payment with full risk, and d) full risk payments to integrated finance and delivery systems.
</t>
  </si>
  <si>
    <t xml:space="preserve">All other payments made pursuant to the insurer’s contract with a provider not made on the basis of a claim for healthcare benefits/services and cannot be properly classified elsewhere. This may include governmental payer shortfall payments, grants or other surplus payments. Only payments made to providers are to be reported; insurer administrative expenditures (including corporate allocations) are not included in TME.
</t>
  </si>
  <si>
    <t xml:space="preserve">The TME paid to primary care providers delivered at a primary care site of care generated from claims using the code-level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Insurance carriers should only report primary care spending for clinicians that the plan credentialed as a primary care provider for the given performance year. 
Insurance carriers should only report primary care delivered at primary care sites of care defined by the place of service (POS) codes in the code-level definition. The definition of primary care site of care excludes primary care spending delivered at urgent care centers, retail pharmacy clinics and via stand-alone, third-party telehealth vendors. 
The definition of primary care site of care excludes primary care spending delivered at urgent care centers, retail pharmacy clinics and via stand-alone, third-party telehealth vendors.
</t>
  </si>
  <si>
    <t xml:space="preserve">The TME paid to primary care providers, including OB/GYNs and midwifery, generated from claims using the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Insurance carriers should only report primary care spending for clinicians that the plan credentialed as a primary care provider for the given performance year and for OB/GYNs and midwives that billed for codes in the code-level definition at a primary care site of care.
Insurance carriers should only report primary care delivered at primary care sites of care defined by the place of service (POS) codes in the code-level definition. The definition of primary care site of care excludes primary care spending delivered at urgent care centers, retail pharmacy clinics and via stand-alone, third-party telehealth vendors. 
The definition of primary care site of care excludes primary care spending delivered at urgent care centers, retail pharmacy clinics and via stand-alone, third-party telehealth vendors. Note: TME paid to OB/GYNs and midwifery included in the “Claims: Professional, Primary Care (for Monitoring Purposes)” category should also be included in the “Claims: Professional, Specialty” category.
</t>
  </si>
  <si>
    <t>The definitions below are pulled directly from Version 5.0 of the Implementation Manual.</t>
  </si>
  <si>
    <t xml:space="preserve">The number of unique members participating in an OSC plan each month with at least a medical benefit, regardless of whether the member has any paid claims. Member months should be calculated by taking the number of members with a medical benefit and multiplying that sum by the number of months in the member’s policy. Member months for members with comprehensive health plans should be non-duplicative between medical benefits and pharmacy benefits.
</t>
  </si>
  <si>
    <t xml:space="preserve">The TME paid to hospitals for inpatient services generated from claims. Includes all room and board and ancillary payments. Includes all hospital types. Includes payments for emergency room services when the member is admitted to the hospital, in accordance with the specific payer’s payment rules. Does not include payments made for observation services. Does not include payments made for physician services provided during an inpatient stay that have been billed directly by a physician group practice or an individual physician. Does not include inpatient services at non-hospital facilities.
</t>
  </si>
  <si>
    <t xml:space="preserve">The TME paid to physicians or physician group practices generated from claims. Includes services provided by a doctors of medicine or osteopathy in clinical areas other than family medicine, internal medicine, general medicine or pediatric medicine, not defined as primary care in the first primary care definition above. Note: TME paid to OB/GYNs and midwifery included in the “Claims: Professional, Primary Care (for Monitoring Purposes)” category should also be included in the “Claims: Professional, Specialty” category.
</t>
  </si>
  <si>
    <t xml:space="preserve">The TME paid from claims to healthcare providers for services provided by a licensed practitioner other than a physician but is not identified as primary care in the first primary care definition above. This includes, but is not limited to, licensed podiatrists, non-primary care nurse practitioners, non-primary care physician assistants, physical therapists, occupational therapists, speech therapists, psychologists, licensed clinical social workers, counselors, dieticians, dentists, chiropractors and any professional fees that do not fit other categories.
</t>
  </si>
  <si>
    <t xml:space="preserve">The TME paid from claims to healthcare providers for prescription drugs, biological products or vaccines as defined by the insurance carrier’s prescription drug benefit. This category should not include claims paid for pharmaceuticals under the carrier’s medical benefit. Pharmacy spending provided under the medical benefit should be attributed to the location in which it was delivered (e.g., pharmaceuticals delivered in a hospital inpatient setting should be attributed to Claims: Hospital Inpatient). Medicare managed care, i.e., Medicare Advantage, insurance carriers that offer stand-alone prescription drug plans (PDPs) should exclude stand-alone PDP data from their TME. Pharmacy data is to be reported gross of applicable rebates.
</t>
  </si>
  <si>
    <t xml:space="preserve">All TME data from claims to providers for: (1) nursing homes and skilled nursing facilities; (2) intermediate care facilities for individuals with intellectual disability (ICF/ID) and assisted living facilities; and (3) providers of home- and community-based services, including personal care (e.g., assistance with dressing, bathing, eating, etc.), homemaker and chore services, home-delivered meal programs, home health services, adult daycare, self-directed personal assistance services (e.g., assistance with grocery shopping, etc.), and programs designed to assist individuals with long-term care needs who receive care in their home and community, such as PACE and Money Follows the Person. Does not include payments made for professional services rendered during a facility stay that have been billed directly by a physician group practice or an individual practitioner.
</t>
  </si>
  <si>
    <t xml:space="preserve">All TME paid from claims to healthcare providers for medical services not otherwise included in other categories. Includes, but is not limited to durable medical equipment, facility fees of community health center services, freestanding ambulatory surgical center services, freestanding diagnostic facility services, hospice, hearing aid services and optical services. Payments made to members for direct reimbursement of healthcare benefits/services may be reported in “Claims: Other” if the insurance carrier is unable to classify the service. If this is the case, the carrier should consult with OHS about the appropriate placement of the service prior to categorizing it as “Claims: Other.” However, TME data for non-healthcare benefits/services, such as fitness club reimbursements, are not to be reported in any category. Payments for fitness club membership discounts whether given to the provider or given in the form of a capitated payment to an organization that assists the insurance carrier with enrolling members in gyms is not a valid payment to include.
</t>
  </si>
  <si>
    <t xml:space="preserve">All non-claims-based payments included in the above six categories that are specifically made to a primary care provider or provider organization. Payments in this category should be a sub-set of payments reported in the other non-claims categories. This category is the only category not mutually exclusive to the other non-claims categories.
</t>
  </si>
  <si>
    <t xml:space="preserve">The total claims-based spending truncated using the truncation points listed in the Implementation Manual. This variable is collected by Insurance Category Code for each Advanced Network and for the Carrier Overall. 
While OHS recognizes that some insurance carriers separately truncate medical and pharmacy spending in their total cost of care contracts, OHS requests that truncation be applied to individuals’ total spending, inclusive of all medical and pharmacy spending.
For insurance carriers reporting Insurance Category Code 4 spending (Commercial: Partial Claims), the member level truncation should be applied after estimates of carve-out spending have been made, so that truncation is being applied to an estimate of individual members’ total claims spending.
</t>
  </si>
  <si>
    <t xml:space="preserve">The number of members whose spending was above the truncation threshold applicable to the Insurance Category Code and Advanced Network to which the member was attributed. This variable is collected by Insurance Category Code for each Advanced Network and for the Carrier Overall. 
</t>
  </si>
  <si>
    <t xml:space="preserve">A number that indicates the insurance category that pharmacy rebates are being reported on. Use the applicable Insurance Category Code as defined previously in the Advanced Network Record File (not all Insurance Category Codes may be applicable to pharmacy rebates).
</t>
  </si>
  <si>
    <t xml:space="preserve">The estimated value of rebates attributed to Connecticut resident members provided by pharmaceutical manufacturers for prescription drugs with specified dates of fill, corresponding to the reporting period excluding manufacturer-provided fair market value bona fide service fees for retail prescription drugs.  This amount shall include pharmacy benefit manager (PBM) rebate guarantee amounts and any additional rebate amounts transferred by the PBM.
</t>
  </si>
  <si>
    <t xml:space="preserve">The estimated value of rebates attributed to Connecticut resident members provided by pharmaceutical manufacturers for prescription drugs with specified dates of fill corresponding with the reporting period, excluding manufacturer-provided fair maker value bona fide service fees for pharmaceuticals that are paid for under the member’s medical benefit. These drugs may be included in the professional claims category with J codes or part of facility feeds for drug infusions administered in the outpatient setting.
This amount shall include pharmacy benefit manager (PBM) rebate guarantee amounts and any additional rebate amounts transferred by the PBM. This value should always be reported as a negative number.
Total rebates should be reported without regard to how they are paid to the insurer (e.g., through regular aggregate payments, on a claims-by-claim basis, etc.) or whether they are passed on to an employer. The only exception is for Medicaid managed care payers who should not report pharmacy rebates that are passed to the state. They should only report those rebates above and beyond the state negotiated rebates.
Payers should apply IBNR factors to preliminary prescription drug rebate data to estimate total anticipated rebates related to fill dates in the calendar year for which reporting will be done. If insurance carriers are unable to report rebates specifically for Connecticut residents, insurance carriers should report estimated rebates attributed to Connecticut resident members in a proportion equal to the proportion of pharmacy spending for Connecticut resident members compared to pharmacy spending for total members, by line of business. For example, if Connecticut resident commercial member spending represent 10% of an insurer’s total commercial members, then 10% of the total pharmacy rebates for its commercial book of business should be reported. If the insurer is unable to identify the percentage of pharmacy spending for Connecticut resident members, then the insurer should calculate the pharmacy rebates attributable to Connecticut resident members using percentage of membership. This value should always be reported as a negative number. 
</t>
  </si>
  <si>
    <t xml:space="preserve">The number of members participating in a plan categorized by the insurance carrier as individual, large group – fully insured, small group – fully insured, self-insured, student market, Medicare managed care and Medicare/Medicaid duals. Carriers should not include Medigap members, but should include D-SNP members. Insurance carriers should report member months (see definition below) by line of business category listed in the References Tables tab.
</t>
  </si>
  <si>
    <t xml:space="preserve">The number of unique members participating in a plan each month with at least a medical benefit, regardless of whether the member has any paid claims. Member months should be calculated by taking the number of members with a medical benefit and multiplying that sum by the number of months in the member’s policy.
</t>
  </si>
  <si>
    <t xml:space="preserve">OHS requests insurance carriers to report aggregate information on the premiums earned from their self-insured accounts (e.g., “fees from uninsured plans”). Carriers should follow the instructions for Part 1, Line 12 on the NAIC SCHE for their Connecticut-situs self-insured accounts. Carriers must report this for self-insured plans since this is not typically reported in the SHCE filed with the Connecticut Insurance Department. 
</t>
  </si>
  <si>
    <t xml:space="preserve">The OHS-assigned organizational ID of the Advanced Network or the Carrier Overall. For TME data for members who are unattributed to an Advanced Network, their data are to be reported in aggregate as “Members Not Attributed to an Advanced Network (Advanced Network Identification Number 999).” 
</t>
  </si>
  <si>
    <t xml:space="preserve">Code referring to the to the Medicare, Medicaid and Commercial markets, and combines Insurance Category Codes.  See the References Tables tab.
</t>
  </si>
  <si>
    <t xml:space="preserve">The total claims-based spending after truncation attributed to each member participating in a plan each month with a medical benefit consistent with the general cost growth target specifications on how to calculate claims-based spending. The spending in these cells should be after member-level truncation is applied using the truncation points listed in the Implementation Manual. Do not include any non-claims spending categories.
Some insurers will attribute members to Advanced Networks on a monthly basis. If a member is attributed to more than one Advanced Network during the year, the payer should “reset the clock” by calculating total spending attributed to the Advanced Network for all Advanced Networks to which the member was reported and identify the total spending above the truncation point by each Advanced Network.
For insurers reporting in Insurance Category Code 4 (Partial Claims, Adjusted), the member level truncation should be applied after estimates of carve-out spending have been made, so that truncation is being applied to an estimate of individual members’ total claims spending.
</t>
  </si>
  <si>
    <t xml:space="preserve">The OHS-assigned organizational ID of the Advanced Network or the Carrier Overall. For TME data for members who are unattributed to an Code associated with the age band of the members whose spending is being reported. See References Tables tab.
</t>
  </si>
  <si>
    <t xml:space="preserve">Code associated with the sex of the members whose spending is being reported. See References Tables tab.
</t>
  </si>
  <si>
    <t xml:space="preserve">The number of unique Connecticut resident members for the age/sex cell participating in a plan each month with a medical benefit, regardless of whether the member has any paid claims. Member months should be calculated by summing the number of months each member was enrolled in a plan with a medical benefit for one calendar year. The age of the member should be determined as of January 1st of the calendar year.
</t>
  </si>
  <si>
    <t xml:space="preserve">The annual total claims-based spending attributed to each member participating in a plan each month with a medical benefit consistent with aforementioned specifications on how to calculate claims-based spending. The spending in these cells should be before member-level truncation is applied. Do not include any non-claims spending categories.
</t>
  </si>
  <si>
    <t xml:space="preserve">The number of members whose spending was above the truncation threshold applicable to the Insurance Category Code and Advanced Network to which the member was attributed. This variable is collected by Insurance Category Code for each Advanced Network. 
</t>
  </si>
  <si>
    <t xml:space="preserve">A number that indicates the insurance category that is being reported, as defined in Table A-4 below. All data reported by Insurance Category Code should be mutually exclusive. Commercial claims should be separated into two categories, as shown in Table A-4 below. Commercial self insured or fully insured data for large providers for which the insurance carrier can collect information on all direct medical claims and any claims paid by a delegated entity should be reported in the “Full Claims” category. Commercial self-insured or fully insured data that does not include all medical and subcarrier claims should be reported in the “Partial Claims,” category. An adjustment should be made to “Partial Claims” to allow for them to be comparable to full claims. Such an adjustment must be reviewed with OHS before the adjustment is made.  The goal of the adjustment is to estimate what total spending might be for those members without having to collect claims data from carve-out vendors, such as PBMs or behavioral health vendors. For example, for those members for whom pharmacy benefits are carved out, the insurance carrier might include its commercial market book of business average pharmacy spending PMPM for the same year, calculated on members who had pharmacy coverage, applied to all member months for which the carve out applied.
If an insurance carrier enrolls Medicare/Medicaid dual eligibles, OHS requires the carrier to report Medicare-related expenditures under Insurance Category Code 5 and Medicaid-related expenditures under Insurance Category Code 6. For example, if a carrier covers Medicare/Medicaid dual eligibles, but is only responsible for Medicaid services, expenditures for those dual eligibles are reported under Insurance Category Code 6. However, if a carrier is an integrated care entity providing both Medicare and Medicaid benefits to dual eligibles, the carrier should use both Insurance Category Codes 5 and 6, respectively, to report applicable expenditures. If direct assignment of the expenditure cannot be made to code 5 or 6, the carrier should use reasonable and appropriate methods to allocate expenditures to the respective Insurance Category Code. This will allow OHS to include the Medicare- or Medicaid-related expenditure for dual eligibles in the respective Market for reporting purposes.
Insurance carriers shall report for all insurance categories for which they have business. For carriers reporting in the “Other” category, carriers should describe in the Comments field (HD004) what is included in the “Other” category.
</t>
  </si>
  <si>
    <t>For delegated payment arrangements reported under "Non-Claim: Capitation and Full Risk Payments," were administrative expenses included in the reported payments? If not applicable, select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</si>
</sst>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409]mmmm\ d\,\ yyyy;@"/>
    <numFmt numFmtId="166" formatCode="0.0%"/>
    <numFmt numFmtId="167" formatCode="_(* #,##0_);_(* \(#,##0\);_(* &quot;-&quot;??_);_(@_)"/>
    <numFmt numFmtId="168" formatCode="_([$$-409]* #,##0.00_);_([$$-409]* \(#,##0.00\);_([$$-409]* &quot;-&quot;??_);_(@_)"/>
  </numFmts>
  <fonts count="29" x14ac:knownFonts="1">
    <font>
      <sz val="11"/>
      <color theme="1"/>
      <name val="Calibri"/>
      <family val="2"/>
      <scheme val="minor"/>
    </font>
    <font>
      <b/>
      <sz val="11"/>
      <color theme="1"/>
      <name val="Calibri"/>
      <family val="2"/>
      <scheme val="minor"/>
    </font>
    <font>
      <b/>
      <u/>
      <sz val="11"/>
      <color theme="1"/>
      <name val="Calibri"/>
      <family val="2"/>
      <scheme val="minor"/>
    </font>
    <font>
      <sz val="10"/>
      <name val="Calibri"/>
      <family val="2"/>
    </font>
    <font>
      <sz val="11"/>
      <color rgb="FF0070C0"/>
      <name val="Calibri"/>
      <family val="2"/>
      <scheme val="minor"/>
    </font>
    <font>
      <sz val="11"/>
      <color theme="1"/>
      <name val="Calibri"/>
      <family val="2"/>
      <scheme val="minor"/>
    </font>
    <font>
      <i/>
      <sz val="11"/>
      <color theme="1"/>
      <name val="Calibri"/>
      <family val="2"/>
      <scheme val="minor"/>
    </font>
    <font>
      <sz val="11"/>
      <color rgb="FFFF0000"/>
      <name val="Calibri"/>
      <family val="2"/>
      <scheme val="minor"/>
    </font>
    <font>
      <b/>
      <sz val="11"/>
      <name val="Calibri"/>
      <family val="2"/>
      <scheme val="minor"/>
    </font>
    <font>
      <b/>
      <u/>
      <sz val="11"/>
      <color rgb="FFFF0000"/>
      <name val="Calibri"/>
      <family val="2"/>
      <scheme val="minor"/>
    </font>
    <font>
      <sz val="11"/>
      <name val="Calibri"/>
      <family val="2"/>
      <scheme val="minor"/>
    </font>
    <font>
      <b/>
      <sz val="11"/>
      <color theme="0"/>
      <name val="Calibri"/>
      <family val="2"/>
      <scheme val="minor"/>
    </font>
    <font>
      <i/>
      <sz val="11"/>
      <color rgb="FFC00000"/>
      <name val="Calibri"/>
      <family val="2"/>
      <scheme val="minor"/>
    </font>
    <font>
      <i/>
      <sz val="11"/>
      <name val="Calibri"/>
      <family val="2"/>
      <scheme val="minor"/>
    </font>
    <font>
      <b/>
      <sz val="12"/>
      <color theme="1"/>
      <name val="Calibri"/>
      <family val="2"/>
      <scheme val="minor"/>
    </font>
    <font>
      <sz val="11"/>
      <color theme="5"/>
      <name val="Calibri"/>
      <family val="2"/>
      <scheme val="minor"/>
    </font>
    <font>
      <b/>
      <sz val="14"/>
      <color theme="1"/>
      <name val="Calibri"/>
      <family val="2"/>
      <scheme val="minor"/>
    </font>
    <font>
      <sz val="12"/>
      <color theme="1"/>
      <name val="Calibri"/>
      <family val="2"/>
      <scheme val="minor"/>
    </font>
    <font>
      <sz val="11"/>
      <color theme="0"/>
      <name val="Calibri"/>
      <family val="2"/>
      <scheme val="minor"/>
    </font>
    <font>
      <sz val="11"/>
      <color rgb="FF0070C0"/>
      <name val="Calibri"/>
      <family val="2"/>
    </font>
    <font>
      <sz val="8"/>
      <name val="Calibri"/>
      <family val="2"/>
      <scheme val="minor"/>
    </font>
    <font>
      <sz val="11"/>
      <color theme="1"/>
      <name val="Calibri"/>
      <family val="2"/>
    </font>
    <font>
      <b/>
      <u/>
      <sz val="14"/>
      <color theme="1"/>
      <name val="Calibri"/>
      <family val="2"/>
      <scheme val="minor"/>
    </font>
    <font>
      <b/>
      <sz val="14"/>
      <name val="Calibri"/>
      <family val="2"/>
      <scheme val="minor"/>
    </font>
    <font>
      <u/>
      <sz val="11"/>
      <color theme="10"/>
      <name val="Calibri"/>
      <family val="2"/>
      <scheme val="minor"/>
    </font>
    <font>
      <b/>
      <sz val="16"/>
      <color theme="1"/>
      <name val="Calibri"/>
      <family val="2"/>
      <scheme val="minor"/>
    </font>
    <font>
      <b/>
      <u/>
      <sz val="18"/>
      <color theme="0"/>
      <name val="Calibri"/>
      <family val="2"/>
      <scheme val="minor"/>
    </font>
    <font>
      <b/>
      <sz val="18"/>
      <color theme="0"/>
      <name val="Calibri"/>
      <family val="2"/>
      <scheme val="minor"/>
    </font>
    <font>
      <u/>
      <sz val="11"/>
      <color theme="1"/>
      <name val="Calibri"/>
      <family val="2"/>
      <scheme val="minor"/>
    </font>
  </fonts>
  <fills count="2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1" tint="4.9989318521683403E-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FFFFCC"/>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rgb="FF538DD5"/>
        <bgColor indexed="64"/>
      </patternFill>
    </fill>
    <fill>
      <patternFill patternType="solid">
        <fgColor theme="3"/>
        <bgColor indexed="64"/>
      </patternFill>
    </fill>
    <fill>
      <patternFill patternType="solid">
        <fgColor theme="8"/>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top/>
      <bottom style="thin">
        <color indexed="64"/>
      </bottom>
      <diagonal/>
    </border>
    <border>
      <left style="thin">
        <color theme="4"/>
      </left>
      <right/>
      <top/>
      <bottom/>
      <diagonal/>
    </border>
    <border>
      <left/>
      <right/>
      <top style="thin">
        <color theme="4"/>
      </top>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7">
    <xf numFmtId="0" fontId="0" fillId="0" borderId="0"/>
    <xf numFmtId="0" fontId="3" fillId="0" borderId="0"/>
    <xf numFmtId="43" fontId="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cellStyleXfs>
  <cellXfs count="236">
    <xf numFmtId="0" fontId="0" fillId="0" borderId="0" xfId="0"/>
    <xf numFmtId="0" fontId="1" fillId="0" borderId="0" xfId="0" applyFont="1"/>
    <xf numFmtId="0" fontId="0" fillId="0" borderId="1" xfId="0" applyBorder="1" applyAlignment="1">
      <alignment horizontal="center"/>
    </xf>
    <xf numFmtId="0" fontId="1" fillId="0" borderId="1" xfId="0" applyFont="1" applyBorder="1" applyAlignment="1">
      <alignment horizontal="center"/>
    </xf>
    <xf numFmtId="0" fontId="7" fillId="0" borderId="0" xfId="0" applyFont="1"/>
    <xf numFmtId="0" fontId="1" fillId="0" borderId="1" xfId="0" applyFont="1" applyBorder="1"/>
    <xf numFmtId="0" fontId="0" fillId="0" borderId="1" xfId="0" applyBorder="1"/>
    <xf numFmtId="0" fontId="0" fillId="0" borderId="1" xfId="0" applyBorder="1" applyAlignment="1">
      <alignment wrapText="1"/>
    </xf>
    <xf numFmtId="0" fontId="0" fillId="0" borderId="1" xfId="0" applyBorder="1" applyProtection="1">
      <protection locked="0"/>
    </xf>
    <xf numFmtId="0" fontId="0" fillId="0" borderId="0" xfId="0" applyProtection="1">
      <protection locked="0"/>
    </xf>
    <xf numFmtId="0" fontId="0" fillId="0" borderId="0" xfId="0" applyAlignment="1">
      <alignment horizontal="center"/>
    </xf>
    <xf numFmtId="0" fontId="0" fillId="0" borderId="0" xfId="0" applyAlignment="1">
      <alignment horizontal="center" wrapText="1"/>
    </xf>
    <xf numFmtId="0" fontId="2" fillId="0" borderId="0" xfId="0" applyFont="1"/>
    <xf numFmtId="3" fontId="0" fillId="0" borderId="1" xfId="0" applyNumberFormat="1" applyBorder="1" applyAlignment="1">
      <alignment horizontal="center"/>
    </xf>
    <xf numFmtId="0" fontId="8" fillId="0" borderId="0" xfId="0" applyFont="1"/>
    <xf numFmtId="1" fontId="0" fillId="0" borderId="0" xfId="0" applyNumberFormat="1" applyAlignment="1">
      <alignment horizontal="center"/>
    </xf>
    <xf numFmtId="0" fontId="1" fillId="4" borderId="0" xfId="0" applyFont="1" applyFill="1" applyAlignment="1">
      <alignment horizontal="center" vertical="center"/>
    </xf>
    <xf numFmtId="0" fontId="1" fillId="4" borderId="0" xfId="0" applyFont="1" applyFill="1" applyAlignment="1">
      <alignment horizontal="center"/>
    </xf>
    <xf numFmtId="1" fontId="0" fillId="0" borderId="0" xfId="0" applyNumberFormat="1" applyAlignment="1">
      <alignment horizontal="center" wrapText="1"/>
    </xf>
    <xf numFmtId="1" fontId="1" fillId="4" borderId="0" xfId="0" applyNumberFormat="1" applyFont="1" applyFill="1" applyAlignment="1">
      <alignment horizontal="center"/>
    </xf>
    <xf numFmtId="0" fontId="0" fillId="5" borderId="0" xfId="0" applyFill="1"/>
    <xf numFmtId="49" fontId="0" fillId="0" borderId="0" xfId="0" applyNumberFormat="1"/>
    <xf numFmtId="0" fontId="6" fillId="0" borderId="0" xfId="0" applyFont="1"/>
    <xf numFmtId="0" fontId="1" fillId="0" borderId="0" xfId="0" applyFont="1" applyAlignment="1">
      <alignment horizontal="center"/>
    </xf>
    <xf numFmtId="0" fontId="10" fillId="0" borderId="1" xfId="0" applyFont="1" applyBorder="1" applyAlignment="1">
      <alignment horizontal="center"/>
    </xf>
    <xf numFmtId="0" fontId="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0" fillId="0" borderId="0" xfId="0" applyProtection="1">
      <protection hidden="1"/>
    </xf>
    <xf numFmtId="0" fontId="2" fillId="0" borderId="0" xfId="0" applyFont="1" applyProtection="1">
      <protection hidden="1"/>
    </xf>
    <xf numFmtId="0" fontId="1" fillId="0" borderId="1" xfId="0" applyFont="1" applyBorder="1" applyAlignment="1" applyProtection="1">
      <alignment horizontal="center"/>
      <protection hidden="1"/>
    </xf>
    <xf numFmtId="0" fontId="1" fillId="0" borderId="8" xfId="0" applyFont="1" applyBorder="1" applyAlignment="1" applyProtection="1">
      <alignment horizontal="center" wrapText="1"/>
      <protection hidden="1"/>
    </xf>
    <xf numFmtId="0" fontId="1" fillId="0" borderId="11"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0" fillId="0" borderId="1" xfId="0" applyBorder="1" applyProtection="1">
      <protection hidden="1"/>
    </xf>
    <xf numFmtId="0" fontId="0" fillId="0" borderId="10" xfId="0" applyBorder="1" applyAlignment="1" applyProtection="1">
      <alignment horizontal="center"/>
      <protection hidden="1"/>
    </xf>
    <xf numFmtId="0" fontId="0" fillId="0" borderId="5" xfId="0" applyBorder="1" applyAlignment="1" applyProtection="1">
      <alignment horizontal="center"/>
      <protection hidden="1"/>
    </xf>
    <xf numFmtId="0" fontId="1" fillId="0" borderId="8" xfId="0" applyFont="1" applyBorder="1" applyAlignment="1" applyProtection="1">
      <alignment horizontal="center"/>
      <protection hidden="1"/>
    </xf>
    <xf numFmtId="0" fontId="12" fillId="0" borderId="0" xfId="0" applyFont="1" applyProtection="1">
      <protection hidden="1"/>
    </xf>
    <xf numFmtId="0" fontId="13" fillId="0" borderId="0" xfId="0" applyFont="1" applyAlignment="1">
      <alignment horizontal="left" vertical="top"/>
    </xf>
    <xf numFmtId="0" fontId="14" fillId="0" borderId="0" xfId="0" applyFont="1"/>
    <xf numFmtId="0" fontId="6" fillId="0" borderId="0" xfId="0" applyFont="1" applyAlignment="1">
      <alignment horizontal="left" indent="7"/>
    </xf>
    <xf numFmtId="0" fontId="0" fillId="0" borderId="10" xfId="0" applyBorder="1" applyAlignment="1">
      <alignment wrapText="1"/>
    </xf>
    <xf numFmtId="0" fontId="0" fillId="0" borderId="10" xfId="0" applyBorder="1" applyAlignment="1">
      <alignment horizontal="left" wrapText="1" indent="1"/>
    </xf>
    <xf numFmtId="0" fontId="0" fillId="7" borderId="10" xfId="0" applyFill="1" applyBorder="1" applyAlignment="1">
      <alignment wrapText="1"/>
    </xf>
    <xf numFmtId="0" fontId="11" fillId="6" borderId="8" xfId="0" applyFont="1" applyFill="1" applyBorder="1" applyAlignment="1">
      <alignment horizontal="center"/>
    </xf>
    <xf numFmtId="0" fontId="11" fillId="6" borderId="11" xfId="0" applyFont="1" applyFill="1" applyBorder="1" applyAlignment="1">
      <alignment horizontal="center"/>
    </xf>
    <xf numFmtId="0" fontId="11" fillId="6" borderId="6" xfId="0" applyFont="1" applyFill="1" applyBorder="1" applyAlignment="1">
      <alignment horizontal="center"/>
    </xf>
    <xf numFmtId="0" fontId="0" fillId="7" borderId="5" xfId="0" applyFill="1" applyBorder="1" applyAlignment="1">
      <alignment wrapText="1"/>
    </xf>
    <xf numFmtId="0" fontId="11" fillId="8" borderId="8" xfId="0" applyFont="1" applyFill="1" applyBorder="1" applyAlignment="1">
      <alignment horizontal="center"/>
    </xf>
    <xf numFmtId="0" fontId="11" fillId="8" borderId="11" xfId="0" applyFont="1" applyFill="1" applyBorder="1" applyAlignment="1">
      <alignment horizontal="center"/>
    </xf>
    <xf numFmtId="0" fontId="11" fillId="8" borderId="6" xfId="0" applyFont="1" applyFill="1" applyBorder="1" applyAlignment="1">
      <alignment horizontal="center"/>
    </xf>
    <xf numFmtId="0" fontId="11" fillId="9" borderId="8" xfId="0" applyFont="1" applyFill="1" applyBorder="1" applyAlignment="1">
      <alignment horizontal="center"/>
    </xf>
    <xf numFmtId="0" fontId="11" fillId="9" borderId="11" xfId="0" applyFont="1" applyFill="1" applyBorder="1" applyAlignment="1">
      <alignment horizontal="center"/>
    </xf>
    <xf numFmtId="0" fontId="11" fillId="9" borderId="6" xfId="0" applyFont="1" applyFill="1" applyBorder="1" applyAlignment="1">
      <alignment horizontal="center"/>
    </xf>
    <xf numFmtId="43" fontId="0" fillId="0" borderId="1" xfId="4" applyFont="1" applyBorder="1"/>
    <xf numFmtId="0" fontId="15" fillId="0" borderId="0" xfId="0" applyFont="1"/>
    <xf numFmtId="0" fontId="0" fillId="0" borderId="6" xfId="0" applyBorder="1"/>
    <xf numFmtId="0" fontId="0" fillId="0" borderId="8" xfId="0" applyBorder="1"/>
    <xf numFmtId="0" fontId="1" fillId="7" borderId="10" xfId="0" applyFont="1" applyFill="1" applyBorder="1" applyAlignment="1">
      <alignment wrapText="1"/>
    </xf>
    <xf numFmtId="0" fontId="11" fillId="10" borderId="10" xfId="0" applyFont="1" applyFill="1" applyBorder="1" applyAlignment="1">
      <alignment wrapText="1"/>
    </xf>
    <xf numFmtId="0" fontId="11" fillId="6" borderId="1" xfId="0" applyFont="1" applyFill="1" applyBorder="1"/>
    <xf numFmtId="14" fontId="0" fillId="0" borderId="1" xfId="0" applyNumberFormat="1" applyBorder="1"/>
    <xf numFmtId="0" fontId="1" fillId="0" borderId="1" xfId="0" applyFont="1" applyBorder="1" applyAlignment="1">
      <alignment vertical="top"/>
    </xf>
    <xf numFmtId="0" fontId="0" fillId="0" borderId="1" xfId="0" applyBorder="1" applyAlignment="1">
      <alignment vertical="top"/>
    </xf>
    <xf numFmtId="0" fontId="16" fillId="0" borderId="0" xfId="0" applyFont="1"/>
    <xf numFmtId="0" fontId="4" fillId="0" borderId="0" xfId="0" applyFont="1"/>
    <xf numFmtId="0" fontId="11" fillId="8" borderId="8"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0" fontId="1" fillId="8" borderId="11" xfId="0" applyFont="1" applyFill="1" applyBorder="1" applyAlignment="1">
      <alignment horizontal="center" vertical="center" wrapText="1"/>
    </xf>
    <xf numFmtId="3" fontId="0" fillId="0" borderId="0" xfId="0" applyNumberFormat="1"/>
    <xf numFmtId="2" fontId="0" fillId="0" borderId="0" xfId="0" applyNumberFormat="1" applyAlignment="1">
      <alignment horizontal="center"/>
    </xf>
    <xf numFmtId="1" fontId="0" fillId="0" borderId="0" xfId="0" applyNumberFormat="1"/>
    <xf numFmtId="0" fontId="0" fillId="12" borderId="1" xfId="0" applyFill="1" applyBorder="1" applyAlignment="1" applyProtection="1">
      <alignment horizontal="center"/>
      <protection hidden="1"/>
    </xf>
    <xf numFmtId="0" fontId="0" fillId="12" borderId="9" xfId="0" applyFill="1" applyBorder="1" applyAlignment="1" applyProtection="1">
      <alignment horizontal="center"/>
      <protection hidden="1"/>
    </xf>
    <xf numFmtId="0" fontId="0" fillId="12" borderId="2" xfId="0" applyFill="1" applyBorder="1"/>
    <xf numFmtId="0" fontId="0" fillId="12" borderId="3" xfId="0" applyFill="1" applyBorder="1"/>
    <xf numFmtId="0" fontId="10"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11" fillId="6" borderId="1" xfId="0" applyFont="1" applyFill="1" applyBorder="1" applyAlignment="1">
      <alignment horizontal="left" vertical="top"/>
    </xf>
    <xf numFmtId="0" fontId="11" fillId="6" borderId="1" xfId="0" applyFont="1" applyFill="1" applyBorder="1" applyAlignment="1">
      <alignment horizontal="left" vertical="top" wrapText="1"/>
    </xf>
    <xf numFmtId="0" fontId="0" fillId="0" borderId="10" xfId="0" applyBorder="1" applyAlignment="1" applyProtection="1">
      <alignment horizontal="center"/>
      <protection locked="0"/>
    </xf>
    <xf numFmtId="14" fontId="0" fillId="0" borderId="1" xfId="0" applyNumberFormat="1" applyBorder="1" applyProtection="1">
      <protection locked="0"/>
    </xf>
    <xf numFmtId="49" fontId="0" fillId="0" borderId="1" xfId="0" applyNumberFormat="1" applyBorder="1" applyAlignment="1" applyProtection="1">
      <alignment horizontal="center"/>
      <protection locked="0"/>
    </xf>
    <xf numFmtId="0" fontId="0" fillId="0" borderId="10" xfId="0" applyBorder="1" applyProtection="1">
      <protection locked="0"/>
    </xf>
    <xf numFmtId="0" fontId="0" fillId="0" borderId="1" xfId="0" applyBorder="1" applyAlignment="1" applyProtection="1">
      <alignment horizontal="center"/>
      <protection locked="0"/>
    </xf>
    <xf numFmtId="164" fontId="5" fillId="0" borderId="1" xfId="3" applyNumberFormat="1" applyFont="1" applyFill="1" applyBorder="1" applyAlignment="1" applyProtection="1">
      <alignment horizontal="center"/>
      <protection locked="0"/>
    </xf>
    <xf numFmtId="164" fontId="4" fillId="0" borderId="1" xfId="3" applyNumberFormat="1" applyFont="1" applyFill="1" applyBorder="1" applyAlignment="1" applyProtection="1">
      <alignment horizontal="center"/>
    </xf>
    <xf numFmtId="0" fontId="0" fillId="13" borderId="1" xfId="0" applyFill="1" applyBorder="1" applyProtection="1">
      <protection hidden="1"/>
    </xf>
    <xf numFmtId="0" fontId="0" fillId="13" borderId="9" xfId="0" applyFill="1" applyBorder="1" applyProtection="1">
      <protection hidden="1"/>
    </xf>
    <xf numFmtId="0" fontId="18" fillId="0" borderId="0" xfId="0" applyFont="1"/>
    <xf numFmtId="0" fontId="6" fillId="0" borderId="5" xfId="0" applyFont="1" applyBorder="1" applyProtection="1">
      <protection locked="0"/>
    </xf>
    <xf numFmtId="0" fontId="0" fillId="0" borderId="2" xfId="0" applyBorder="1" applyAlignment="1">
      <alignment horizontal="center"/>
    </xf>
    <xf numFmtId="164" fontId="19" fillId="0" borderId="11" xfId="3" applyNumberFormat="1" applyFont="1" applyFill="1" applyBorder="1" applyAlignment="1" applyProtection="1">
      <alignment horizontal="center"/>
    </xf>
    <xf numFmtId="164" fontId="4" fillId="0" borderId="11" xfId="3" applyNumberFormat="1" applyFont="1" applyFill="1" applyBorder="1" applyAlignment="1" applyProtection="1">
      <alignment horizontal="center"/>
    </xf>
    <xf numFmtId="3" fontId="0" fillId="0" borderId="2" xfId="0" applyNumberFormat="1" applyBorder="1" applyProtection="1">
      <protection locked="0"/>
    </xf>
    <xf numFmtId="165" fontId="0" fillId="0" borderId="0" xfId="0" applyNumberFormat="1" applyAlignment="1">
      <alignment horizontal="center" vertical="center"/>
    </xf>
    <xf numFmtId="0" fontId="0" fillId="0" borderId="0" xfId="0" applyAlignment="1">
      <alignment horizontal="center" vertical="center"/>
    </xf>
    <xf numFmtId="1" fontId="11" fillId="4" borderId="13" xfId="0" applyNumberFormat="1" applyFont="1" applyFill="1" applyBorder="1" applyAlignment="1">
      <alignment horizontal="center"/>
    </xf>
    <xf numFmtId="0" fontId="11" fillId="4" borderId="0" xfId="0" applyFont="1" applyFill="1" applyAlignment="1">
      <alignment horizontal="center"/>
    </xf>
    <xf numFmtId="1" fontId="11" fillId="4" borderId="0" xfId="0" applyNumberFormat="1" applyFont="1" applyFill="1" applyAlignment="1">
      <alignment horizontal="center"/>
    </xf>
    <xf numFmtId="1" fontId="0" fillId="0" borderId="14" xfId="0" applyNumberFormat="1" applyBorder="1" applyAlignment="1">
      <alignment horizontal="center"/>
    </xf>
    <xf numFmtId="3" fontId="0" fillId="0" borderId="1" xfId="0" applyNumberFormat="1" applyBorder="1" applyAlignment="1" applyProtection="1">
      <alignment horizontal="center"/>
      <protection locked="0"/>
    </xf>
    <xf numFmtId="0" fontId="2" fillId="0" borderId="12" xfId="0" applyFont="1" applyBorder="1"/>
    <xf numFmtId="0" fontId="9" fillId="0" borderId="0" xfId="0" applyFont="1"/>
    <xf numFmtId="0" fontId="0" fillId="3" borderId="1" xfId="0" applyFill="1" applyBorder="1" applyAlignment="1" applyProtection="1">
      <alignment horizontal="center" vertical="center"/>
      <protection locked="0"/>
    </xf>
    <xf numFmtId="0" fontId="1" fillId="2" borderId="1" xfId="0" applyFont="1" applyFill="1" applyBorder="1" applyAlignment="1">
      <alignment horizontal="center"/>
    </xf>
    <xf numFmtId="0" fontId="10" fillId="0" borderId="1" xfId="0" applyFont="1" applyBorder="1" applyProtection="1">
      <protection locked="0"/>
    </xf>
    <xf numFmtId="0" fontId="10" fillId="0" borderId="1" xfId="0" applyFont="1" applyBorder="1" applyAlignment="1" applyProtection="1">
      <alignment wrapText="1"/>
      <protection locked="0"/>
    </xf>
    <xf numFmtId="0" fontId="10" fillId="0" borderId="1" xfId="0" applyFont="1" applyBorder="1" applyAlignment="1">
      <alignment wrapText="1"/>
    </xf>
    <xf numFmtId="0" fontId="10" fillId="3" borderId="1" xfId="0" applyFont="1" applyFill="1" applyBorder="1" applyAlignment="1" applyProtection="1">
      <alignment wrapText="1"/>
      <protection locked="0"/>
    </xf>
    <xf numFmtId="0" fontId="10" fillId="12" borderId="2" xfId="0" applyFont="1" applyFill="1" applyBorder="1"/>
    <xf numFmtId="0" fontId="1" fillId="0" borderId="1" xfId="0" applyFont="1" applyBorder="1" applyAlignment="1">
      <alignment horizontal="center" wrapText="1"/>
    </xf>
    <xf numFmtId="3" fontId="1" fillId="0" borderId="1" xfId="0" applyNumberFormat="1" applyFont="1" applyBorder="1" applyAlignment="1">
      <alignment horizontal="center" wrapText="1"/>
    </xf>
    <xf numFmtId="0" fontId="8" fillId="0" borderId="1" xfId="0" applyFont="1" applyBorder="1" applyAlignment="1">
      <alignment horizontal="center" wrapText="1"/>
    </xf>
    <xf numFmtId="44" fontId="0" fillId="0" borderId="1" xfId="3" applyFont="1" applyBorder="1" applyAlignment="1">
      <alignment horizontal="center" vertical="center"/>
    </xf>
    <xf numFmtId="0" fontId="8" fillId="0" borderId="9" xfId="0" applyFont="1" applyBorder="1"/>
    <xf numFmtId="0" fontId="0" fillId="0" borderId="5" xfId="0" applyBorder="1" applyAlignment="1" applyProtection="1">
      <alignment horizontal="center"/>
      <protection locked="0"/>
    </xf>
    <xf numFmtId="0" fontId="0" fillId="0" borderId="9" xfId="0" applyBorder="1" applyAlignment="1" applyProtection="1">
      <alignment horizontal="center"/>
      <protection locked="0"/>
    </xf>
    <xf numFmtId="3" fontId="0" fillId="0" borderId="9" xfId="0" applyNumberFormat="1" applyBorder="1" applyAlignment="1" applyProtection="1">
      <alignment horizontal="center"/>
      <protection locked="0"/>
    </xf>
    <xf numFmtId="2" fontId="0" fillId="0" borderId="9" xfId="0" applyNumberFormat="1" applyBorder="1" applyAlignment="1" applyProtection="1">
      <alignment horizontal="center"/>
      <protection locked="0"/>
    </xf>
    <xf numFmtId="164" fontId="0" fillId="0" borderId="9" xfId="3" applyNumberFormat="1" applyFont="1" applyFill="1" applyBorder="1" applyAlignment="1" applyProtection="1">
      <alignment horizontal="center"/>
      <protection locked="0"/>
    </xf>
    <xf numFmtId="0" fontId="22" fillId="0" borderId="0" xfId="0" applyFont="1"/>
    <xf numFmtId="0" fontId="1" fillId="14"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164" fontId="0" fillId="0" borderId="1" xfId="3" applyNumberFormat="1" applyFont="1" applyBorder="1"/>
    <xf numFmtId="166" fontId="0" fillId="0" borderId="1" xfId="5" applyNumberFormat="1" applyFont="1" applyBorder="1"/>
    <xf numFmtId="0" fontId="8" fillId="15" borderId="11" xfId="0" applyFont="1" applyFill="1" applyBorder="1" applyAlignment="1">
      <alignment horizontal="center" vertical="center" wrapText="1"/>
    </xf>
    <xf numFmtId="167" fontId="0" fillId="0" borderId="1" xfId="4" applyNumberFormat="1" applyFont="1" applyBorder="1"/>
    <xf numFmtId="0" fontId="24" fillId="0" borderId="0" xfId="6" applyAlignment="1">
      <alignment horizontal="left" wrapText="1" indent="2"/>
    </xf>
    <xf numFmtId="9" fontId="24" fillId="0" borderId="0" xfId="5" applyFont="1" applyAlignment="1">
      <alignment horizontal="left" wrapText="1" indent="2"/>
    </xf>
    <xf numFmtId="9" fontId="24" fillId="0" borderId="0" xfId="6" applyNumberFormat="1" applyAlignment="1">
      <alignment horizontal="left" wrapText="1" indent="2"/>
    </xf>
    <xf numFmtId="0" fontId="1" fillId="0" borderId="1" xfId="0" applyFont="1" applyBorder="1" applyAlignment="1">
      <alignment wrapText="1"/>
    </xf>
    <xf numFmtId="0" fontId="1" fillId="0" borderId="2" xfId="0" applyFont="1" applyBorder="1"/>
    <xf numFmtId="0" fontId="0" fillId="0" borderId="2" xfId="0" applyBorder="1"/>
    <xf numFmtId="0" fontId="1" fillId="0" borderId="1" xfId="0" applyFont="1" applyBorder="1" applyAlignment="1">
      <alignment horizontal="center" vertical="center"/>
    </xf>
    <xf numFmtId="0" fontId="0" fillId="0" borderId="1" xfId="0" applyBorder="1" applyAlignment="1">
      <alignment horizontal="center" vertical="center"/>
    </xf>
    <xf numFmtId="1" fontId="0" fillId="0" borderId="18" xfId="0" applyNumberFormat="1" applyBorder="1"/>
    <xf numFmtId="1" fontId="0" fillId="0" borderId="19" xfId="0" applyNumberFormat="1" applyBorder="1"/>
    <xf numFmtId="1" fontId="0" fillId="0" borderId="20" xfId="0" applyNumberFormat="1" applyBorder="1"/>
    <xf numFmtId="1" fontId="0" fillId="0" borderId="21" xfId="0" applyNumberFormat="1" applyBorder="1"/>
    <xf numFmtId="49" fontId="25" fillId="0" borderId="22" xfId="0" applyNumberFormat="1" applyFont="1" applyBorder="1"/>
    <xf numFmtId="49" fontId="25" fillId="0" borderId="23" xfId="0" applyNumberFormat="1" applyFont="1" applyBorder="1"/>
    <xf numFmtId="0" fontId="24" fillId="12" borderId="0" xfId="6" applyFill="1" applyAlignment="1">
      <alignment horizontal="left" wrapText="1" indent="2"/>
    </xf>
    <xf numFmtId="0" fontId="0" fillId="12" borderId="0" xfId="0" applyFill="1"/>
    <xf numFmtId="1" fontId="0" fillId="0" borderId="24" xfId="0" applyNumberFormat="1" applyBorder="1"/>
    <xf numFmtId="9" fontId="24" fillId="0" borderId="17" xfId="6" applyNumberFormat="1" applyBorder="1" applyAlignment="1">
      <alignment horizontal="left" wrapText="1" indent="2"/>
    </xf>
    <xf numFmtId="0" fontId="11" fillId="17" borderId="25" xfId="0" applyFont="1" applyFill="1" applyBorder="1" applyAlignment="1">
      <alignment horizontal="center" vertical="center" wrapText="1"/>
    </xf>
    <xf numFmtId="164" fontId="0" fillId="7" borderId="1" xfId="3" applyNumberFormat="1" applyFont="1" applyFill="1" applyBorder="1"/>
    <xf numFmtId="166" fontId="0" fillId="0" borderId="2" xfId="4" applyNumberFormat="1" applyFont="1" applyBorder="1" applyAlignment="1">
      <alignment horizontal="right"/>
    </xf>
    <xf numFmtId="166" fontId="0" fillId="7" borderId="9" xfId="4" applyNumberFormat="1" applyFont="1" applyFill="1" applyBorder="1" applyAlignment="1">
      <alignment horizontal="right"/>
    </xf>
    <xf numFmtId="166" fontId="0" fillId="0" borderId="1" xfId="0" applyNumberFormat="1" applyBorder="1" applyAlignment="1">
      <alignment horizontal="right" vertical="top" wrapText="1"/>
    </xf>
    <xf numFmtId="166" fontId="0" fillId="0" borderId="2" xfId="5" applyNumberFormat="1" applyFont="1" applyBorder="1" applyAlignment="1">
      <alignment horizontal="right"/>
    </xf>
    <xf numFmtId="0" fontId="0" fillId="0" borderId="16" xfId="0" applyBorder="1" applyProtection="1">
      <protection locked="0"/>
    </xf>
    <xf numFmtId="1" fontId="0" fillId="0" borderId="1" xfId="0" applyNumberFormat="1" applyBorder="1" applyAlignment="1" applyProtection="1">
      <alignment horizontal="center"/>
      <protection locked="0"/>
    </xf>
    <xf numFmtId="164" fontId="0" fillId="0" borderId="1" xfId="3" applyNumberFormat="1" applyFont="1" applyFill="1" applyBorder="1" applyAlignment="1" applyProtection="1">
      <alignment horizontal="center"/>
      <protection locked="0"/>
    </xf>
    <xf numFmtId="0" fontId="1" fillId="0" borderId="26" xfId="0" applyFont="1" applyBorder="1" applyAlignment="1">
      <alignment vertical="top"/>
    </xf>
    <xf numFmtId="0" fontId="0" fillId="0" borderId="26" xfId="0" applyBorder="1" applyAlignment="1">
      <alignment vertical="top"/>
    </xf>
    <xf numFmtId="0" fontId="0" fillId="0" borderId="26" xfId="0" applyBorder="1" applyAlignment="1">
      <alignment horizontal="left" vertical="top" wrapText="1"/>
    </xf>
    <xf numFmtId="164" fontId="4" fillId="18" borderId="1" xfId="3" applyNumberFormat="1" applyFont="1" applyFill="1" applyBorder="1" applyAlignment="1">
      <alignment horizontal="center"/>
    </xf>
    <xf numFmtId="168" fontId="4" fillId="18" borderId="26" xfId="4" applyNumberFormat="1" applyFont="1" applyFill="1" applyBorder="1" applyAlignment="1">
      <alignment horizontal="center"/>
    </xf>
    <xf numFmtId="0" fontId="11" fillId="17" borderId="11" xfId="0" applyFont="1" applyFill="1" applyBorder="1" applyAlignment="1">
      <alignment horizontal="center" vertical="center" wrapText="1"/>
    </xf>
    <xf numFmtId="0" fontId="11" fillId="17" borderId="6" xfId="0" applyFont="1" applyFill="1" applyBorder="1" applyAlignment="1">
      <alignment horizontal="center" vertical="center" wrapText="1"/>
    </xf>
    <xf numFmtId="168" fontId="4" fillId="18" borderId="27" xfId="4" applyNumberFormat="1" applyFont="1" applyFill="1" applyBorder="1" applyAlignment="1">
      <alignment horizontal="center"/>
    </xf>
    <xf numFmtId="0" fontId="11" fillId="17" borderId="28" xfId="0" applyFont="1" applyFill="1" applyBorder="1" applyAlignment="1">
      <alignment horizontal="center" vertical="center" wrapText="1"/>
    </xf>
    <xf numFmtId="164" fontId="19" fillId="0" borderId="1" xfId="3" applyNumberFormat="1" applyFont="1" applyFill="1" applyBorder="1" applyAlignment="1" applyProtection="1">
      <alignment horizontal="center"/>
    </xf>
    <xf numFmtId="166" fontId="19" fillId="0" borderId="1" xfId="5" applyNumberFormat="1" applyFont="1" applyFill="1" applyBorder="1" applyAlignment="1" applyProtection="1">
      <alignment horizontal="center"/>
    </xf>
    <xf numFmtId="37" fontId="5" fillId="0" borderId="1" xfId="3" applyNumberFormat="1" applyFont="1" applyFill="1" applyBorder="1" applyAlignment="1" applyProtection="1">
      <alignment horizontal="center"/>
      <protection locked="0"/>
    </xf>
    <xf numFmtId="37" fontId="0" fillId="0" borderId="1" xfId="4" applyNumberFormat="1" applyFont="1" applyBorder="1" applyProtection="1">
      <protection locked="0"/>
    </xf>
    <xf numFmtId="3" fontId="0" fillId="0" borderId="1" xfId="3" applyNumberFormat="1" applyFont="1" applyFill="1" applyBorder="1" applyAlignment="1" applyProtection="1">
      <alignment horizontal="center"/>
      <protection locked="0"/>
    </xf>
    <xf numFmtId="3" fontId="0" fillId="0" borderId="9" xfId="3" applyNumberFormat="1" applyFont="1" applyFill="1" applyBorder="1" applyAlignment="1" applyProtection="1">
      <alignment horizontal="center"/>
      <protection locked="0"/>
    </xf>
    <xf numFmtId="37" fontId="0" fillId="0" borderId="1" xfId="3" applyNumberFormat="1" applyFont="1" applyFill="1" applyBorder="1" applyAlignment="1" applyProtection="1">
      <alignment horizontal="center"/>
      <protection locked="0"/>
    </xf>
    <xf numFmtId="37" fontId="0" fillId="0" borderId="9" xfId="3" applyNumberFormat="1" applyFont="1" applyFill="1" applyBorder="1" applyAlignment="1" applyProtection="1">
      <alignment horizontal="center"/>
      <protection locked="0"/>
    </xf>
    <xf numFmtId="0" fontId="0" fillId="12" borderId="26"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2" borderId="5" xfId="0" applyFill="1" applyBorder="1" applyAlignment="1" applyProtection="1">
      <alignment horizontal="center"/>
      <protection hidden="1"/>
    </xf>
    <xf numFmtId="43" fontId="0" fillId="7" borderId="9" xfId="4" applyFont="1" applyFill="1" applyBorder="1"/>
    <xf numFmtId="44" fontId="0" fillId="0" borderId="1" xfId="3" applyFont="1" applyBorder="1" applyAlignment="1">
      <alignment horizontal="right"/>
    </xf>
    <xf numFmtId="44" fontId="0" fillId="7" borderId="1" xfId="3" applyFont="1" applyFill="1" applyBorder="1" applyAlignment="1">
      <alignment horizontal="right"/>
    </xf>
    <xf numFmtId="43" fontId="0" fillId="0" borderId="1" xfId="4" applyFont="1" applyBorder="1" applyAlignment="1">
      <alignment horizontal="right"/>
    </xf>
    <xf numFmtId="44" fontId="0" fillId="0" borderId="1" xfId="3" applyFont="1" applyFill="1" applyBorder="1" applyAlignment="1">
      <alignment horizontal="right"/>
    </xf>
    <xf numFmtId="44" fontId="1" fillId="7" borderId="1" xfId="3" applyFont="1" applyFill="1" applyBorder="1" applyAlignment="1">
      <alignment horizontal="right"/>
    </xf>
    <xf numFmtId="44" fontId="11" fillId="10" borderId="1" xfId="3" applyFont="1" applyFill="1" applyBorder="1" applyAlignment="1">
      <alignment horizontal="right"/>
    </xf>
    <xf numFmtId="166" fontId="11" fillId="10" borderId="1" xfId="3" applyNumberFormat="1" applyFont="1" applyFill="1" applyBorder="1" applyAlignment="1">
      <alignment horizontal="right"/>
    </xf>
    <xf numFmtId="166" fontId="0" fillId="0" borderId="2" xfId="5" applyNumberFormat="1" applyFont="1" applyFill="1" applyBorder="1" applyAlignment="1">
      <alignment horizontal="right"/>
    </xf>
    <xf numFmtId="166" fontId="11" fillId="11" borderId="2" xfId="5" applyNumberFormat="1" applyFont="1" applyFill="1" applyBorder="1" applyAlignment="1">
      <alignment horizontal="right"/>
    </xf>
    <xf numFmtId="0" fontId="0" fillId="0" borderId="10" xfId="0" applyBorder="1" applyAlignment="1">
      <alignment horizontal="left" wrapText="1"/>
    </xf>
    <xf numFmtId="0" fontId="1" fillId="7" borderId="10" xfId="0" applyFont="1" applyFill="1" applyBorder="1" applyAlignment="1">
      <alignment horizontal="left" wrapText="1"/>
    </xf>
    <xf numFmtId="0" fontId="11" fillId="10" borderId="10" xfId="0" applyFont="1" applyFill="1" applyBorder="1" applyAlignment="1">
      <alignment horizontal="left" wrapText="1"/>
    </xf>
    <xf numFmtId="166" fontId="0" fillId="7" borderId="2" xfId="5" applyNumberFormat="1" applyFont="1" applyFill="1" applyBorder="1" applyAlignment="1">
      <alignment horizontal="right"/>
    </xf>
    <xf numFmtId="0" fontId="1" fillId="7" borderId="1" xfId="3" applyNumberFormat="1" applyFont="1" applyFill="1" applyBorder="1" applyAlignment="1">
      <alignment horizontal="right"/>
    </xf>
    <xf numFmtId="0" fontId="0" fillId="0" borderId="9" xfId="0" applyBorder="1" applyAlignment="1">
      <alignment horizontal="center"/>
    </xf>
    <xf numFmtId="0" fontId="0" fillId="0" borderId="3" xfId="0" applyBorder="1" applyAlignment="1">
      <alignment horizontal="center"/>
    </xf>
    <xf numFmtId="8" fontId="0" fillId="0" borderId="1" xfId="0" applyNumberFormat="1" applyBorder="1" applyProtection="1">
      <protection locked="0"/>
    </xf>
    <xf numFmtId="8" fontId="21" fillId="0" borderId="1" xfId="0" applyNumberFormat="1" applyFont="1" applyBorder="1" applyAlignment="1" applyProtection="1">
      <alignment vertical="center"/>
      <protection locked="0"/>
    </xf>
    <xf numFmtId="168" fontId="4" fillId="18" borderId="1" xfId="4" applyNumberFormat="1" applyFont="1" applyFill="1" applyBorder="1" applyAlignment="1">
      <alignment horizontal="center"/>
    </xf>
    <xf numFmtId="166" fontId="19" fillId="0" borderId="2" xfId="5" applyNumberFormat="1" applyFont="1" applyFill="1" applyBorder="1" applyAlignment="1" applyProtection="1">
      <alignment horizontal="center"/>
    </xf>
    <xf numFmtId="0" fontId="0" fillId="0" borderId="5" xfId="0" applyBorder="1" applyProtection="1">
      <protection locked="0"/>
    </xf>
    <xf numFmtId="164" fontId="5" fillId="0" borderId="9" xfId="3" applyNumberFormat="1" applyFont="1" applyFill="1" applyBorder="1" applyAlignment="1" applyProtection="1">
      <alignment horizontal="center"/>
      <protection locked="0"/>
    </xf>
    <xf numFmtId="37" fontId="5" fillId="0" borderId="9" xfId="3" applyNumberFormat="1" applyFont="1" applyFill="1" applyBorder="1" applyAlignment="1" applyProtection="1">
      <alignment horizontal="center"/>
      <protection locked="0"/>
    </xf>
    <xf numFmtId="164" fontId="4" fillId="0" borderId="9" xfId="3" applyNumberFormat="1" applyFont="1" applyFill="1" applyBorder="1" applyAlignment="1" applyProtection="1">
      <alignment horizontal="center"/>
    </xf>
    <xf numFmtId="164" fontId="19" fillId="0" borderId="9" xfId="3" applyNumberFormat="1" applyFont="1" applyFill="1" applyBorder="1" applyAlignment="1" applyProtection="1">
      <alignment horizontal="center"/>
    </xf>
    <xf numFmtId="166" fontId="19" fillId="0" borderId="3" xfId="5" applyNumberFormat="1" applyFont="1" applyFill="1" applyBorder="1" applyAlignment="1" applyProtection="1">
      <alignment horizontal="center"/>
    </xf>
    <xf numFmtId="0" fontId="11" fillId="4" borderId="0" xfId="0" applyFont="1" applyFill="1" applyAlignment="1">
      <alignment horizontal="center" wrapText="1"/>
    </xf>
    <xf numFmtId="0" fontId="26" fillId="8" borderId="0" xfId="0" applyFont="1" applyFill="1" applyAlignment="1">
      <alignment horizontal="center" vertical="center"/>
    </xf>
    <xf numFmtId="0" fontId="28" fillId="8" borderId="0" xfId="0" applyFont="1" applyFill="1" applyAlignment="1">
      <alignment horizontal="center" vertical="center"/>
    </xf>
    <xf numFmtId="0" fontId="26" fillId="20" borderId="0" xfId="0" applyFont="1" applyFill="1" applyAlignment="1">
      <alignment horizontal="center" vertical="center"/>
    </xf>
    <xf numFmtId="0" fontId="28" fillId="2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4" fillId="0" borderId="0" xfId="6" applyAlignment="1">
      <alignment horizontal="center"/>
    </xf>
    <xf numFmtId="0" fontId="24" fillId="0" borderId="0" xfId="6" applyAlignment="1">
      <alignment horizontal="center" wrapText="1"/>
    </xf>
    <xf numFmtId="0" fontId="26" fillId="21" borderId="0" xfId="0" applyFont="1" applyFill="1" applyAlignment="1">
      <alignment horizontal="center" vertical="center"/>
    </xf>
    <xf numFmtId="0" fontId="8" fillId="0" borderId="0" xfId="0" applyFont="1" applyAlignment="1">
      <alignment horizontal="center" vertical="center" wrapText="1"/>
    </xf>
    <xf numFmtId="0" fontId="8" fillId="2" borderId="3" xfId="0" applyFont="1" applyFill="1" applyBorder="1" applyAlignment="1">
      <alignment horizontal="center" wrapText="1"/>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1" fillId="2" borderId="2" xfId="0" applyFont="1" applyFill="1" applyBorder="1" applyAlignment="1">
      <alignment horizontal="center"/>
    </xf>
    <xf numFmtId="0" fontId="1" fillId="2" borderId="15" xfId="0" applyFont="1" applyFill="1" applyBorder="1" applyAlignment="1">
      <alignment horizontal="center"/>
    </xf>
    <xf numFmtId="0" fontId="1" fillId="2" borderId="10" xfId="0" applyFont="1" applyFill="1" applyBorder="1" applyAlignment="1">
      <alignment horizontal="center"/>
    </xf>
    <xf numFmtId="0" fontId="17" fillId="0" borderId="0" xfId="0" applyFont="1" applyAlignment="1">
      <alignment horizontal="left" vertical="top" wrapText="1"/>
    </xf>
    <xf numFmtId="0" fontId="16" fillId="14" borderId="2" xfId="0" applyFont="1" applyFill="1" applyBorder="1" applyAlignment="1">
      <alignment horizontal="center" vertical="center" wrapText="1"/>
    </xf>
    <xf numFmtId="0" fontId="16" fillId="14" borderId="15" xfId="0" applyFont="1" applyFill="1" applyBorder="1" applyAlignment="1">
      <alignment horizontal="center" vertical="center" wrapText="1"/>
    </xf>
    <xf numFmtId="0" fontId="23" fillId="15" borderId="1" xfId="0" applyFont="1" applyFill="1" applyBorder="1" applyAlignment="1">
      <alignment horizontal="center"/>
    </xf>
    <xf numFmtId="0" fontId="23" fillId="19" borderId="1" xfId="0" applyFont="1" applyFill="1" applyBorder="1" applyAlignment="1">
      <alignment horizontal="center"/>
    </xf>
    <xf numFmtId="0" fontId="16" fillId="14" borderId="1" xfId="0" applyFont="1" applyFill="1" applyBorder="1" applyAlignment="1">
      <alignment horizontal="center" vertical="center" wrapText="1"/>
    </xf>
  </cellXfs>
  <cellStyles count="7">
    <cellStyle name="Comma" xfId="4" builtinId="3"/>
    <cellStyle name="Comma 2" xfId="2" xr:uid="{00000000-0005-0000-0000-000001000000}"/>
    <cellStyle name="Currency" xfId="3" builtinId="4"/>
    <cellStyle name="Hyperlink" xfId="6" builtinId="8"/>
    <cellStyle name="Normal" xfId="0" builtinId="0"/>
    <cellStyle name="Normal 2" xfId="1" xr:uid="{00000000-0005-0000-0000-000004000000}"/>
    <cellStyle name="Percent" xfId="5" builtinId="5"/>
  </cellStyles>
  <dxfs count="301">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bgColor theme="6"/>
        </patternFill>
      </fill>
    </dxf>
    <dxf>
      <fill>
        <patternFill>
          <bgColor rgb="FFC00000"/>
        </patternFill>
      </fill>
    </dxf>
    <dxf>
      <fill>
        <patternFill>
          <bgColor theme="6"/>
        </patternFill>
      </fill>
    </dxf>
    <dxf>
      <fill>
        <patternFill>
          <bgColor rgb="FFC00000"/>
        </patternFill>
      </fill>
    </dxf>
    <dxf>
      <font>
        <color rgb="FF9C0006"/>
      </font>
      <fill>
        <patternFill>
          <bgColor rgb="FFFF9999"/>
        </patternFill>
      </fill>
    </dxf>
    <dxf>
      <fill>
        <patternFill>
          <bgColor theme="6"/>
        </patternFill>
      </fill>
    </dxf>
    <dxf>
      <fill>
        <patternFill>
          <bgColor theme="6"/>
        </patternFill>
      </fill>
    </dxf>
    <dxf>
      <fill>
        <patternFill>
          <bgColor rgb="FFFFC7CE"/>
        </patternFill>
      </fill>
    </dxf>
    <dxf>
      <font>
        <color rgb="FF006100"/>
      </font>
      <fill>
        <patternFill>
          <bgColor theme="6"/>
        </patternFill>
      </fill>
    </dxf>
    <dxf>
      <fill>
        <patternFill>
          <bgColor theme="5" tint="0.59996337778862885"/>
        </patternFill>
      </fill>
    </dxf>
    <dxf>
      <font>
        <color rgb="FF006100"/>
      </font>
      <fill>
        <patternFill>
          <bgColor theme="6"/>
        </patternFill>
      </fill>
    </dxf>
    <dxf>
      <fill>
        <patternFill>
          <bgColor theme="5" tint="0.59996337778862885"/>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ont>
        <color rgb="FF006100"/>
      </font>
      <fill>
        <patternFill>
          <bgColor theme="6"/>
        </patternFill>
      </fill>
    </dxf>
    <dxf>
      <fill>
        <patternFill>
          <bgColor theme="5" tint="0.59996337778862885"/>
        </patternFill>
      </fill>
    </dxf>
    <dxf>
      <fill>
        <patternFill>
          <bgColor theme="6"/>
        </patternFill>
      </fill>
    </dxf>
    <dxf>
      <fill>
        <patternFill>
          <bgColor rgb="FFFFC7CE"/>
        </patternFill>
      </fill>
    </dxf>
    <dxf>
      <font>
        <color rgb="FF9C0006"/>
      </font>
      <fill>
        <patternFill>
          <bgColor rgb="FFFF9999"/>
        </patternFill>
      </fill>
    </dxf>
    <dxf>
      <fill>
        <patternFill>
          <bgColor theme="6"/>
        </patternFill>
      </fill>
    </dxf>
    <dxf>
      <fill>
        <patternFill>
          <bgColor rgb="FFFFC7CE"/>
        </patternFill>
      </fill>
    </dxf>
    <dxf>
      <fill>
        <patternFill>
          <bgColor theme="6" tint="0.39994506668294322"/>
        </patternFill>
      </fill>
    </dxf>
    <dxf>
      <fill>
        <patternFill>
          <bgColor theme="5" tint="0.39994506668294322"/>
        </patternFill>
      </fill>
    </dxf>
    <dxf>
      <fill>
        <patternFill>
          <bgColor theme="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FFC7CE"/>
        </patternFill>
      </fill>
    </dxf>
    <dxf>
      <fill>
        <patternFill>
          <bgColor rgb="FFFFC7CE"/>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FFC7CE"/>
        </patternFill>
      </fill>
    </dxf>
    <dxf>
      <fill>
        <patternFill>
          <bgColor rgb="FFFFC7CE"/>
        </patternFill>
      </fill>
    </dxf>
    <dxf>
      <fill>
        <patternFill>
          <bgColor theme="6"/>
        </patternFill>
      </fill>
    </dxf>
    <dxf>
      <fill>
        <patternFill>
          <bgColor rgb="FFC00000"/>
        </patternFill>
      </fill>
    </dxf>
    <dxf>
      <font>
        <color auto="1"/>
      </font>
      <fill>
        <patternFill patternType="solid">
          <fgColor indexed="64"/>
          <bgColor theme="1"/>
        </patternFill>
      </fill>
      <border diagonalUp="0" diagonalDown="0">
        <left style="thin">
          <color indexed="64"/>
        </left>
        <right/>
        <top style="thin">
          <color indexed="64"/>
        </top>
        <bottom style="thin">
          <color indexed="64"/>
        </bottom>
        <vertical/>
        <horizontal/>
      </border>
    </dxf>
    <dxf>
      <font>
        <color auto="1"/>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tint="4.9989318521683403E-2"/>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outline="0">
        <left style="thin">
          <color indexed="64"/>
        </left>
        <right style="thin">
          <color indexed="64"/>
        </right>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border>
      <protection locked="1" hidden="1"/>
    </dxf>
    <dxf>
      <numFmt numFmtId="166" formatCode="0.0%"/>
      <fill>
        <patternFill patternType="none">
          <fgColor indexed="64"/>
          <bgColor auto="1"/>
        </patternFill>
      </fill>
      <alignment horizontal="right" vertical="bottom" textRotation="0" indent="0" justifyLastLine="0" shrinkToFit="0" readingOrder="0"/>
      <border diagonalUp="0" diagonalDown="0" outline="0">
        <left style="thin">
          <color indexed="64"/>
        </left>
        <right/>
        <top style="thin">
          <color indexed="64"/>
        </top>
        <bottom style="thin">
          <color indexed="64"/>
        </bottom>
      </border>
    </dxf>
    <dxf>
      <alignment horizontal="right" vertical="bottom" textRotation="0" indent="0" justifyLastLine="0" shrinkToFit="0" readingOrder="0"/>
    </dxf>
    <dxf>
      <fill>
        <patternFill patternType="none">
          <fgColor indexed="64"/>
          <bgColor auto="1"/>
        </patternFill>
      </fill>
      <alignment horizontal="righ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right" vertical="bottom" textRotation="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6" formatCode="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34" formatCode="_(&quot;$&quot;* #,##0.00_);_(&quot;$&quot;* \(#,##0.00\);_(&quot;$&quot;* &quot;-&quot;??_);_(@_)"/>
      <alignment horizontal="right" vertical="bottom" textRotation="0" wrapText="0" indent="0" justifyLastLine="0" shrinkToFit="0" readingOrder="0"/>
      <border outline="0">
        <right style="thin">
          <color indexed="64"/>
        </right>
      </border>
    </dxf>
    <dxf>
      <numFmt numFmtId="34" formatCode="_(&quot;$&quot;* #,##0.00_);_(&quot;$&quot;* \(#,##0.00\);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6" formatCode="0.0%"/>
      <alignment horizontal="right"/>
      <border diagonalUp="0" diagonalDown="0">
        <left style="thin">
          <color indexed="64"/>
        </left>
        <right/>
        <top style="thin">
          <color indexed="64"/>
        </top>
        <bottom style="thin">
          <color indexed="64"/>
        </bottom>
      </border>
    </dxf>
    <dxf>
      <numFmt numFmtId="164" formatCode="_(&quot;$&quot;* #,##0_);_(&quot;$&quot;* \(#,##0\);_(&quot;$&quot;* &quot;-&quot;??_);_(@_)"/>
    </dxf>
    <dxf>
      <numFmt numFmtId="164" formatCode="_(&quot;$&quot;* #,##0_);_(&quot;$&quot;* \(#,##0\);_(&quot;$&quot;* &quot;-&quot;??_);_(@_)"/>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6" formatCode="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right" vertical="bottom" textRotation="0" wrapText="0" indent="0" justifyLastLine="0" shrinkToFit="0" readingOrder="0"/>
      <border outline="0">
        <right style="thin">
          <color indexed="64"/>
        </right>
      </border>
    </dxf>
    <dxf>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dxf>
    <dxf>
      <numFmt numFmtId="166" formatCode="0.0%"/>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right" vertical="bottom" textRotation="0" wrapText="0" indent="0" justifyLastLine="0" shrinkToFit="0" readingOrder="0"/>
      <border outline="0">
        <right style="thin">
          <color indexed="64"/>
        </right>
      </border>
    </dxf>
    <dxf>
      <alignment horizontal="right" vertical="bottom" textRotation="0" wrapText="0" indent="0" justifyLastLine="0" shrinkToFit="0" readingOrder="0"/>
      <border outline="0">
        <right style="thin">
          <color indexed="64"/>
        </right>
      </border>
    </dxf>
    <dxf>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6" formatCode="0.0%"/>
      <alignment horizontal="right"/>
      <border diagonalUp="0" diagonalDown="0">
        <left style="thin">
          <color indexed="64"/>
        </left>
        <right/>
        <top style="thin">
          <color indexed="64"/>
        </top>
        <bottom style="thin">
          <color indexed="64"/>
        </bottom>
      </border>
    </dxf>
    <dxf>
      <numFmt numFmtId="164" formatCode="_(&quot;$&quot;* #,##0_);_(&quot;$&quot;* \(#,##0\);_(&quot;$&quot;* &quot;-&quot;??_);_(@_)"/>
    </dxf>
    <dxf>
      <numFmt numFmtId="164" formatCode="_(&quot;$&quot;* #,##0_);_(&quot;$&quot;* \(#,##0\);_(&quot;$&quot;* &quot;-&quot;??_);_(@_)"/>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6" formatCode="0.0%"/>
      <alignment horizontal="right"/>
      <border diagonalUp="0" diagonalDown="0">
        <left style="thin">
          <color indexed="64"/>
        </left>
        <right/>
        <top style="thin">
          <color indexed="64"/>
        </top>
        <bottom style="thin">
          <color indexed="64"/>
        </bottom>
      </border>
    </dxf>
    <dxf>
      <numFmt numFmtId="3" formatCode="#,##0"/>
      <alignment horizontal="center"/>
      <border diagonalUp="0" diagonalDown="0">
        <left style="thin">
          <color indexed="64"/>
        </left>
        <right style="thin">
          <color indexed="64"/>
        </right>
        <top style="thin">
          <color indexed="64"/>
        </top>
        <bottom style="thin">
          <color indexed="64"/>
        </bottom>
      </border>
    </dxf>
    <dxf>
      <numFmt numFmtId="3" formatCode="#,##0"/>
      <alignment horizontal="cent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5" formatCode="#,##0_);\(#,##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strike val="0"/>
        <condense val="0"/>
        <extend val="0"/>
        <outline val="0"/>
        <shadow val="0"/>
        <u val="none"/>
        <vertAlign val="baseline"/>
        <sz val="11"/>
        <color theme="1"/>
        <name val="Calibri"/>
        <family val="2"/>
        <scheme val="minor"/>
      </font>
      <numFmt numFmtId="3" formatCode="#,##0"/>
      <border diagonalUp="0" diagonalDown="0">
        <left style="thin">
          <color indexed="64"/>
        </left>
        <right/>
        <top style="thin">
          <color indexed="64"/>
        </top>
        <bottom style="thin">
          <color indexed="64"/>
        </bottom>
        <vertical/>
        <horizontal/>
      </border>
      <protection locked="0" hidden="0"/>
    </dxf>
    <dxf>
      <numFmt numFmtId="3" formatCode="#,##0"/>
      <border diagonalUp="0" diagonalDown="0">
        <left style="thin">
          <color indexed="64"/>
        </left>
        <right/>
        <top style="thin">
          <color indexed="64"/>
        </top>
        <bottom style="thin">
          <color indexed="64"/>
        </bottom>
        <vertical/>
        <horizontal/>
      </border>
      <protection locked="0" hidden="0"/>
    </dxf>
    <dxf>
      <numFmt numFmtId="3" formatCode="#,##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strike val="0"/>
        <condense val="0"/>
        <extend val="0"/>
        <outline val="0"/>
        <shadow val="0"/>
        <u val="none"/>
        <vertAlign val="baseline"/>
        <sz val="11"/>
        <color theme="1"/>
        <name val="Calibri"/>
        <family val="2"/>
        <scheme val="minor"/>
      </font>
      <numFmt numFmtId="3" formatCode="#,##0"/>
      <border diagonalUp="0" diagonalDown="0">
        <left style="thin">
          <color indexed="64"/>
        </left>
        <right/>
        <top style="thin">
          <color indexed="64"/>
        </top>
        <bottom style="thin">
          <color indexed="64"/>
        </bottom>
        <vertical/>
        <horizontal/>
      </border>
      <protection locked="0" hidden="0"/>
    </dxf>
    <dxf>
      <numFmt numFmtId="3" formatCode="#,##0"/>
      <border diagonalUp="0" diagonalDown="0">
        <left style="thin">
          <color indexed="64"/>
        </left>
        <right/>
        <top style="thin">
          <color indexed="64"/>
        </top>
        <bottom style="thin">
          <color indexed="64"/>
        </bottom>
        <vertical/>
        <horizontal/>
      </border>
      <protection locked="0" hidden="0"/>
    </dxf>
    <dxf>
      <numFmt numFmtId="3" formatCode="#,##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5" formatCode="#,##0_);\(#,##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5" formatCode="#,##0_);\(#,##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i val="0"/>
      </font>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6" formatCode="0.0%"/>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none"/>
      </font>
      <numFmt numFmtId="168" formatCode="_([$$-409]* #,##0.00_);_([$$-409]* \(#,##0.00\);_([$$-409]*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8"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5" formatCode="#,##0_);\(#,##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6" formatCode="0.0%"/>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none"/>
      </font>
      <numFmt numFmtId="168" formatCode="_([$$-409]* #,##0.00_);_([$$-409]* \(#,##0.00\);_([$$-409]*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8"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5" formatCode="#,##0_);\(#,##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color auto="1"/>
      </font>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4" tint="-0.249977111117893"/>
        </patternFill>
      </fill>
      <alignment horizontal="center" vertical="bottom" textRotation="0" wrapText="0" indent="0" justifyLastLine="0" shrinkToFit="0" readingOrder="0"/>
    </dxf>
    <dxf>
      <alignment horizontal="center" vertical="bottom" textRotation="0" wrapText="1" indent="0" justifyLastLine="0" shrinkToFit="0" readingOrder="0"/>
    </dxf>
    <dxf>
      <numFmt numFmtId="1" formatCode="0"/>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fill>
        <patternFill patternType="none">
          <fgColor indexed="64"/>
          <bgColor indexed="65"/>
        </patternFill>
      </fill>
      <alignment horizontal="center" vertical="bottom" textRotation="0" wrapText="1"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alignment horizontal="center" vertical="center" textRotation="0" wrapText="0" indent="0" justifyLastLine="0" shrinkToFit="0" readingOrder="0"/>
    </dxf>
    <dxf>
      <numFmt numFmtId="169" formatCode="[$-F800]dddd\,\ mmmm\ d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538DD5"/>
      <color rgb="FFFFC7CE"/>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2981325</xdr:colOff>
      <xdr:row>33</xdr:row>
      <xdr:rowOff>990600</xdr:rowOff>
    </xdr:from>
    <xdr:to>
      <xdr:col>1</xdr:col>
      <xdr:colOff>5444832</xdr:colOff>
      <xdr:row>34</xdr:row>
      <xdr:rowOff>210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34075" y="38900100"/>
          <a:ext cx="2448267" cy="1505160"/>
        </a:xfrm>
        <a:prstGeom prst="rect">
          <a:avLst/>
        </a:prstGeom>
      </xdr:spPr>
    </xdr:pic>
    <xdr:clientData/>
  </xdr:twoCellAnchor>
  <xdr:twoCellAnchor editAs="oneCell">
    <xdr:from>
      <xdr:col>1</xdr:col>
      <xdr:colOff>2893219</xdr:colOff>
      <xdr:row>38</xdr:row>
      <xdr:rowOff>952500</xdr:rowOff>
    </xdr:from>
    <xdr:to>
      <xdr:col>1</xdr:col>
      <xdr:colOff>4498499</xdr:colOff>
      <xdr:row>39</xdr:row>
      <xdr:rowOff>3175</xdr:rowOff>
    </xdr:to>
    <xdr:pic>
      <xdr:nvPicPr>
        <xdr:cNvPr id="8" name="Picture 7" descr="Text&#10;&#10;Description automatically generated">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5845969" y="42729150"/>
          <a:ext cx="1605280" cy="3175"/>
        </a:xfrm>
        <a:prstGeom prst="rect">
          <a:avLst/>
        </a:prstGeom>
      </xdr:spPr>
    </xdr:pic>
    <xdr:clientData/>
  </xdr:twoCellAnchor>
  <xdr:twoCellAnchor editAs="oneCell">
    <xdr:from>
      <xdr:col>1</xdr:col>
      <xdr:colOff>2457451</xdr:colOff>
      <xdr:row>45</xdr:row>
      <xdr:rowOff>817880</xdr:rowOff>
    </xdr:from>
    <xdr:to>
      <xdr:col>1</xdr:col>
      <xdr:colOff>4758691</xdr:colOff>
      <xdr:row>45</xdr:row>
      <xdr:rowOff>2168707</xdr:rowOff>
    </xdr:to>
    <xdr:pic>
      <xdr:nvPicPr>
        <xdr:cNvPr id="9" name="Picture 8" descr="Text&#10;&#10;Description automatically generated">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5495926" y="44194730"/>
          <a:ext cx="2293620" cy="13336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E84299-F9EF-4868-9F09-A2C590F8840F}" name="InsurerFilingSchedule" displayName="InsurerFilingSchedule" ref="A4:B10" totalsRowShown="0" headerRowDxfId="300" dataDxfId="299">
  <autoFilter ref="A4:B10" xr:uid="{8B86219A-D80A-4537-937F-4E9F3EF6919E}"/>
  <tableColumns count="2">
    <tableColumn id="1" xr3:uid="{3370217B-A4B3-48B7-A19A-C883EC32629F}" name="Insurers' TME Filing Schedule Date" dataDxfId="298"/>
    <tableColumn id="2" xr3:uid="{6F847357-AB38-462F-82E4-3701AF91DB40}" name="Files Due" dataDxfId="29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C3062C-65A8-4A2F-82CC-14068DFA937C}" name="TME_BY" displayName="TME_BY" ref="A10:AC12" totalsRowShown="0" headerRowDxfId="256" dataDxfId="254" headerRowBorderDxfId="255" tableBorderDxfId="253" totalsRowBorderDxfId="252" dataCellStyle="Currency">
  <autoFilter ref="A10:AC12" xr:uid="{7EAEA293-1E72-499F-9FE1-477D513A5A8A}"/>
  <tableColumns count="29">
    <tableColumn id="1" xr3:uid="{7E8110CC-5D73-4420-ABB5-94AB8FD52D0C}" name="OSC Org ID" dataDxfId="251"/>
    <tableColumn id="2" xr3:uid="{83B3F42E-9323-49B0-98B7-211535CF1A6E}" name="Insurance Category Code" dataDxfId="250"/>
    <tableColumn id="3" xr3:uid="{F85AD8B5-8FFE-4272-8187-7AF686719BEB}" name="Member Months" dataDxfId="249"/>
    <tableColumn id="5" xr3:uid="{5FEAD16F-872C-40D2-A1FE-3966F3949715}" name="Claims: Hospital Inpatient" dataDxfId="248" dataCellStyle="Currency"/>
    <tableColumn id="6" xr3:uid="{87ACD8B9-F1C7-4FDF-AF6C-4FABC33294C8}" name="Claims: Hospital Outpatient" dataDxfId="247" dataCellStyle="Currency"/>
    <tableColumn id="7" xr3:uid="{93DC2D22-0BA7-4D5D-93D7-42454588E853}" name="Claims: Professional, Primary Care" dataDxfId="246" dataCellStyle="Currency"/>
    <tableColumn id="8" xr3:uid="{AE9B2CDA-FBB7-4960-872E-59BAB0EEF85D}" name="Claims: Professional, Primary Care (for Monitoring Purposes)" dataDxfId="245" dataCellStyle="Currency"/>
    <tableColumn id="9" xr3:uid="{439A5B5D-2D21-478B-BC18-F2D8B66616A3}" name="Claims: Professional, Specialty" dataDxfId="244" dataCellStyle="Currency"/>
    <tableColumn id="10" xr3:uid="{38BAFD47-312E-4129-93E3-806117274114}" name="Claims: Professional Other" dataDxfId="243" dataCellStyle="Currency"/>
    <tableColumn id="11" xr3:uid="{DE2E6A95-2CED-4B38-B0EA-A169DD92938A}" name="Claims: Pharmacy" dataDxfId="242" dataCellStyle="Currency"/>
    <tableColumn id="12" xr3:uid="{EEF876AB-E539-4292-9B44-872BAB8F1053}" name="Claims: Long-Term Care" dataDxfId="241" dataCellStyle="Currency"/>
    <tableColumn id="13" xr3:uid="{15F11852-189D-4619-9B78-A02A75E0BDD5}" name="Claims: Other" dataDxfId="240" dataCellStyle="Currency"/>
    <tableColumn id="14" xr3:uid="{FA2174EE-AB58-4C33-AA2D-9FEE04E1B405}" name="Non-Claims: Payments to Support Population Health and Practice Infrastructure" dataDxfId="239" dataCellStyle="Currency"/>
    <tableColumn id="15" xr3:uid="{9D4BCCD9-8E3A-4D4B-8F59-455FCD5B5985}" name="Non-Claims: Performance Payments" dataDxfId="238" dataCellStyle="Currency"/>
    <tableColumn id="16" xr3:uid="{00FE3AE5-AA26-479F-870D-EF13E9CBA5E0}" name="Non-Claims: Shared Savings and Shared Risk Settlements" dataDxfId="237" dataCellStyle="Currency"/>
    <tableColumn id="17" xr3:uid="{D0343846-65DA-47E4-B356-A60AB9D3BDAC}" name="Non-Claims: Capitation and Full Risk Payments" dataDxfId="236" dataCellStyle="Currency"/>
    <tableColumn id="27" xr3:uid="{C04D1DCB-6E85-4AAC-8C50-8CDE8A0FE220}" name="Non-Claims: Other" dataDxfId="235" dataCellStyle="Currency"/>
    <tableColumn id="19" xr3:uid="{693237CD-2292-4CAA-A95E-65839F04F7CE}" name="Non-Claims: Total Primary Care Non-Claims-Based Payments" dataDxfId="234" dataCellStyle="Currency"/>
    <tableColumn id="20" xr3:uid="{F27F13B7-B1EC-4B29-AA86-80615DDC8E1C}" name="Total Claims Excluded because of Truncation" dataDxfId="233" dataCellStyle="Currency"/>
    <tableColumn id="21" xr3:uid="{51D0B0A8-9A90-4614-A50A-E236567B7248}" name="Count of Members with Claims Truncated" dataDxfId="232" dataCellStyle="Currency"/>
    <tableColumn id="22" xr3:uid="{031536F2-6D39-468C-8701-EB43439F30F0}" name="TOTAL Non-Truncated Unadjusted Claims Expenses" dataDxfId="231" dataCellStyle="Currency">
      <calculatedColumnFormula>SUM(D11:F11)+SUM(H11:L11)</calculatedColumnFormula>
    </tableColumn>
    <tableColumn id="25" xr3:uid="{6A814853-730D-4447-AD22-EB8B73731914}" name="TOTAL Truncated Unadjusted Claims Expenses (A21 -A19)" dataDxfId="230" dataCellStyle="Currency">
      <calculatedColumnFormula>TME_BY[[#This Row],[TOTAL Non-Truncated Unadjusted Claims Expenses]]-TME_BY[[#This Row],[Total Claims Excluded because of Truncation]]</calculatedColumnFormula>
    </tableColumn>
    <tableColumn id="23" xr3:uid="{011220E4-2AAE-4377-B02D-90632F447449}" name="TOTAL Non-Claims Expenses" dataDxfId="229" dataCellStyle="Currency">
      <calculatedColumnFormula>SUM(M11:Q11)</calculatedColumnFormula>
    </tableColumn>
    <tableColumn id="26" xr3:uid="{C82E1DF2-49A0-4166-BD03-7476476E0CE3}" name="TOTAL Non-Truncated Unadjusted Expenses (A21 + A23)" dataDxfId="228" dataCellStyle="Currency">
      <calculatedColumnFormula>TME_BY[[#This Row],[TOTAL Non-Truncated Unadjusted Claims Expenses]]+TME_BY[[#This Row],[TOTAL Non-Claims Expenses]]</calculatedColumnFormula>
    </tableColumn>
    <tableColumn id="24" xr3:uid="{F8FB0724-40D5-466C-BF14-F42E9CD5A9C7}" name="TOTAL Truncated Unadjusted Expenses (A22 + A23)" dataDxfId="227" dataCellStyle="Currency">
      <calculatedColumnFormula>TME_BY[[#This Row],[TOTAL Truncated Unadjusted Claims Expenses (A21 -A19)]]+TME_BY[[#This Row],[TOTAL Non-Claims Expenses]]</calculatedColumnFormula>
    </tableColumn>
    <tableColumn id="29" xr3:uid="{61E121A9-9BC1-4A6E-A1E8-8BF0B9A3C3FE}" name="Non-Truncated Unadjusted TME (PMPM) (A24 / A1)" dataDxfId="226" dataCellStyle="Currency">
      <calculatedColumnFormula>IFERROR(TME_BY[[#This Row],[TOTAL Non-Truncated Unadjusted Expenses (A21 + A23)]]/TME_BY[[#This Row],[Member Months]],0)</calculatedColumnFormula>
    </tableColumn>
    <tableColumn id="28" xr3:uid="{947B647F-33F5-4999-ACD0-C59B98FA7410}" name="Truncated Unadjusted TME (PMPM) (A25 / A1)" dataDxfId="225" dataCellStyle="Currency">
      <calculatedColumnFormula>IFERROR(TME_BY[[#This Row],[TOTAL Truncated Unadjusted Expenses (A22 + A23)]]/TME_BY[[#This Row],[Member Months]],0)</calculatedColumnFormula>
    </tableColumn>
    <tableColumn id="30" xr3:uid="{76298438-E468-4758-9738-15C8A9CE0CC5}" name="Average Truncated Claims Per Member" dataDxfId="224" dataCellStyle="Currency"/>
    <tableColumn id="31" xr3:uid="{7E648103-2C57-48D4-9C0C-E82F9AD692BE}" name="Total Claims Excluded (A19)/Total Non-Truncated Claims Expenses (A21)" dataDxfId="223" dataCellStyle="Currency">
      <calculatedColumnFormula>IFERROR(TME_BY[[#This Row],[Total Claims Excluded because of Truncation]]/TME_BY[[#This Row],[TOTAL Non-Truncated Unadjusted Claims Expenses]], "NA")</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4AB7971-F231-41F2-9112-533D4CE4B05A}" name="TME_PY" displayName="TME_PY" ref="A10:AC12" totalsRowShown="0" headerRowDxfId="222" dataDxfId="220" headerRowBorderDxfId="221" tableBorderDxfId="219" totalsRowBorderDxfId="218" dataCellStyle="Currency">
  <autoFilter ref="A10:AC12" xr:uid="{7EAEA293-1E72-499F-9FE1-477D513A5A8A}"/>
  <tableColumns count="29">
    <tableColumn id="1" xr3:uid="{FA543C3F-2A45-477A-A137-80BAB8685E5C}" name="OSC Org ID" dataDxfId="217"/>
    <tableColumn id="2" xr3:uid="{E1FC6ECB-9F0D-4E8C-8065-35174E3F8227}" name="Insurance Category Code" dataDxfId="216"/>
    <tableColumn id="3" xr3:uid="{55058416-2363-48D9-905A-1F9A266A04CE}" name="Member Months" dataDxfId="215"/>
    <tableColumn id="5" xr3:uid="{FC0DC112-08A5-477A-AD53-13BDB83207E7}" name="Claims: Hospital Inpatient" dataDxfId="214" dataCellStyle="Currency"/>
    <tableColumn id="6" xr3:uid="{FA7EB67C-D82A-4852-8A2F-0F4082422E5C}" name="Claims: Hospital Outpatient" dataDxfId="213" dataCellStyle="Currency"/>
    <tableColumn id="7" xr3:uid="{C3E193FB-5D82-42A4-B4AF-32CCC28B7043}" name="Claims: Professional, Primary Care" dataDxfId="212" dataCellStyle="Currency"/>
    <tableColumn id="8" xr3:uid="{A9FDDB75-F814-4C2D-9A21-B2FF3C2AF11D}" name="Claims: Professional, Primary Care (for Monitoring Purposes)" dataDxfId="211" dataCellStyle="Currency"/>
    <tableColumn id="9" xr3:uid="{F6C226F8-663E-438E-8A1B-19A3686D7DE2}" name="Claims: Professional, Specialty" dataDxfId="210" dataCellStyle="Currency"/>
    <tableColumn id="10" xr3:uid="{FCAEBA07-8597-45AB-9B8F-05767E713586}" name="Claims: Professional Other" dataDxfId="209" dataCellStyle="Currency"/>
    <tableColumn id="11" xr3:uid="{ED13C62B-DB4C-485B-A65D-DA01E402284D}" name="Claims: Pharmacy" dataDxfId="208" dataCellStyle="Currency"/>
    <tableColumn id="12" xr3:uid="{4DAC97C9-164E-43F2-81FC-58766617D042}" name="Claims: Long-Term Care" dataDxfId="207" dataCellStyle="Currency"/>
    <tableColumn id="13" xr3:uid="{42934591-CB6F-4FF2-B396-04F145E72C96}" name="Claims: Other" dataDxfId="206" dataCellStyle="Currency"/>
    <tableColumn id="14" xr3:uid="{18056602-DA55-4889-8D27-F9E8B38AC248}" name="Non-Claims: Payments to Support Population Health and Practice Infrastructure" dataDxfId="205" dataCellStyle="Currency"/>
    <tableColumn id="15" xr3:uid="{29FB046A-FC45-4DFE-AF4C-73D1051EE1AB}" name="Non-Claims: Performance Payments" dataDxfId="204" dataCellStyle="Currency"/>
    <tableColumn id="16" xr3:uid="{F89B56D9-B1C7-4357-A13A-CB08E2CE8FC0}" name="Non-Claims: Shared Savings and Shared Risk Settlements" dataDxfId="203" dataCellStyle="Currency"/>
    <tableColumn id="17" xr3:uid="{D686BC78-0D02-4DE2-A512-4958229C04D9}" name="Non-Claims: Capitation and Full Risk Payments" dataDxfId="202" dataCellStyle="Currency"/>
    <tableColumn id="27" xr3:uid="{35FBB4A4-8A64-4A3D-ABF1-3DE7D2A95AB9}" name="Non-Claims: Other" dataDxfId="201" dataCellStyle="Currency"/>
    <tableColumn id="19" xr3:uid="{8FB85482-0019-45E2-8F67-3C26B30C9077}" name="Non-Claims: Total Primary Care Non-Claims-Based Payments" dataDxfId="200" dataCellStyle="Currency"/>
    <tableColumn id="20" xr3:uid="{5AAF37BB-53FA-4613-848C-5837A0E0C43D}" name="Total Claims Excluded because of Truncation" dataDxfId="199" dataCellStyle="Currency"/>
    <tableColumn id="21" xr3:uid="{EBC1833B-9DB9-4ACD-B979-C6CE24B5A8F0}" name="Count of Members with Claims Truncated" dataDxfId="198" dataCellStyle="Currency"/>
    <tableColumn id="22" xr3:uid="{F8C73A94-1A9B-485C-A470-23D1F7F09C47}" name="TOTAL Non-Truncated Unadjusted Claims Expenses" dataDxfId="197" dataCellStyle="Currency">
      <calculatedColumnFormula>SUM(D11:F11)+SUM(H11:L11)</calculatedColumnFormula>
    </tableColumn>
    <tableColumn id="25" xr3:uid="{F1879576-F31C-4FBB-B03D-FB71C431283C}" name="TOTAL Truncated Unadjusted Claims Expenses (A21 -A19)" dataDxfId="196" dataCellStyle="Currency">
      <calculatedColumnFormula>TME_PY[[#This Row],[TOTAL Non-Truncated Unadjusted Claims Expenses]]-TME_PY[[#This Row],[Total Claims Excluded because of Truncation]]</calculatedColumnFormula>
    </tableColumn>
    <tableColumn id="23" xr3:uid="{893EC10C-12EF-40BF-A72E-37579B534D3B}" name="TOTAL Non-Claims Expenses" dataDxfId="195" dataCellStyle="Currency">
      <calculatedColumnFormula>SUM(M11:Q11)</calculatedColumnFormula>
    </tableColumn>
    <tableColumn id="26" xr3:uid="{D10DE476-8A02-49A6-94C9-D48BA09A5A6C}" name="TOTAL Non-Truncated Unadjusted Expenses (A21 + A23)" dataDxfId="194" dataCellStyle="Currency">
      <calculatedColumnFormula>TME_PY[[#This Row],[TOTAL Non-Truncated Unadjusted Claims Expenses]]+TME_PY[[#This Row],[TOTAL Non-Claims Expenses]]</calculatedColumnFormula>
    </tableColumn>
    <tableColumn id="24" xr3:uid="{2F224996-D551-47CE-8C00-86FFD03D86D4}" name="TOTAL Truncated Unadjusted Expenses (A22 + A23)" dataDxfId="193" dataCellStyle="Currency">
      <calculatedColumnFormula>TME_PY[[#This Row],[TOTAL Truncated Unadjusted Claims Expenses (A21 -A19)]]+TME_PY[[#This Row],[TOTAL Non-Claims Expenses]]</calculatedColumnFormula>
    </tableColumn>
    <tableColumn id="29" xr3:uid="{352E440A-7C79-42E3-ADC0-FCD04F23CF2B}" name="Non-Truncated Unadjusted TME (PMPM) (A24 / A1)" dataDxfId="192" dataCellStyle="Currency">
      <calculatedColumnFormula>IFERROR(TME_PY[[#This Row],[TOTAL Non-Truncated Unadjusted Expenses (A21 + A23)]]/TME_PY[[#This Row],[Member Months]],0)</calculatedColumnFormula>
    </tableColumn>
    <tableColumn id="28" xr3:uid="{4E1CBCBA-02D4-46C7-8B14-AA52F3D8CC69}" name="Truncated Unadjusted TME (PMPM) (A25 / A1)" dataDxfId="191" dataCellStyle="Currency">
      <calculatedColumnFormula>IFERROR(TME_PY[[#This Row],[TOTAL Truncated Unadjusted Expenses (A22 + A23)]]/TME_PY[[#This Row],[Member Months]],0)</calculatedColumnFormula>
    </tableColumn>
    <tableColumn id="30" xr3:uid="{8862B5B3-0F06-42F7-A40C-8342C54440FD}" name="Average Truncated Claims Per Member" dataDxfId="190" dataCellStyle="Currency"/>
    <tableColumn id="31" xr3:uid="{41E405BA-F196-4336-8125-8F834FE00813}" name="Total Claims Excluded (A19)/Total Non-Truncated Claims Expenses (A21)" dataDxfId="189" dataCellStyle="Currency">
      <calculatedColumnFormula>IFERROR(TME_PY[[#This Row],[Total Claims Excluded because of Truncation]]/TME_PY[[#This Row],[TOTAL Non-Truncated Unadjusted Claims Expenses]], "NA")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3A4D3F9-B624-45CF-8A86-0C424C7CE2A4}" name="LOB_ENROLL" displayName="LOB_ENROLL" ref="A10:C12" totalsRowShown="0" headerRowDxfId="188" dataDxfId="186" headerRowBorderDxfId="187" tableBorderDxfId="185" totalsRowBorderDxfId="184">
  <autoFilter ref="A10:C12" xr:uid="{4C069C62-AC96-4B6C-A8D5-7D0C27B03B1A}"/>
  <tableColumns count="3">
    <tableColumn id="1" xr3:uid="{71C9AD75-10C9-4105-B00E-89FA389F1BB7}" name="Line of Business Category Code" dataDxfId="183"/>
    <tableColumn id="4" xr3:uid="{45A1DFA2-2CF3-4B93-8748-8EDF7927733A}" name="2023 Member Months" dataDxfId="182" dataCellStyle="Comma"/>
    <tableColumn id="3" xr3:uid="{FEA79821-E006-45F6-9BA9-D174161E80D8}" name="2024 Member Months" dataDxfId="181"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07F68CB-336F-4AB8-A88E-438E5E01E18D}" name="SD_BY" displayName="SD_BY" ref="A10:E13" totalsRowShown="0" headerRowDxfId="180" dataDxfId="178" headerRowBorderDxfId="179" tableBorderDxfId="177" totalsRowBorderDxfId="176">
  <autoFilter ref="A10:E13" xr:uid="{F8ADE3CC-78B4-4C8B-BA53-2F852D150525}"/>
  <tableColumns count="5">
    <tableColumn id="1" xr3:uid="{91E24E97-BB16-4822-B4A5-7FB8786A12D1}" name="OSC Org ID" dataDxfId="175"/>
    <tableColumn id="2" xr3:uid="{3E1FA2BC-6EBE-4451-8E8F-7CD8F8004EF5}" name="Market ID" dataDxfId="174"/>
    <tableColumn id="5" xr3:uid="{B92ED2DF-C9B9-4044-8E0A-034E4F00948D}" name="Member Months" dataDxfId="173"/>
    <tableColumn id="4" xr3:uid="{918D4A62-9DCC-4180-967C-BAA4FA9AF2F5}" name="Total Truncated Spending" dataDxfId="172"/>
    <tableColumn id="3" xr3:uid="{75A9C932-E705-4425-B4D0-F0E2A36BF79A}" name="Standard Deviation PMPM" dataDxfId="17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AA518F9-A2A2-4D19-AEB6-88F949A9B3E2}" name="SD_PY" displayName="SD_PY" ref="A10:E13" totalsRowShown="0" headerRowDxfId="170" dataDxfId="168" headerRowBorderDxfId="169" tableBorderDxfId="167" totalsRowBorderDxfId="166">
  <autoFilter ref="A10:E13" xr:uid="{F8ADE3CC-78B4-4C8B-BA53-2F852D150525}"/>
  <tableColumns count="5">
    <tableColumn id="1" xr3:uid="{D99C58A9-1D41-467F-A231-EAF7D0EF26D4}" name="OSC Org ID" dataDxfId="165"/>
    <tableColumn id="2" xr3:uid="{F100DA00-FF88-4FF8-AD04-F2B480DDCB10}" name="Market ID" dataDxfId="164"/>
    <tableColumn id="5" xr3:uid="{00D65745-A066-4A0A-9AE2-5AE278A383EB}" name="Member Months" dataDxfId="163"/>
    <tableColumn id="4" xr3:uid="{087C89F9-019D-454F-BBE1-ED4BD7F43F51}" name="Total Truncated Spending" dataDxfId="162"/>
    <tableColumn id="3" xr3:uid="{4D4599B9-546D-48F5-96BE-0302E49C953F}" name="Standard Deviation PMPM" dataDxfId="16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A987F49-EB76-4456-A555-0A2285ACC80A}" name="Age_Sex_BY" displayName="Age_Sex_BY" ref="A10:J42" totalsRowShown="0" headerRowDxfId="160" dataDxfId="158" headerRowBorderDxfId="159" tableBorderDxfId="157" totalsRowBorderDxfId="156" dataCellStyle="Currency">
  <autoFilter ref="A10:J42" xr:uid="{0D0EA4CB-7F7F-474D-BDC5-6840C4FE4E7A}"/>
  <tableColumns count="10">
    <tableColumn id="1" xr3:uid="{E3E876D0-187C-4BC6-9022-2652DDFB34E9}" name="OSC Org ID" dataDxfId="155"/>
    <tableColumn id="2" xr3:uid="{07215155-3B05-48FC-A477-086FDC722272}" name="Insurance Category Code" dataDxfId="154"/>
    <tableColumn id="3" xr3:uid="{15F019AF-FE93-48D8-B588-528E5599FDAD}" name="Age Band Code" dataDxfId="153"/>
    <tableColumn id="4" xr3:uid="{3952860C-3176-4D01-9B63-94170A65B7E5}" name="Sex Band Code" dataDxfId="152"/>
    <tableColumn id="5" xr3:uid="{DB2F3E09-8F8F-4076-8EDD-4211279BCA3D}" name="Total Member Months by Age/Sex Band" dataDxfId="151" dataCellStyle="Currency"/>
    <tableColumn id="6" xr3:uid="{B21AD26E-D308-42A0-8809-7CFDD03158F1}" name="Total Spending before Truncation is Applied" dataDxfId="150" dataCellStyle="Currency"/>
    <tableColumn id="7" xr3:uid="{6E5DBF4C-72EC-4FE4-AFD2-C39420DDFCBB}" name="Count of Members whose Spending was Truncated" dataDxfId="149" dataCellStyle="Currency"/>
    <tableColumn id="8" xr3:uid="{23237DAB-FB2E-4246-B7D0-CD304B5A6BD9}" name="Total Spending After Applying Truncation at the Member Level" dataDxfId="148" dataCellStyle="Currency"/>
    <tableColumn id="9" xr3:uid="{7E61F4C5-FC3C-4C79-B384-BFD3BA1D6641}" name="Total Dollars Excluded from Spending After Applying Truncation at the Member Level" dataDxfId="147" dataCellStyle="Currency"/>
    <tableColumn id="10" xr3:uid="{A8CDB8C0-24C0-4F8B-AC7B-3ED0D25C7A4E}" name="Truncated Spending + Dollars Excluded = Total Spending before Truncation is Applied?" dataDxfId="146" dataCellStyle="Currency"/>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DC2AE02-BF8A-4E51-935F-D0010999879D}" name="Age_Sex_PY" displayName="Age_Sex_PY" ref="A10:J42" totalsRowShown="0" headerRowDxfId="145" dataDxfId="143" headerRowBorderDxfId="144" tableBorderDxfId="142" totalsRowBorderDxfId="141" dataCellStyle="Currency">
  <autoFilter ref="A10:J42" xr:uid="{0D0EA4CB-7F7F-474D-BDC5-6840C4FE4E7A}"/>
  <tableColumns count="10">
    <tableColumn id="1" xr3:uid="{B32A67E7-7A52-43D0-9F6A-605BD35CE25C}" name="OSC Org ID" dataDxfId="140"/>
    <tableColumn id="2" xr3:uid="{3E5DFCA9-F8DD-4F09-9404-3833EB26EB5F}" name="Insurance Category Code" dataDxfId="139"/>
    <tableColumn id="3" xr3:uid="{D93FC347-30E3-456D-B3DF-1B438FD64D3C}" name="Age Band Code" dataDxfId="138"/>
    <tableColumn id="4" xr3:uid="{5ECBDB2C-FA80-487C-BCAF-1BDC50D337F9}" name="Sex Band Code" dataDxfId="137"/>
    <tableColumn id="5" xr3:uid="{E25D25CB-7D83-47CF-A2BC-6A89AFF40116}" name="Total Member Months by Age/Sex Band" dataDxfId="136" dataCellStyle="Currency"/>
    <tableColumn id="6" xr3:uid="{25FB0D6F-9FC1-45EA-BB36-1C8C5D749C29}" name="Total Spending before Truncation is Applied" dataDxfId="135" dataCellStyle="Currency"/>
    <tableColumn id="7" xr3:uid="{28D29820-FCA8-4DE2-8571-6485B47E0C5F}" name="Count of Members whose Spending was Truncated" dataDxfId="134" dataCellStyle="Currency"/>
    <tableColumn id="8" xr3:uid="{2BAF4E4D-6535-42F9-B6F3-A1B32485D864}" name="Total Spending After Applying Truncation at the Member Level" dataDxfId="133" dataCellStyle="Currency"/>
    <tableColumn id="9" xr3:uid="{140835AC-7A73-429C-939F-6B74BF769E4C}" name="Total Dollars Excluded from Spending After Applying Truncation at the Member Level" dataDxfId="132" dataCellStyle="Currency"/>
    <tableColumn id="10" xr3:uid="{5E090DE9-5B52-4024-B884-7277D1E52DAD}" name="Truncated Spending + Dollars Excluded = Total Spending before Truncation is Applied?" dataDxfId="131" dataCellStyle="Currency"/>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6172A0C-3C63-4690-945A-C16BBDE6FA2D}" name="MMbyMkt" displayName="MMbyMkt" ref="B6:E9" totalsRowShown="0" headerRowDxfId="130" headerRowBorderDxfId="129" tableBorderDxfId="128" totalsRowBorderDxfId="127">
  <autoFilter ref="B6:E9" xr:uid="{52396914-D4C5-4721-8EF4-FCEA93A6AC6F}"/>
  <tableColumns count="4">
    <tableColumn id="1" xr3:uid="{CAB1A30A-CBDC-4D93-8F04-B49C3023267A}" name="Market"/>
    <tableColumn id="5" xr3:uid="{5A0E1065-C3D0-43A7-B0D6-85DE5F0F350D}" name="2023" dataDxfId="126"/>
    <tableColumn id="3" xr3:uid="{99AE4CBD-0701-42E3-8DE0-407E24A37047}" name="2024" dataDxfId="125" dataCellStyle="Comma"/>
    <tableColumn id="4" xr3:uid="{AF6FCD5C-9880-41FD-8336-5E1724838940}" name="2023-2024 Trend" dataDxfId="124" dataCellStyle="Percent">
      <calculatedColumnFormula>IFERROR(MMbyMkt[[#This Row],[2024]]/MMbyMkt[[#This Row],[2023]]-1,"NA")</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C8A7256-0E80-4D2C-AD8D-EC03D3C2CA56}" name="TMEbyMkt" displayName="TMEbyMkt" ref="B12:E15" totalsRowShown="0" headerRowDxfId="123" headerRowBorderDxfId="122" tableBorderDxfId="121" totalsRowBorderDxfId="120">
  <autoFilter ref="B12:E15" xr:uid="{DB013C75-4238-4F10-85F9-712533A3FE4F}"/>
  <tableColumns count="4">
    <tableColumn id="1" xr3:uid="{56BBCCB1-8110-4050-AAF9-933E705C164C}" name="Market"/>
    <tableColumn id="3" xr3:uid="{E8D5F693-8DE0-4A96-B243-AA1200C303F2}" name="2023" dataDxfId="119" dataCellStyle="Currency"/>
    <tableColumn id="6" xr3:uid="{CF0B13CE-1C05-4028-8589-889D2668AA89}" name="2024" dataDxfId="118"/>
    <tableColumn id="4" xr3:uid="{6960313F-4182-4F50-90B0-0744CCA881B1}" name="2023-2024 Trend" dataDxfId="117" dataCellStyle="Percent">
      <calculatedColumnFormula>IFERROR(TMEbyMkt[[#This Row],[2024]]/TMEbyMkt[[#This Row],[2023]]-1,"NA")</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59A510-29DD-4A37-9E5F-6105D84A52DF}" name="ICC3TME" displayName="ICC3TME" ref="B25:E46" totalsRowShown="0" headerRowDxfId="116" headerRowBorderDxfId="115" tableBorderDxfId="114" totalsRowBorderDxfId="113">
  <autoFilter ref="B25:E46" xr:uid="{8B2638B6-B897-48CD-8EB4-C4B4B3E39608}"/>
  <tableColumns count="4">
    <tableColumn id="1" xr3:uid="{92D11A4B-3EFA-4CCA-883E-AA6D3A781F9C}" name="Service Category" dataDxfId="112"/>
    <tableColumn id="6" xr3:uid="{56694CEF-CADB-4958-9845-EA6953A5563B}" name="2023" dataDxfId="111"/>
    <tableColumn id="5" xr3:uid="{FE589B90-07D9-45E4-BA88-069E4C0C961B}" name="2024" dataDxfId="110"/>
    <tableColumn id="4" xr3:uid="{7C943E37-9C12-46F8-B639-081D5C290968}" name="2023-2024 Trend" dataDxfId="109" dataCellStyle="Percent">
      <calculatedColumnFormula>IFERROR(ICC3TME[[#This Row],[2024]]/ICC3TME[[#This Row],[2023]]-1,"NA")</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027678-7AF3-4DA1-AB01-26E3BB44502F}" name="InsCarrierOrgID" displayName="InsCarrierOrgID" ref="A12:B13" totalsRowShown="0" headerRowDxfId="296" dataDxfId="295">
  <autoFilter ref="A12:B13" xr:uid="{D2341DF6-4E5D-4606-8D68-1C4370E7AF79}"/>
  <tableColumns count="2">
    <tableColumn id="1" xr3:uid="{0DDDB29F-D2EC-4BEA-91CD-5D84C7371D33}" name="OSC Org ID" dataDxfId="294"/>
    <tableColumn id="2" xr3:uid="{D955FA7D-DB4C-4921-B37D-497B9D2BC4CE}" name="Payer" dataDxfId="293"/>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94B868E-1F9C-4D33-9159-115CDB8DB970}" name="TMEPMPMbyMkt" displayName="TMEPMPMbyMkt" ref="G12:J15" totalsRowShown="0" headerRowDxfId="108" headerRowBorderDxfId="107" tableBorderDxfId="106" totalsRowBorderDxfId="105">
  <autoFilter ref="G12:J15" xr:uid="{D5DA339C-9A94-4D6E-B269-25D76F9C4B85}"/>
  <tableColumns count="4">
    <tableColumn id="1" xr3:uid="{9C52447F-A510-4FEA-8594-4B07B64E9FD0}" name="Market" dataDxfId="104"/>
    <tableColumn id="3" xr3:uid="{7C1E30EF-0840-4847-8D32-9C50BA468E97}" name="2023" dataDxfId="103" dataCellStyle="Currency">
      <calculatedColumnFormula>TMEbyMkt[[#This Row],[2023]]/#REF!</calculatedColumnFormula>
    </tableColumn>
    <tableColumn id="6" xr3:uid="{A5DCE15F-B83D-4E0A-AC3C-9F10033708D1}" name="2024" dataDxfId="102">
      <calculatedColumnFormula>TMEbyMkt[[#This Row],[2023]]/#REF!</calculatedColumnFormula>
    </tableColumn>
    <tableColumn id="4" xr3:uid="{7DD33230-EF6C-4443-9072-0B7E889902BB}" name="2023-2024 Trend" dataDxfId="101" dataCellStyle="Percent">
      <calculatedColumnFormula>IFERROR(TMEPMPMbyMkt[[#This Row],[2024]]/TMEPMPMbyMkt[[#This Row],[2023]]-1,"NA")</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6BDBF44-B372-4D9D-8FA0-88BF6922F0C6}" name="RATMEbyMkt" displayName="RATMEbyMkt" ref="B18:E21" totalsRowShown="0" headerRowDxfId="100" headerRowBorderDxfId="99" tableBorderDxfId="98" totalsRowBorderDxfId="97">
  <autoFilter ref="B18:E21" xr:uid="{02615871-AFC9-4941-90DF-AFF1511CA46B}"/>
  <tableColumns count="4">
    <tableColumn id="1" xr3:uid="{0B7112A5-2C0E-4822-ABE0-CA456A8B637A}" name="Market"/>
    <tableColumn id="6" xr3:uid="{B91C1EA9-91A3-4805-9420-F992CA2DA4E3}" name="2023" dataDxfId="96"/>
    <tableColumn id="5" xr3:uid="{A8744306-AF5C-40C2-9F5B-BBB95823061E}" name="2024" dataDxfId="95"/>
    <tableColumn id="4" xr3:uid="{0F8FA61E-7569-400F-8661-B978FF64B7B2}" name="2023-2024 Trend" dataDxfId="94" dataCellStyle="Percent">
      <calculatedColumnFormula>IFERROR(RATMEbyMkt[[#This Row],[2024]]/RATMEbyMkt[[#This Row],[2023]]-1,"NA")</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AD0A186-11D7-4298-B7B9-F58F287386AE}" name="RATMEPMPMbyMkt" displayName="RATMEPMPMbyMkt" ref="G18:J21" totalsRowShown="0" headerRowDxfId="93" headerRowBorderDxfId="92" tableBorderDxfId="91" totalsRowBorderDxfId="90">
  <autoFilter ref="G18:J21" xr:uid="{763939F4-0928-46F4-B10D-12E3D5EC6EDC}"/>
  <tableColumns count="4">
    <tableColumn id="1" xr3:uid="{F6B043E4-AF21-4F40-A072-B38C904AD482}" name="Market" dataDxfId="89"/>
    <tableColumn id="3" xr3:uid="{526C619F-B707-4F4B-9C37-6CD58C72AC76}" name="2023" dataDxfId="88" dataCellStyle="Currency">
      <calculatedColumnFormula>#REF!/#REF!</calculatedColumnFormula>
    </tableColumn>
    <tableColumn id="6" xr3:uid="{EBBD7127-4A05-41EE-BAB9-3043A42391F2}" name="2024" dataDxfId="87">
      <calculatedColumnFormula>IFERROR(RATMEbyMkt[[#This Row],[2024]]/D7,"NA")</calculatedColumnFormula>
    </tableColumn>
    <tableColumn id="4" xr3:uid="{5E94632C-37E7-422F-BF73-F0D4BB766BCB}" name="2023-2024 Trend" dataDxfId="86" dataCellStyle="Percent">
      <calculatedColumnFormula>IFERROR(RATMEPMPMbyMkt[[#This Row],[2024]]/RATMEPMPMbyMkt[[#This Row],[2023]]-1,"NA")</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2ABFE95-8D93-4E25-AB66-059FBEA398DA}" name="ICC1TME" displayName="ICC1TME" ref="G25:J46" totalsRowShown="0" headerRowDxfId="85" dataDxfId="83" headerRowBorderDxfId="84" tableBorderDxfId="82" totalsRowBorderDxfId="81">
  <autoFilter ref="G25:J46" xr:uid="{B506E07B-3AA6-4BE4-89EC-F9B053BEDD1F}"/>
  <tableColumns count="4">
    <tableColumn id="1" xr3:uid="{80BB2C78-DBB7-4089-B5A1-489BD32B1F18}" name="Service Category" dataDxfId="80"/>
    <tableColumn id="3" xr3:uid="{E7107820-4126-4CBE-985E-1302B550A794}" name="2023" dataDxfId="79" dataCellStyle="Currency"/>
    <tableColumn id="6" xr3:uid="{EA89264A-C61B-4BE2-B419-3D5BC525C8F4}" name="2024" dataDxfId="78"/>
    <tableColumn id="4" xr3:uid="{810389FA-6434-4F8A-B727-43FF8E7C3CAB}" name="2023-2024 Trend" dataDxfId="77" dataCellStyle="Percent">
      <calculatedColumnFormula>IFERROR(ICC1TME[[#This Row],[2024]]/ICC1TME[[#This Row],[2023]]-1,"NA")</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589812-4C0A-4769-9FAC-1F773C548E00}" name="ExpectedICC" displayName="ExpectedICC" ref="A4:H11" totalsRowShown="0" headerRowDxfId="76" dataDxfId="74" headerRowBorderDxfId="75" tableBorderDxfId="73" totalsRowBorderDxfId="72">
  <autoFilter ref="A4:H11" xr:uid="{DF7F4EC6-2F97-4225-B3D3-1F8A33792275}"/>
  <tableColumns count="8">
    <tableColumn id="1" xr3:uid="{80E2D06D-4166-46FD-A9D8-1812314A6C5B}" name="Insurer" dataDxfId="71"/>
    <tableColumn id="2" xr3:uid="{2C956982-5F96-4066-A8EC-8092BC8A1C9F}" name="Medicare Managed Care" dataDxfId="70"/>
    <tableColumn id="3" xr3:uid="{752FEFAD-B37E-47B2-B965-FD6A777747D8}" name="Medicaid Managed Care" dataDxfId="69"/>
    <tableColumn id="4" xr3:uid="{0C6A36A8-1AF3-4B7C-A0B1-3B5D7593CE0C}" name="Commercial Full Claims" dataDxfId="68"/>
    <tableColumn id="5" xr3:uid="{FD65149A-7977-49A7-8766-2446E9811647}" name="Commercial Partial Claims" dataDxfId="67"/>
    <tableColumn id="6" xr3:uid="{C5C454F2-D4D3-4DBD-B73C-0AC67494FACD}" name="Medicare Exp. Duals" dataDxfId="66"/>
    <tableColumn id="7" xr3:uid="{B2AC31DA-1CD3-4948-B690-489B8C7D05AB}" name="Medicaid Exp. Duals" dataDxfId="65"/>
    <tableColumn id="8" xr3:uid="{BA985DD9-650F-4DB7-9484-40A6D64064F5}" name="Other" dataDxfId="64"/>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448F20-9666-4074-911F-2DEBDFF7472F}" name="PublicData22" displayName="PublicData22" ref="D14:E20" totalsRowShown="0" headerRowDxfId="63" dataDxfId="61" headerRowBorderDxfId="62" tableBorderDxfId="60" totalsRowBorderDxfId="59">
  <autoFilter ref="D14:E20" xr:uid="{AC7ED5CE-95F6-4001-9A0C-741AE00B309D}"/>
  <tableColumns count="2">
    <tableColumn id="1" xr3:uid="{6945F25C-D2C6-4DE2-BF99-636490C9593A}" name="2024 Public Data" dataDxfId="58"/>
    <tableColumn id="2" xr3:uid="{4237B78B-FEA0-44DC-A2BC-630FDAB640B4}" name="Medicare Managed Care Enrollment by State/County/Contract _x000a_X 12" dataDxfId="57"/>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CE10DF3-FCFE-4974-B59F-E0CBBEA63C49}" name="PublicData21" displayName="PublicData21" ref="A14:B20" totalsRowShown="0" headerRowDxfId="56" dataDxfId="54" headerRowBorderDxfId="55" tableBorderDxfId="53" totalsRowBorderDxfId="52" dataCellStyle="Currency">
  <autoFilter ref="A14:B20" xr:uid="{C7BFAAA1-1E94-47E3-B61A-3F4332B8EDB1}"/>
  <tableColumns count="2">
    <tableColumn id="1" xr3:uid="{9901A76F-BC77-4C4F-ADCA-0E854DCF5367}" name="2023 Public Data" dataDxfId="51"/>
    <tableColumn id="2" xr3:uid="{6D8AEC97-D63E-42A5-A17E-008DCFFC93F5}" name="Medicare Managed Care Enrollment by State/County/Contract _x000a_X 12" dataDxfId="50"/>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015B134-1CA5-4790-86DE-527AD391B1EC}" name="MandatoryQ" displayName="MandatoryQ" ref="A23:B49" totalsRowShown="0" headerRowDxfId="49" headerRowBorderDxfId="48" tableBorderDxfId="47" totalsRowBorderDxfId="46">
  <autoFilter ref="A23:B49" xr:uid="{11CE796F-1AAC-4465-9118-F59BD71D8CAD}"/>
  <tableColumns count="2">
    <tableColumn id="1" xr3:uid="{B14FCCB5-18C9-4C75-A044-107342A33DD7}" name="Question" dataDxfId="45"/>
    <tableColumn id="2" xr3:uid="{2FAD2209-F2FC-425B-80C2-09630C12A4AA}" name="Expected Answer" dataDxfId="4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C10FD5-7887-4ADB-9632-00EA490730BF}" name="InsuranceCatCode" displayName="InsuranceCatCode" ref="A15:B17" totalsRowShown="0" headerRowDxfId="292" dataDxfId="291">
  <autoFilter ref="A15:B17" xr:uid="{A619587B-D6D0-48B0-9B4C-4C41F33EFB5A}"/>
  <tableColumns count="2">
    <tableColumn id="1" xr3:uid="{C275CB2E-9EC4-478D-BC26-D0007BA014BC}" name="Insurance Category Code" dataDxfId="290"/>
    <tableColumn id="2" xr3:uid="{A60DAD8F-9F4C-43F0-8B55-8BB2646C3B68}" name="Definition" dataDxfId="28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CD8CD6-DBC5-4246-9E8A-F02FE7DD7FE9}" name="MarketEnrollCatCode" displayName="MarketEnrollCatCode" ref="A19:B21" totalsRowShown="0" headerRowDxfId="288" dataDxfId="287">
  <autoFilter ref="A19:B21" xr:uid="{A58078EE-5396-4975-9937-441FFAA73145}"/>
  <tableColumns count="2">
    <tableColumn id="1" xr3:uid="{9AA78217-19DA-4578-937F-6DDCE92627B2}" name="Line of Business Category Code" dataDxfId="286"/>
    <tableColumn id="2" xr3:uid="{8D3E2BD4-BDCF-4A8A-9CD1-3C4C06C54549}" name="Definition" dataDxfId="285"/>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75D73F3-6766-49B5-B96B-370DBC10B636}" name="Table32" displayName="Table32" ref="A23:B26" totalsRowShown="0" tableBorderDxfId="284">
  <autoFilter ref="A23:B26" xr:uid="{E75D73F3-6766-49B5-B96B-370DBC10B636}"/>
  <tableColumns count="2">
    <tableColumn id="1" xr3:uid="{FB9EC784-4727-4C40-A96B-B8183F1BBF82}" name="Market Code" dataDxfId="283"/>
    <tableColumn id="2" xr3:uid="{7062EDAA-D3D0-4B82-B973-E4EA5FCCE155}" name="Definition" dataDxfId="28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63F3E64-E502-4E9C-A691-8633AED8B721}" name="Table3234" displayName="Table3234" ref="A28:B36" totalsRowShown="0" tableBorderDxfId="281">
  <autoFilter ref="A28:B36" xr:uid="{E63F3E64-E502-4E9C-A691-8633AED8B721}"/>
  <tableColumns count="2">
    <tableColumn id="1" xr3:uid="{AA7C4883-0A42-4FA4-8199-6571DBA9EF74}" name="Age Band Code" dataDxfId="280"/>
    <tableColumn id="2" xr3:uid="{6DE9F9F1-D111-43DB-8393-CC7019A6B586}" name="Definition" dataDxfId="279"/>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E3D43FF-0D4E-445C-BFC2-29C91DFF82C6}" name="Table34" displayName="Table34" ref="A38:B40" totalsRowShown="0" dataDxfId="278" tableBorderDxfId="277">
  <autoFilter ref="A38:B40" xr:uid="{BE3D43FF-0D4E-445C-BFC2-29C91DFF82C6}"/>
  <tableColumns count="2">
    <tableColumn id="1" xr3:uid="{96ABEE68-4BB9-4382-B224-61FCAC1F2BBB}" name="Sex Code" dataDxfId="276"/>
    <tableColumn id="2" xr3:uid="{535AE12E-F011-4CE9-B3A5-4D481986149D}" name="Definition" dataDxfId="27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5D423E-438D-471E-BE7A-34B3960D2B1B}" name="HDTME_BY" displayName="HDTME_BY" ref="A10:D11" totalsRowShown="0" headerRowDxfId="274" dataDxfId="272" headerRowBorderDxfId="273" tableBorderDxfId="271" totalsRowBorderDxfId="270">
  <autoFilter ref="A10:D11" xr:uid="{73E04781-873E-4676-BD71-0D5D0F504A38}"/>
  <tableColumns count="4">
    <tableColumn id="1" xr3:uid="{D30FDEE5-E414-4C3B-9752-4C90611F65FE}" name="OSC Org ID" dataDxfId="269"/>
    <tableColumn id="2" xr3:uid="{03EED93F-6E34-4B4C-AEC5-8F65A3B819B7}" name="Period Beginning Date" dataDxfId="268"/>
    <tableColumn id="3" xr3:uid="{13D7529E-449F-44AA-8986-2D073D3A17BE}" name="Period Ending Date" dataDxfId="267"/>
    <tableColumn id="4" xr3:uid="{06B62FBC-619F-45BA-990F-0AC2596235C1}" name="OSC Comments" dataDxfId="2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3A77D9D-ED4A-46A5-BFA3-B920F22F4441}" name="HDTME_PY" displayName="HDTME_PY" ref="A10:D11" totalsRowShown="0" headerRowDxfId="265" dataDxfId="263" headerRowBorderDxfId="264" tableBorderDxfId="262" totalsRowBorderDxfId="261">
  <autoFilter ref="A10:D11" xr:uid="{73E04781-873E-4676-BD71-0D5D0F504A38}"/>
  <tableColumns count="4">
    <tableColumn id="1" xr3:uid="{098F47E2-9015-44DB-99A8-18F178BA80FE}" name="OSC Org ID" dataDxfId="260"/>
    <tableColumn id="2" xr3:uid="{BB35BC41-D764-4B0E-9A6B-9D56939ECD51}" name="Period Beginning Date" dataDxfId="259"/>
    <tableColumn id="3" xr3:uid="{F30FBEE2-F8AC-4537-99A6-F3943D4DAD47}" name="Period Ending Date" dataDxfId="258"/>
    <tableColumn id="4" xr3:uid="{1F88B8CF-A026-4281-9557-9D3F9D4CC274}" name="OSC Comments" dataDxfId="25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23.xml"/><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table" Target="../tables/table17.xml"/><Relationship Id="rId1" Type="http://schemas.openxmlformats.org/officeDocument/2006/relationships/printerSettings" Target="../printerSettings/printerSettings12.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table" Target="../tables/table24.xml"/><Relationship Id="rId4"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97E7-E538-414B-AB63-691B20B7DF09}">
  <sheetPr>
    <tabColor theme="0" tint="-0.249977111117893"/>
  </sheetPr>
  <dimension ref="B2:D14"/>
  <sheetViews>
    <sheetView tabSelected="1" zoomScaleNormal="100" workbookViewId="0"/>
  </sheetViews>
  <sheetFormatPr defaultRowHeight="14.4" x14ac:dyDescent="0.3"/>
  <cols>
    <col min="1" max="1" width="3.88671875" customWidth="1"/>
    <col min="2" max="2" width="45.44140625" bestFit="1" customWidth="1"/>
    <col min="3" max="3" width="19.88671875" bestFit="1" customWidth="1"/>
    <col min="4" max="4" width="83.5546875" customWidth="1"/>
  </cols>
  <sheetData>
    <row r="2" spans="2:4" x14ac:dyDescent="0.3">
      <c r="B2" s="1" t="s">
        <v>0</v>
      </c>
      <c r="C2" s="1"/>
    </row>
    <row r="4" spans="2:4" x14ac:dyDescent="0.3">
      <c r="B4" s="62" t="s">
        <v>1</v>
      </c>
      <c r="C4" s="62" t="s">
        <v>2</v>
      </c>
      <c r="D4" s="62" t="s">
        <v>3</v>
      </c>
    </row>
    <row r="5" spans="2:4" ht="57.6" x14ac:dyDescent="0.3">
      <c r="B5" s="64" t="s">
        <v>4</v>
      </c>
      <c r="C5" s="65" t="s">
        <v>5</v>
      </c>
      <c r="D5" s="7" t="s">
        <v>254</v>
      </c>
    </row>
    <row r="6" spans="2:4" ht="72" x14ac:dyDescent="0.3">
      <c r="B6" s="64" t="s">
        <v>6</v>
      </c>
      <c r="C6" s="65" t="s">
        <v>5</v>
      </c>
      <c r="D6" s="7" t="s">
        <v>255</v>
      </c>
    </row>
    <row r="7" spans="2:4" ht="43.2" x14ac:dyDescent="0.3">
      <c r="B7" s="64" t="s">
        <v>265</v>
      </c>
      <c r="C7" s="65" t="s">
        <v>7</v>
      </c>
      <c r="D7" s="7" t="s">
        <v>266</v>
      </c>
    </row>
    <row r="8" spans="2:4" ht="28.8" x14ac:dyDescent="0.3">
      <c r="B8" s="64" t="s">
        <v>267</v>
      </c>
      <c r="C8" s="65" t="s">
        <v>7</v>
      </c>
      <c r="D8" s="7" t="s">
        <v>268</v>
      </c>
    </row>
    <row r="9" spans="2:4" ht="28.8" x14ac:dyDescent="0.3">
      <c r="B9" s="64" t="s">
        <v>269</v>
      </c>
      <c r="C9" s="65" t="s">
        <v>7</v>
      </c>
      <c r="D9" s="7" t="s">
        <v>270</v>
      </c>
    </row>
    <row r="10" spans="2:4" ht="28.8" x14ac:dyDescent="0.3">
      <c r="B10" s="64" t="s">
        <v>271</v>
      </c>
      <c r="C10" s="65" t="s">
        <v>7</v>
      </c>
      <c r="D10" s="7" t="s">
        <v>272</v>
      </c>
    </row>
    <row r="11" spans="2:4" ht="28.8" x14ac:dyDescent="0.3">
      <c r="B11" s="64" t="s">
        <v>273</v>
      </c>
      <c r="C11" s="65" t="s">
        <v>7</v>
      </c>
      <c r="D11" s="7" t="s">
        <v>274</v>
      </c>
    </row>
    <row r="12" spans="2:4" ht="28.8" x14ac:dyDescent="0.3">
      <c r="B12" s="64" t="s">
        <v>8</v>
      </c>
      <c r="C12" s="65" t="s">
        <v>7</v>
      </c>
      <c r="D12" s="7" t="s">
        <v>9</v>
      </c>
    </row>
    <row r="13" spans="2:4" ht="86.4" x14ac:dyDescent="0.3">
      <c r="B13" s="64" t="s">
        <v>10</v>
      </c>
      <c r="C13" s="65" t="s">
        <v>5</v>
      </c>
      <c r="D13" s="7" t="s">
        <v>256</v>
      </c>
    </row>
    <row r="14" spans="2:4" ht="86.4" x14ac:dyDescent="0.3">
      <c r="B14" s="163" t="s">
        <v>11</v>
      </c>
      <c r="C14" s="164" t="s">
        <v>5</v>
      </c>
      <c r="D14" s="165" t="s">
        <v>257</v>
      </c>
    </row>
  </sheetData>
  <sheetProtection algorithmName="SHA-512" hashValue="XSvEt9pTaO7op6/I7kywqmq0YoisgUXc0t3lvH+piljB9FLCJFVPvnBOcuaB++j77faahnyw9/zSb9PnCXttQA==" saltValue="oXHF/N49AsoxVGYLrswY3A=="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8CAE-C7AA-4D5E-A4E9-9A45B364F61C}">
  <sheetPr>
    <tabColor theme="3"/>
  </sheetPr>
  <dimension ref="A1:E13"/>
  <sheetViews>
    <sheetView workbookViewId="0"/>
  </sheetViews>
  <sheetFormatPr defaultColWidth="9.109375" defaultRowHeight="14.4" x14ac:dyDescent="0.3"/>
  <cols>
    <col min="1" max="1" width="35.6640625" customWidth="1"/>
    <col min="2" max="2" width="27.88671875" bestFit="1" customWidth="1"/>
    <col min="3" max="5" width="23" customWidth="1"/>
  </cols>
  <sheetData>
    <row r="1" spans="1:5" x14ac:dyDescent="0.3">
      <c r="A1" s="1" t="s">
        <v>84</v>
      </c>
      <c r="B1" s="1"/>
    </row>
    <row r="2" spans="1:5" x14ac:dyDescent="0.3">
      <c r="A2" s="1" t="s">
        <v>281</v>
      </c>
      <c r="B2" s="1"/>
      <c r="D2" s="218" t="s">
        <v>132</v>
      </c>
      <c r="E2" s="218"/>
    </row>
    <row r="3" spans="1:5" x14ac:dyDescent="0.3">
      <c r="D3" s="220" t="str">
        <f>IF(AND(A11&lt;&gt;"", 'Data Validation'!C7&gt;0), "STOP - Misalignment of truncated spending for 2023. Check Data Validation tab.", "Good")</f>
        <v>Good</v>
      </c>
      <c r="E3" s="220"/>
    </row>
    <row r="4" spans="1:5" x14ac:dyDescent="0.3">
      <c r="A4" t="s">
        <v>85</v>
      </c>
      <c r="D4" s="220"/>
      <c r="E4" s="220"/>
    </row>
    <row r="5" spans="1:5" ht="15" customHeight="1" x14ac:dyDescent="0.3">
      <c r="D5" s="220"/>
      <c r="E5" s="220"/>
    </row>
    <row r="6" spans="1:5" x14ac:dyDescent="0.3">
      <c r="B6" s="213" t="s">
        <v>276</v>
      </c>
      <c r="C6" s="213"/>
    </row>
    <row r="7" spans="1:5" x14ac:dyDescent="0.3">
      <c r="B7" s="213"/>
      <c r="C7" s="213"/>
    </row>
    <row r="8" spans="1:5" x14ac:dyDescent="0.3">
      <c r="B8" s="96" t="s">
        <v>133</v>
      </c>
    </row>
    <row r="9" spans="1:5" x14ac:dyDescent="0.3">
      <c r="B9" s="96" t="s">
        <v>134</v>
      </c>
      <c r="C9" s="2" t="s">
        <v>96</v>
      </c>
      <c r="D9" s="2" t="s">
        <v>97</v>
      </c>
      <c r="E9" s="2" t="s">
        <v>98</v>
      </c>
    </row>
    <row r="10" spans="1:5" s="72" customFormat="1" ht="28.8" x14ac:dyDescent="0.3">
      <c r="A10" s="68" t="s">
        <v>21</v>
      </c>
      <c r="B10" s="74" t="s">
        <v>135</v>
      </c>
      <c r="C10" s="71" t="s">
        <v>123</v>
      </c>
      <c r="D10" s="71" t="s">
        <v>73</v>
      </c>
      <c r="E10" s="71" t="s">
        <v>136</v>
      </c>
    </row>
    <row r="11" spans="1:5" x14ac:dyDescent="0.3">
      <c r="A11" s="90"/>
      <c r="B11" s="91"/>
      <c r="C11" s="101"/>
      <c r="D11" s="101"/>
      <c r="E11" s="101"/>
    </row>
    <row r="12" spans="1:5" x14ac:dyDescent="0.3">
      <c r="A12" s="90"/>
      <c r="B12" s="91"/>
      <c r="C12" s="101"/>
      <c r="D12" s="101"/>
      <c r="E12" s="101"/>
    </row>
    <row r="13" spans="1:5" x14ac:dyDescent="0.3">
      <c r="A13" s="97"/>
      <c r="B13" s="91"/>
      <c r="C13" s="101"/>
      <c r="D13" s="101"/>
      <c r="E13" s="101"/>
    </row>
  </sheetData>
  <sheetProtection algorithmName="SHA-512" hashValue="F8oKRybQufQ6el0z2Hg1tYU3eIklzUSqBS250lkhuNweYE/7oFq4YjjB5QPfTiZACOKCCnnAHz5cOHmqljHwTg==" saltValue="/eMnuLRxzu4EPmNNP6KgFw==" spinCount="100000" sheet="1" insertRows="0"/>
  <protectedRanges>
    <protectedRange sqref="A11:E13" name="Range1"/>
  </protectedRanges>
  <mergeCells count="3">
    <mergeCell ref="D2:E2"/>
    <mergeCell ref="D3:E5"/>
    <mergeCell ref="B6:C7"/>
  </mergeCells>
  <conditionalFormatting sqref="D3:E5">
    <cfRule type="notContainsText" dxfId="31" priority="1" operator="notContains" text="Good">
      <formula>ISERROR(SEARCH("Good",D3))</formula>
    </cfRule>
    <cfRule type="containsText" dxfId="30" priority="2" operator="containsText" text="Good">
      <formula>NOT(ISERROR(SEARCH("Good",D3)))</formula>
    </cfRule>
  </conditionalFormatting>
  <dataValidations count="4">
    <dataValidation allowBlank="1" showInputMessage="1" showErrorMessage="1" error="See Definitions tab." prompt="See Definitions tab." sqref="D11:E13" xr:uid="{8FCB72D4-FAA6-4CC1-A385-D7E056265BF1}"/>
    <dataValidation type="whole" operator="equal" allowBlank="1" showInputMessage="1" showErrorMessage="1" error="For this submission, OSC will input “207” as the value for this field. " prompt="For this submission, OSC will input “207” as the value for this field. " sqref="A11:A13" xr:uid="{3E3ADB65-92C0-4E16-8CAD-4D7D3672EF89}">
      <formula1>207</formula1>
    </dataValidation>
    <dataValidation type="decimal" operator="greaterThan" allowBlank="1" showInputMessage="1" showErrorMessage="1" error="See Definitions tab." prompt="See Definitions tab." sqref="C11:C13" xr:uid="{73CD748B-0800-430C-9F2B-C4FDAA67A56E}">
      <formula1>0</formula1>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3" xr:uid="{0DA4488C-1F0C-4725-B2FF-1FA829350015}">
      <formula1>1</formula1>
      <formula2>3</formula2>
    </dataValidation>
  </dataValidations>
  <hyperlinks>
    <hyperlink ref="D2:E2" location="'Data Validation'!B6" display="Check for alignment of truncated spending by market" xr:uid="{CC90BCF2-9BEA-433A-9A13-CBD961714BA2}"/>
  </hyperlinks>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C23B-58B1-4390-B99D-0ED7B4633CF8}">
  <sheetPr>
    <tabColor theme="4"/>
  </sheetPr>
  <dimension ref="A1:J42"/>
  <sheetViews>
    <sheetView zoomScaleNormal="100" workbookViewId="0"/>
  </sheetViews>
  <sheetFormatPr defaultRowHeight="14.4" x14ac:dyDescent="0.3"/>
  <cols>
    <col min="1" max="1" width="25.6640625" customWidth="1"/>
    <col min="2" max="9" width="28.5546875" customWidth="1"/>
    <col min="10" max="10" width="35.88671875" customWidth="1"/>
  </cols>
  <sheetData>
    <row r="1" spans="1:10" x14ac:dyDescent="0.3">
      <c r="A1" s="1" t="s">
        <v>84</v>
      </c>
    </row>
    <row r="2" spans="1:10" x14ac:dyDescent="0.3">
      <c r="A2" s="1" t="s">
        <v>242</v>
      </c>
    </row>
    <row r="4" spans="1:10" x14ac:dyDescent="0.3">
      <c r="A4" t="s">
        <v>85</v>
      </c>
      <c r="C4" s="211" t="s">
        <v>275</v>
      </c>
      <c r="D4" s="211"/>
    </row>
    <row r="5" spans="1:10" x14ac:dyDescent="0.3">
      <c r="A5" s="67" t="s">
        <v>95</v>
      </c>
      <c r="C5" s="211"/>
      <c r="D5" s="211"/>
    </row>
    <row r="9" spans="1:10" x14ac:dyDescent="0.3">
      <c r="C9" s="2" t="s">
        <v>96</v>
      </c>
      <c r="D9" s="2" t="s">
        <v>97</v>
      </c>
      <c r="E9" s="2" t="s">
        <v>98</v>
      </c>
      <c r="F9" s="2" t="s">
        <v>99</v>
      </c>
      <c r="G9" s="2" t="s">
        <v>100</v>
      </c>
      <c r="H9" s="2" t="s">
        <v>101</v>
      </c>
      <c r="I9" s="2" t="s">
        <v>102</v>
      </c>
      <c r="J9" s="2" t="s">
        <v>103</v>
      </c>
    </row>
    <row r="10" spans="1:10" ht="43.2" x14ac:dyDescent="0.3">
      <c r="A10" s="68" t="s">
        <v>21</v>
      </c>
      <c r="B10" s="69" t="s">
        <v>24</v>
      </c>
      <c r="C10" s="69" t="s">
        <v>35</v>
      </c>
      <c r="D10" s="69" t="s">
        <v>77</v>
      </c>
      <c r="E10" s="69" t="s">
        <v>78</v>
      </c>
      <c r="F10" s="69" t="s">
        <v>137</v>
      </c>
      <c r="G10" s="69" t="s">
        <v>80</v>
      </c>
      <c r="H10" s="69" t="s">
        <v>81</v>
      </c>
      <c r="I10" s="69" t="s">
        <v>138</v>
      </c>
      <c r="J10" s="154" t="s">
        <v>139</v>
      </c>
    </row>
    <row r="11" spans="1:10" x14ac:dyDescent="0.3">
      <c r="A11" s="160"/>
      <c r="B11" s="91"/>
      <c r="C11" s="108"/>
      <c r="D11" s="161"/>
      <c r="E11" s="176"/>
      <c r="F11" s="108"/>
      <c r="G11" s="178"/>
      <c r="H11" s="108"/>
      <c r="I11" s="162"/>
      <c r="J11" s="99" t="b">
        <f>Age_Sex_BY[[#This Row],[Total Spending After Applying Truncation at the Member Level]]+Age_Sex_BY[[#This Row],[Total Dollars Excluded from Spending After Applying Truncation at the Member Level]]=Age_Sex_BY[[#This Row],[Total Spending before Truncation is Applied]]</f>
        <v>1</v>
      </c>
    </row>
    <row r="12" spans="1:10" x14ac:dyDescent="0.3">
      <c r="A12" s="160"/>
      <c r="B12" s="91"/>
      <c r="C12" s="108"/>
      <c r="D12" s="161"/>
      <c r="E12" s="176"/>
      <c r="F12" s="108"/>
      <c r="G12" s="178"/>
      <c r="H12" s="108"/>
      <c r="I12" s="162"/>
      <c r="J12" s="99" t="b">
        <f>Age_Sex_BY[[#This Row],[Total Spending After Applying Truncation at the Member Level]]+Age_Sex_BY[[#This Row],[Total Dollars Excluded from Spending After Applying Truncation at the Member Level]]=Age_Sex_BY[[#This Row],[Total Spending before Truncation is Applied]]</f>
        <v>1</v>
      </c>
    </row>
    <row r="13" spans="1:10" x14ac:dyDescent="0.3">
      <c r="A13" s="160"/>
      <c r="B13" s="91"/>
      <c r="C13" s="108"/>
      <c r="D13" s="161"/>
      <c r="E13" s="176"/>
      <c r="F13" s="108"/>
      <c r="G13" s="178"/>
      <c r="H13" s="108"/>
      <c r="I13" s="162"/>
      <c r="J13" s="99" t="b">
        <f>Age_Sex_BY[[#This Row],[Total Spending After Applying Truncation at the Member Level]]+Age_Sex_BY[[#This Row],[Total Dollars Excluded from Spending After Applying Truncation at the Member Level]]=Age_Sex_BY[[#This Row],[Total Spending before Truncation is Applied]]</f>
        <v>1</v>
      </c>
    </row>
    <row r="14" spans="1:10" x14ac:dyDescent="0.3">
      <c r="A14" s="160"/>
      <c r="B14" s="91"/>
      <c r="C14" s="108"/>
      <c r="D14" s="161"/>
      <c r="E14" s="176"/>
      <c r="F14" s="108"/>
      <c r="G14" s="178"/>
      <c r="H14" s="108"/>
      <c r="I14" s="162"/>
      <c r="J14" s="99" t="b">
        <f>Age_Sex_BY[[#This Row],[Total Spending After Applying Truncation at the Member Level]]+Age_Sex_BY[[#This Row],[Total Dollars Excluded from Spending After Applying Truncation at the Member Level]]=Age_Sex_BY[[#This Row],[Total Spending before Truncation is Applied]]</f>
        <v>1</v>
      </c>
    </row>
    <row r="15" spans="1:10" x14ac:dyDescent="0.3">
      <c r="A15" s="160"/>
      <c r="B15" s="91"/>
      <c r="C15" s="108"/>
      <c r="D15" s="161"/>
      <c r="E15" s="176"/>
      <c r="F15" s="108"/>
      <c r="G15" s="178"/>
      <c r="H15" s="108"/>
      <c r="I15" s="162"/>
      <c r="J15" s="99" t="b">
        <f>Age_Sex_BY[[#This Row],[Total Spending After Applying Truncation at the Member Level]]+Age_Sex_BY[[#This Row],[Total Dollars Excluded from Spending After Applying Truncation at the Member Level]]=Age_Sex_BY[[#This Row],[Total Spending before Truncation is Applied]]</f>
        <v>1</v>
      </c>
    </row>
    <row r="16" spans="1:10" x14ac:dyDescent="0.3">
      <c r="A16" s="160"/>
      <c r="B16" s="91"/>
      <c r="C16" s="108"/>
      <c r="D16" s="161"/>
      <c r="E16" s="176"/>
      <c r="F16" s="108"/>
      <c r="G16" s="178"/>
      <c r="H16" s="108"/>
      <c r="I16" s="162"/>
      <c r="J16" s="99" t="b">
        <f>Age_Sex_BY[[#This Row],[Total Spending After Applying Truncation at the Member Level]]+Age_Sex_BY[[#This Row],[Total Dollars Excluded from Spending After Applying Truncation at the Member Level]]=Age_Sex_BY[[#This Row],[Total Spending before Truncation is Applied]]</f>
        <v>1</v>
      </c>
    </row>
    <row r="17" spans="1:10" x14ac:dyDescent="0.3">
      <c r="A17" s="160"/>
      <c r="B17" s="91"/>
      <c r="C17" s="108"/>
      <c r="D17" s="161"/>
      <c r="E17" s="176"/>
      <c r="F17" s="108"/>
      <c r="G17" s="178"/>
      <c r="H17" s="108"/>
      <c r="I17" s="162"/>
      <c r="J17" s="99" t="b">
        <f>Age_Sex_BY[[#This Row],[Total Spending After Applying Truncation at the Member Level]]+Age_Sex_BY[[#This Row],[Total Dollars Excluded from Spending After Applying Truncation at the Member Level]]=Age_Sex_BY[[#This Row],[Total Spending before Truncation is Applied]]</f>
        <v>1</v>
      </c>
    </row>
    <row r="18" spans="1:10" x14ac:dyDescent="0.3">
      <c r="A18" s="160"/>
      <c r="B18" s="91"/>
      <c r="C18" s="108"/>
      <c r="D18" s="161"/>
      <c r="E18" s="176"/>
      <c r="F18" s="108"/>
      <c r="G18" s="178"/>
      <c r="H18" s="108"/>
      <c r="I18" s="162"/>
      <c r="J18" s="99" t="b">
        <f>Age_Sex_BY[[#This Row],[Total Spending After Applying Truncation at the Member Level]]+Age_Sex_BY[[#This Row],[Total Dollars Excluded from Spending After Applying Truncation at the Member Level]]=Age_Sex_BY[[#This Row],[Total Spending before Truncation is Applied]]</f>
        <v>1</v>
      </c>
    </row>
    <row r="19" spans="1:10" x14ac:dyDescent="0.3">
      <c r="A19" s="160"/>
      <c r="B19" s="91"/>
      <c r="C19" s="108"/>
      <c r="D19" s="161"/>
      <c r="E19" s="176"/>
      <c r="F19" s="108"/>
      <c r="G19" s="178"/>
      <c r="H19" s="108"/>
      <c r="I19" s="162"/>
      <c r="J19" s="99" t="b">
        <f>Age_Sex_BY[[#This Row],[Total Spending After Applying Truncation at the Member Level]]+Age_Sex_BY[[#This Row],[Total Dollars Excluded from Spending After Applying Truncation at the Member Level]]=Age_Sex_BY[[#This Row],[Total Spending before Truncation is Applied]]</f>
        <v>1</v>
      </c>
    </row>
    <row r="20" spans="1:10" x14ac:dyDescent="0.3">
      <c r="A20" s="160"/>
      <c r="B20" s="91"/>
      <c r="C20" s="108"/>
      <c r="D20" s="161"/>
      <c r="E20" s="176"/>
      <c r="F20" s="108"/>
      <c r="G20" s="178"/>
      <c r="H20" s="108"/>
      <c r="I20" s="162"/>
      <c r="J20" s="99" t="b">
        <f>Age_Sex_BY[[#This Row],[Total Spending After Applying Truncation at the Member Level]]+Age_Sex_BY[[#This Row],[Total Dollars Excluded from Spending After Applying Truncation at the Member Level]]=Age_Sex_BY[[#This Row],[Total Spending before Truncation is Applied]]</f>
        <v>1</v>
      </c>
    </row>
    <row r="21" spans="1:10" x14ac:dyDescent="0.3">
      <c r="A21" s="160"/>
      <c r="B21" s="91"/>
      <c r="C21" s="108"/>
      <c r="D21" s="161"/>
      <c r="E21" s="176"/>
      <c r="F21" s="108"/>
      <c r="G21" s="178"/>
      <c r="H21" s="108"/>
      <c r="I21" s="162"/>
      <c r="J21" s="99" t="b">
        <f>Age_Sex_BY[[#This Row],[Total Spending After Applying Truncation at the Member Level]]+Age_Sex_BY[[#This Row],[Total Dollars Excluded from Spending After Applying Truncation at the Member Level]]=Age_Sex_BY[[#This Row],[Total Spending before Truncation is Applied]]</f>
        <v>1</v>
      </c>
    </row>
    <row r="22" spans="1:10" x14ac:dyDescent="0.3">
      <c r="A22" s="160"/>
      <c r="B22" s="91"/>
      <c r="C22" s="108"/>
      <c r="D22" s="161"/>
      <c r="E22" s="176"/>
      <c r="F22" s="108"/>
      <c r="G22" s="178"/>
      <c r="H22" s="108"/>
      <c r="I22" s="162"/>
      <c r="J22" s="99" t="b">
        <f>Age_Sex_BY[[#This Row],[Total Spending After Applying Truncation at the Member Level]]+Age_Sex_BY[[#This Row],[Total Dollars Excluded from Spending After Applying Truncation at the Member Level]]=Age_Sex_BY[[#This Row],[Total Spending before Truncation is Applied]]</f>
        <v>1</v>
      </c>
    </row>
    <row r="23" spans="1:10" x14ac:dyDescent="0.3">
      <c r="A23" s="160"/>
      <c r="B23" s="91"/>
      <c r="C23" s="108"/>
      <c r="D23" s="161"/>
      <c r="E23" s="176"/>
      <c r="F23" s="108"/>
      <c r="G23" s="178"/>
      <c r="H23" s="108"/>
      <c r="I23" s="162"/>
      <c r="J23" s="99" t="b">
        <f>Age_Sex_BY[[#This Row],[Total Spending After Applying Truncation at the Member Level]]+Age_Sex_BY[[#This Row],[Total Dollars Excluded from Spending After Applying Truncation at the Member Level]]=Age_Sex_BY[[#This Row],[Total Spending before Truncation is Applied]]</f>
        <v>1</v>
      </c>
    </row>
    <row r="24" spans="1:10" x14ac:dyDescent="0.3">
      <c r="A24" s="160"/>
      <c r="B24" s="91"/>
      <c r="C24" s="108"/>
      <c r="D24" s="161"/>
      <c r="E24" s="176"/>
      <c r="F24" s="108"/>
      <c r="G24" s="178"/>
      <c r="H24" s="108"/>
      <c r="I24" s="162"/>
      <c r="J24" s="99" t="b">
        <f>Age_Sex_BY[[#This Row],[Total Spending After Applying Truncation at the Member Level]]+Age_Sex_BY[[#This Row],[Total Dollars Excluded from Spending After Applying Truncation at the Member Level]]=Age_Sex_BY[[#This Row],[Total Spending before Truncation is Applied]]</f>
        <v>1</v>
      </c>
    </row>
    <row r="25" spans="1:10" x14ac:dyDescent="0.3">
      <c r="A25" s="160"/>
      <c r="B25" s="91"/>
      <c r="C25" s="108"/>
      <c r="D25" s="161"/>
      <c r="E25" s="176"/>
      <c r="F25" s="108"/>
      <c r="G25" s="178"/>
      <c r="H25" s="108"/>
      <c r="I25" s="162"/>
      <c r="J25" s="99" t="b">
        <f>Age_Sex_BY[[#This Row],[Total Spending After Applying Truncation at the Member Level]]+Age_Sex_BY[[#This Row],[Total Dollars Excluded from Spending After Applying Truncation at the Member Level]]=Age_Sex_BY[[#This Row],[Total Spending before Truncation is Applied]]</f>
        <v>1</v>
      </c>
    </row>
    <row r="26" spans="1:10" x14ac:dyDescent="0.3">
      <c r="A26" s="160"/>
      <c r="B26" s="91"/>
      <c r="C26" s="108"/>
      <c r="D26" s="161"/>
      <c r="E26" s="176"/>
      <c r="F26" s="108"/>
      <c r="G26" s="178"/>
      <c r="H26" s="108"/>
      <c r="I26" s="162"/>
      <c r="J26" s="99" t="b">
        <f>Age_Sex_BY[[#This Row],[Total Spending After Applying Truncation at the Member Level]]+Age_Sex_BY[[#This Row],[Total Dollars Excluded from Spending After Applying Truncation at the Member Level]]=Age_Sex_BY[[#This Row],[Total Spending before Truncation is Applied]]</f>
        <v>1</v>
      </c>
    </row>
    <row r="27" spans="1:10" x14ac:dyDescent="0.3">
      <c r="A27" s="160"/>
      <c r="B27" s="91"/>
      <c r="C27" s="108"/>
      <c r="D27" s="161"/>
      <c r="E27" s="176"/>
      <c r="F27" s="108"/>
      <c r="G27" s="178"/>
      <c r="H27" s="108"/>
      <c r="I27" s="162"/>
      <c r="J27" s="99" t="b">
        <f>Age_Sex_BY[[#This Row],[Total Spending After Applying Truncation at the Member Level]]+Age_Sex_BY[[#This Row],[Total Dollars Excluded from Spending After Applying Truncation at the Member Level]]=Age_Sex_BY[[#This Row],[Total Spending before Truncation is Applied]]</f>
        <v>1</v>
      </c>
    </row>
    <row r="28" spans="1:10" x14ac:dyDescent="0.3">
      <c r="A28" s="160"/>
      <c r="B28" s="91"/>
      <c r="C28" s="108"/>
      <c r="D28" s="161"/>
      <c r="E28" s="176"/>
      <c r="F28" s="108"/>
      <c r="G28" s="178"/>
      <c r="H28" s="108"/>
      <c r="I28" s="162"/>
      <c r="J28" s="99" t="b">
        <f>Age_Sex_BY[[#This Row],[Total Spending After Applying Truncation at the Member Level]]+Age_Sex_BY[[#This Row],[Total Dollars Excluded from Spending After Applying Truncation at the Member Level]]=Age_Sex_BY[[#This Row],[Total Spending before Truncation is Applied]]</f>
        <v>1</v>
      </c>
    </row>
    <row r="29" spans="1:10" x14ac:dyDescent="0.3">
      <c r="A29" s="160"/>
      <c r="B29" s="91"/>
      <c r="C29" s="108"/>
      <c r="D29" s="161"/>
      <c r="E29" s="176"/>
      <c r="F29" s="108"/>
      <c r="G29" s="178"/>
      <c r="H29" s="108"/>
      <c r="I29" s="162"/>
      <c r="J29" s="99" t="b">
        <f>Age_Sex_BY[[#This Row],[Total Spending After Applying Truncation at the Member Level]]+Age_Sex_BY[[#This Row],[Total Dollars Excluded from Spending After Applying Truncation at the Member Level]]=Age_Sex_BY[[#This Row],[Total Spending before Truncation is Applied]]</f>
        <v>1</v>
      </c>
    </row>
    <row r="30" spans="1:10" x14ac:dyDescent="0.3">
      <c r="A30" s="160"/>
      <c r="B30" s="91"/>
      <c r="C30" s="108"/>
      <c r="D30" s="161"/>
      <c r="E30" s="176"/>
      <c r="F30" s="108"/>
      <c r="G30" s="178"/>
      <c r="H30" s="108"/>
      <c r="I30" s="162"/>
      <c r="J30" s="99" t="b">
        <f>Age_Sex_BY[[#This Row],[Total Spending After Applying Truncation at the Member Level]]+Age_Sex_BY[[#This Row],[Total Dollars Excluded from Spending After Applying Truncation at the Member Level]]=Age_Sex_BY[[#This Row],[Total Spending before Truncation is Applied]]</f>
        <v>1</v>
      </c>
    </row>
    <row r="31" spans="1:10" x14ac:dyDescent="0.3">
      <c r="A31" s="160"/>
      <c r="B31" s="91"/>
      <c r="C31" s="108"/>
      <c r="D31" s="161"/>
      <c r="E31" s="176"/>
      <c r="F31" s="108"/>
      <c r="G31" s="178"/>
      <c r="H31" s="108"/>
      <c r="I31" s="162"/>
      <c r="J31" s="99" t="b">
        <f>Age_Sex_BY[[#This Row],[Total Spending After Applying Truncation at the Member Level]]+Age_Sex_BY[[#This Row],[Total Dollars Excluded from Spending After Applying Truncation at the Member Level]]=Age_Sex_BY[[#This Row],[Total Spending before Truncation is Applied]]</f>
        <v>1</v>
      </c>
    </row>
    <row r="32" spans="1:10" x14ac:dyDescent="0.3">
      <c r="A32" s="160"/>
      <c r="B32" s="91"/>
      <c r="C32" s="108"/>
      <c r="D32" s="161"/>
      <c r="E32" s="176"/>
      <c r="F32" s="108"/>
      <c r="G32" s="178"/>
      <c r="H32" s="108"/>
      <c r="I32" s="162"/>
      <c r="J32" s="99" t="b">
        <f>Age_Sex_BY[[#This Row],[Total Spending After Applying Truncation at the Member Level]]+Age_Sex_BY[[#This Row],[Total Dollars Excluded from Spending After Applying Truncation at the Member Level]]=Age_Sex_BY[[#This Row],[Total Spending before Truncation is Applied]]</f>
        <v>1</v>
      </c>
    </row>
    <row r="33" spans="1:10" x14ac:dyDescent="0.3">
      <c r="A33" s="160"/>
      <c r="B33" s="91"/>
      <c r="C33" s="108"/>
      <c r="D33" s="161"/>
      <c r="E33" s="176"/>
      <c r="F33" s="108"/>
      <c r="G33" s="178"/>
      <c r="H33" s="108"/>
      <c r="I33" s="162"/>
      <c r="J33" s="99" t="b">
        <f>Age_Sex_BY[[#This Row],[Total Spending After Applying Truncation at the Member Level]]+Age_Sex_BY[[#This Row],[Total Dollars Excluded from Spending After Applying Truncation at the Member Level]]=Age_Sex_BY[[#This Row],[Total Spending before Truncation is Applied]]</f>
        <v>1</v>
      </c>
    </row>
    <row r="34" spans="1:10" x14ac:dyDescent="0.3">
      <c r="A34" s="160"/>
      <c r="B34" s="91"/>
      <c r="C34" s="108"/>
      <c r="D34" s="161"/>
      <c r="E34" s="176"/>
      <c r="F34" s="108"/>
      <c r="G34" s="178"/>
      <c r="H34" s="108"/>
      <c r="I34" s="162"/>
      <c r="J34" s="99" t="b">
        <f>Age_Sex_BY[[#This Row],[Total Spending After Applying Truncation at the Member Level]]+Age_Sex_BY[[#This Row],[Total Dollars Excluded from Spending After Applying Truncation at the Member Level]]=Age_Sex_BY[[#This Row],[Total Spending before Truncation is Applied]]</f>
        <v>1</v>
      </c>
    </row>
    <row r="35" spans="1:10" x14ac:dyDescent="0.3">
      <c r="A35" s="160"/>
      <c r="B35" s="91"/>
      <c r="C35" s="108"/>
      <c r="D35" s="161"/>
      <c r="E35" s="176"/>
      <c r="F35" s="108"/>
      <c r="G35" s="178"/>
      <c r="H35" s="108"/>
      <c r="I35" s="162"/>
      <c r="J35" s="99" t="b">
        <f>Age_Sex_BY[[#This Row],[Total Spending After Applying Truncation at the Member Level]]+Age_Sex_BY[[#This Row],[Total Dollars Excluded from Spending After Applying Truncation at the Member Level]]=Age_Sex_BY[[#This Row],[Total Spending before Truncation is Applied]]</f>
        <v>1</v>
      </c>
    </row>
    <row r="36" spans="1:10" x14ac:dyDescent="0.3">
      <c r="A36" s="160"/>
      <c r="B36" s="91"/>
      <c r="C36" s="108"/>
      <c r="D36" s="161"/>
      <c r="E36" s="176"/>
      <c r="F36" s="108"/>
      <c r="G36" s="178"/>
      <c r="H36" s="108"/>
      <c r="I36" s="162"/>
      <c r="J36" s="99" t="b">
        <f>Age_Sex_BY[[#This Row],[Total Spending After Applying Truncation at the Member Level]]+Age_Sex_BY[[#This Row],[Total Dollars Excluded from Spending After Applying Truncation at the Member Level]]=Age_Sex_BY[[#This Row],[Total Spending before Truncation is Applied]]</f>
        <v>1</v>
      </c>
    </row>
    <row r="37" spans="1:10" x14ac:dyDescent="0.3">
      <c r="A37" s="160"/>
      <c r="B37" s="91"/>
      <c r="C37" s="108"/>
      <c r="D37" s="161"/>
      <c r="E37" s="176"/>
      <c r="F37" s="108"/>
      <c r="G37" s="178"/>
      <c r="H37" s="108"/>
      <c r="I37" s="162"/>
      <c r="J37" s="99" t="b">
        <f>Age_Sex_BY[[#This Row],[Total Spending After Applying Truncation at the Member Level]]+Age_Sex_BY[[#This Row],[Total Dollars Excluded from Spending After Applying Truncation at the Member Level]]=Age_Sex_BY[[#This Row],[Total Spending before Truncation is Applied]]</f>
        <v>1</v>
      </c>
    </row>
    <row r="38" spans="1:10" x14ac:dyDescent="0.3">
      <c r="A38" s="160"/>
      <c r="B38" s="91"/>
      <c r="C38" s="108"/>
      <c r="D38" s="161"/>
      <c r="E38" s="176"/>
      <c r="F38" s="108"/>
      <c r="G38" s="178"/>
      <c r="H38" s="108"/>
      <c r="I38" s="162"/>
      <c r="J38" s="99" t="b">
        <f>Age_Sex_BY[[#This Row],[Total Spending After Applying Truncation at the Member Level]]+Age_Sex_BY[[#This Row],[Total Dollars Excluded from Spending After Applying Truncation at the Member Level]]=Age_Sex_BY[[#This Row],[Total Spending before Truncation is Applied]]</f>
        <v>1</v>
      </c>
    </row>
    <row r="39" spans="1:10" x14ac:dyDescent="0.3">
      <c r="A39" s="160"/>
      <c r="B39" s="91"/>
      <c r="C39" s="108"/>
      <c r="D39" s="161"/>
      <c r="E39" s="177"/>
      <c r="F39" s="108"/>
      <c r="G39" s="178"/>
      <c r="H39" s="108"/>
      <c r="I39" s="162"/>
      <c r="J39" s="99" t="b">
        <f>Age_Sex_BY[[#This Row],[Total Spending After Applying Truncation at the Member Level]]+Age_Sex_BY[[#This Row],[Total Dollars Excluded from Spending After Applying Truncation at the Member Level]]=Age_Sex_BY[[#This Row],[Total Spending before Truncation is Applied]]</f>
        <v>1</v>
      </c>
    </row>
    <row r="40" spans="1:10" x14ac:dyDescent="0.3">
      <c r="A40" s="123"/>
      <c r="B40" s="124"/>
      <c r="C40" s="125"/>
      <c r="D40" s="126"/>
      <c r="E40" s="177"/>
      <c r="F40" s="127"/>
      <c r="G40" s="179"/>
      <c r="H40" s="127"/>
      <c r="I40" s="127"/>
      <c r="J40" s="99" t="b">
        <f>Age_Sex_BY[[#This Row],[Total Spending After Applying Truncation at the Member Level]]+Age_Sex_BY[[#This Row],[Total Dollars Excluded from Spending After Applying Truncation at the Member Level]]=Age_Sex_BY[[#This Row],[Total Spending before Truncation is Applied]]</f>
        <v>1</v>
      </c>
    </row>
    <row r="41" spans="1:10" x14ac:dyDescent="0.3">
      <c r="A41" s="123"/>
      <c r="B41" s="124"/>
      <c r="C41" s="125"/>
      <c r="D41" s="126"/>
      <c r="E41" s="177"/>
      <c r="F41" s="127"/>
      <c r="G41" s="179"/>
      <c r="H41" s="127"/>
      <c r="I41" s="127"/>
      <c r="J41" s="99" t="b">
        <f>Age_Sex_BY[[#This Row],[Total Spending After Applying Truncation at the Member Level]]+Age_Sex_BY[[#This Row],[Total Dollars Excluded from Spending After Applying Truncation at the Member Level]]=Age_Sex_BY[[#This Row],[Total Spending before Truncation is Applied]]</f>
        <v>1</v>
      </c>
    </row>
    <row r="42" spans="1:10" x14ac:dyDescent="0.3">
      <c r="A42" s="123"/>
      <c r="B42" s="124"/>
      <c r="C42" s="125"/>
      <c r="D42" s="126"/>
      <c r="E42" s="177"/>
      <c r="F42" s="127"/>
      <c r="G42" s="179"/>
      <c r="H42" s="127"/>
      <c r="I42" s="127"/>
      <c r="J42" s="99" t="b">
        <f>Age_Sex_BY[[#This Row],[Total Spending After Applying Truncation at the Member Level]]+Age_Sex_BY[[#This Row],[Total Dollars Excluded from Spending After Applying Truncation at the Member Level]]=Age_Sex_BY[[#This Row],[Total Spending before Truncation is Applied]]</f>
        <v>1</v>
      </c>
    </row>
  </sheetData>
  <sheetProtection sheet="1" insertRows="0" sort="0" autoFilter="0"/>
  <protectedRanges>
    <protectedRange sqref="A11:J42" name="Range1"/>
  </protectedRanges>
  <mergeCells count="1">
    <mergeCell ref="C4:D5"/>
  </mergeCells>
  <dataValidations count="6">
    <dataValidation type="textLength" operator="equal" allowBlank="1" showInputMessage="1" showErrorMessage="1" error="Please input the insurance category being reported (see Reference Tables)" prompt="Insurance Category:_x000a_1 = Medicare Managed Care_x000a_3 = Commerical: Full-Claims" sqref="B11:B42" xr:uid="{3EB66F8D-E228-457F-A72B-DF519257C5DA}">
      <formula1>1</formula1>
    </dataValidation>
    <dataValidation type="whole" operator="equal" allowBlank="1" showInputMessage="1" showErrorMessage="1" error="For this submission, OSC will input “207” as the value for this field. " prompt="For this submission, OSC will input “207” as the value for this field. " sqref="A11:A42" xr:uid="{A0ECA9C7-D3CC-41C4-9C38-F9ECED8DD345}">
      <formula1>207</formula1>
    </dataValidation>
    <dataValidation type="decimal" allowBlank="1" showInputMessage="1" showErrorMessage="1" error="See Definitions tab._x000a_No negative values. Number must be between ‘0.2’ and ‘10’." prompt="1 = Female_x000a_2 = Male" sqref="D11:D42" xr:uid="{E36F1725-7807-4816-A447-B31B1FFD01E7}">
      <formula1>0</formula1>
      <formula2>10</formula2>
    </dataValidation>
    <dataValidation allowBlank="1" showInputMessage="1" showErrorMessage="1" error="The number of unique members participating in a plan each month with a medical benefit, regardless of whether the member has any paid claims." prompt="1 = 0 to 1 year old_x000a_2 = 2 to 18 years old_x000a_3 = 19 to 39 years old_x000a_4 = 40 to 54 yeras old_x000a_5 = 55 to 64 years old_x000a_6 = 65 to 74 years old_x000a_7 = 75 to 84 years old_x000a_8 = 85+ years old" sqref="C11:C42" xr:uid="{C77E22A3-7689-436B-B004-F0BBE6A07363}"/>
    <dataValidation type="decimal" operator="greaterThanOrEqual" allowBlank="1" showInputMessage="1" showErrorMessage="1" error="See Definitions tab._x000a_No negative values." prompt="See Definitions tab._x000a_No negative values._x000a_" sqref="F11:I42" xr:uid="{F6589AC9-196F-4460-9DDB-7C8DAAD6191D}">
      <formula1>0</formula1>
    </dataValidation>
    <dataValidatio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42" xr:uid="{E91BD068-D7E9-4624-BF6E-E13CA90B4FF8}"/>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BC72-47E4-4B85-A378-062912AED15C}">
  <sheetPr>
    <tabColor theme="3"/>
  </sheetPr>
  <dimension ref="A1:J42"/>
  <sheetViews>
    <sheetView zoomScaleNormal="100" workbookViewId="0"/>
  </sheetViews>
  <sheetFormatPr defaultRowHeight="14.4" x14ac:dyDescent="0.3"/>
  <cols>
    <col min="1" max="1" width="25.6640625" customWidth="1"/>
    <col min="2" max="9" width="28.5546875" customWidth="1"/>
    <col min="10" max="10" width="29.88671875" customWidth="1"/>
  </cols>
  <sheetData>
    <row r="1" spans="1:10" x14ac:dyDescent="0.3">
      <c r="A1" s="1" t="s">
        <v>84</v>
      </c>
    </row>
    <row r="2" spans="1:10" x14ac:dyDescent="0.3">
      <c r="A2" s="1" t="s">
        <v>283</v>
      </c>
    </row>
    <row r="4" spans="1:10" x14ac:dyDescent="0.3">
      <c r="A4" t="s">
        <v>85</v>
      </c>
      <c r="C4" s="213" t="s">
        <v>276</v>
      </c>
      <c r="D4" s="213"/>
    </row>
    <row r="5" spans="1:10" x14ac:dyDescent="0.3">
      <c r="A5" s="67" t="s">
        <v>95</v>
      </c>
      <c r="C5" s="213"/>
      <c r="D5" s="213"/>
    </row>
    <row r="9" spans="1:10" x14ac:dyDescent="0.3">
      <c r="C9" s="2" t="s">
        <v>96</v>
      </c>
      <c r="D9" s="2" t="s">
        <v>97</v>
      </c>
      <c r="E9" s="2" t="s">
        <v>98</v>
      </c>
      <c r="F9" s="2" t="s">
        <v>99</v>
      </c>
      <c r="G9" s="2" t="s">
        <v>100</v>
      </c>
      <c r="H9" s="2" t="s">
        <v>101</v>
      </c>
      <c r="I9" s="2" t="s">
        <v>102</v>
      </c>
      <c r="J9" s="2" t="s">
        <v>103</v>
      </c>
    </row>
    <row r="10" spans="1:10" ht="43.2" x14ac:dyDescent="0.3">
      <c r="A10" s="68" t="s">
        <v>21</v>
      </c>
      <c r="B10" s="69" t="s">
        <v>24</v>
      </c>
      <c r="C10" s="69" t="s">
        <v>35</v>
      </c>
      <c r="D10" s="69" t="s">
        <v>77</v>
      </c>
      <c r="E10" s="69" t="s">
        <v>78</v>
      </c>
      <c r="F10" s="69" t="s">
        <v>137</v>
      </c>
      <c r="G10" s="69" t="s">
        <v>80</v>
      </c>
      <c r="H10" s="69" t="s">
        <v>81</v>
      </c>
      <c r="I10" s="69" t="s">
        <v>138</v>
      </c>
      <c r="J10" s="154" t="s">
        <v>139</v>
      </c>
    </row>
    <row r="11" spans="1:10" x14ac:dyDescent="0.3">
      <c r="A11" s="160"/>
      <c r="B11" s="91"/>
      <c r="C11" s="108"/>
      <c r="D11" s="161"/>
      <c r="E11" s="108"/>
      <c r="F11" s="108"/>
      <c r="G11" s="176"/>
      <c r="H11" s="161"/>
      <c r="I11" s="108"/>
      <c r="J11" s="99" t="b">
        <f>Age_Sex_PY[[#This Row],[Total Spending After Applying Truncation at the Member Level]]+Age_Sex_PY[[#This Row],[Total Dollars Excluded from Spending After Applying Truncation at the Member Level]]=Age_Sex_PY[[#This Row],[Total Spending before Truncation is Applied]]</f>
        <v>1</v>
      </c>
    </row>
    <row r="12" spans="1:10" x14ac:dyDescent="0.3">
      <c r="A12" s="160"/>
      <c r="B12" s="91"/>
      <c r="C12" s="108"/>
      <c r="D12" s="161"/>
      <c r="E12" s="108"/>
      <c r="F12" s="108"/>
      <c r="G12" s="176"/>
      <c r="H12" s="161"/>
      <c r="I12" s="108"/>
      <c r="J12" s="99" t="b">
        <f>Age_Sex_PY[[#This Row],[Total Spending After Applying Truncation at the Member Level]]+Age_Sex_PY[[#This Row],[Total Dollars Excluded from Spending After Applying Truncation at the Member Level]]=Age_Sex_PY[[#This Row],[Total Spending before Truncation is Applied]]</f>
        <v>1</v>
      </c>
    </row>
    <row r="13" spans="1:10" x14ac:dyDescent="0.3">
      <c r="A13" s="160"/>
      <c r="B13" s="91"/>
      <c r="C13" s="108"/>
      <c r="D13" s="161"/>
      <c r="E13" s="108"/>
      <c r="F13" s="108"/>
      <c r="G13" s="176"/>
      <c r="H13" s="161"/>
      <c r="I13" s="108"/>
      <c r="J13" s="99" t="b">
        <f>Age_Sex_PY[[#This Row],[Total Spending After Applying Truncation at the Member Level]]+Age_Sex_PY[[#This Row],[Total Dollars Excluded from Spending After Applying Truncation at the Member Level]]=Age_Sex_PY[[#This Row],[Total Spending before Truncation is Applied]]</f>
        <v>1</v>
      </c>
    </row>
    <row r="14" spans="1:10" x14ac:dyDescent="0.3">
      <c r="A14" s="160"/>
      <c r="B14" s="91"/>
      <c r="C14" s="108"/>
      <c r="D14" s="161"/>
      <c r="E14" s="108"/>
      <c r="F14" s="108"/>
      <c r="G14" s="176"/>
      <c r="H14" s="161"/>
      <c r="I14" s="108"/>
      <c r="J14" s="99" t="b">
        <f>Age_Sex_PY[[#This Row],[Total Spending After Applying Truncation at the Member Level]]+Age_Sex_PY[[#This Row],[Total Dollars Excluded from Spending After Applying Truncation at the Member Level]]=Age_Sex_PY[[#This Row],[Total Spending before Truncation is Applied]]</f>
        <v>1</v>
      </c>
    </row>
    <row r="15" spans="1:10" x14ac:dyDescent="0.3">
      <c r="A15" s="160"/>
      <c r="B15" s="91"/>
      <c r="C15" s="108"/>
      <c r="D15" s="161"/>
      <c r="E15" s="108"/>
      <c r="F15" s="108"/>
      <c r="G15" s="176"/>
      <c r="H15" s="161"/>
      <c r="I15" s="108"/>
      <c r="J15" s="99" t="b">
        <f>Age_Sex_PY[[#This Row],[Total Spending After Applying Truncation at the Member Level]]+Age_Sex_PY[[#This Row],[Total Dollars Excluded from Spending After Applying Truncation at the Member Level]]=Age_Sex_PY[[#This Row],[Total Spending before Truncation is Applied]]</f>
        <v>1</v>
      </c>
    </row>
    <row r="16" spans="1:10" x14ac:dyDescent="0.3">
      <c r="A16" s="160"/>
      <c r="B16" s="91"/>
      <c r="C16" s="108"/>
      <c r="D16" s="161"/>
      <c r="E16" s="108"/>
      <c r="F16" s="108"/>
      <c r="G16" s="176"/>
      <c r="H16" s="161"/>
      <c r="I16" s="108"/>
      <c r="J16" s="99" t="b">
        <f>Age_Sex_PY[[#This Row],[Total Spending After Applying Truncation at the Member Level]]+Age_Sex_PY[[#This Row],[Total Dollars Excluded from Spending After Applying Truncation at the Member Level]]=Age_Sex_PY[[#This Row],[Total Spending before Truncation is Applied]]</f>
        <v>1</v>
      </c>
    </row>
    <row r="17" spans="1:10" x14ac:dyDescent="0.3">
      <c r="A17" s="160"/>
      <c r="B17" s="91"/>
      <c r="C17" s="108"/>
      <c r="D17" s="161"/>
      <c r="E17" s="108"/>
      <c r="F17" s="108"/>
      <c r="G17" s="176"/>
      <c r="H17" s="161"/>
      <c r="I17" s="108"/>
      <c r="J17" s="99" t="b">
        <f>Age_Sex_PY[[#This Row],[Total Spending After Applying Truncation at the Member Level]]+Age_Sex_PY[[#This Row],[Total Dollars Excluded from Spending After Applying Truncation at the Member Level]]=Age_Sex_PY[[#This Row],[Total Spending before Truncation is Applied]]</f>
        <v>1</v>
      </c>
    </row>
    <row r="18" spans="1:10" x14ac:dyDescent="0.3">
      <c r="A18" s="160"/>
      <c r="B18" s="91"/>
      <c r="C18" s="108"/>
      <c r="D18" s="161"/>
      <c r="E18" s="108"/>
      <c r="F18" s="108"/>
      <c r="G18" s="176"/>
      <c r="H18" s="161"/>
      <c r="I18" s="108"/>
      <c r="J18" s="99" t="b">
        <f>Age_Sex_PY[[#This Row],[Total Spending After Applying Truncation at the Member Level]]+Age_Sex_PY[[#This Row],[Total Dollars Excluded from Spending After Applying Truncation at the Member Level]]=Age_Sex_PY[[#This Row],[Total Spending before Truncation is Applied]]</f>
        <v>1</v>
      </c>
    </row>
    <row r="19" spans="1:10" x14ac:dyDescent="0.3">
      <c r="A19" s="160"/>
      <c r="B19" s="91"/>
      <c r="C19" s="108"/>
      <c r="D19" s="161"/>
      <c r="E19" s="108"/>
      <c r="F19" s="108"/>
      <c r="G19" s="176"/>
      <c r="H19" s="161"/>
      <c r="I19" s="108"/>
      <c r="J19" s="99" t="b">
        <f>Age_Sex_PY[[#This Row],[Total Spending After Applying Truncation at the Member Level]]+Age_Sex_PY[[#This Row],[Total Dollars Excluded from Spending After Applying Truncation at the Member Level]]=Age_Sex_PY[[#This Row],[Total Spending before Truncation is Applied]]</f>
        <v>1</v>
      </c>
    </row>
    <row r="20" spans="1:10" x14ac:dyDescent="0.3">
      <c r="A20" s="160"/>
      <c r="B20" s="91"/>
      <c r="C20" s="108"/>
      <c r="D20" s="161"/>
      <c r="E20" s="108"/>
      <c r="F20" s="108"/>
      <c r="G20" s="176"/>
      <c r="H20" s="161"/>
      <c r="I20" s="108"/>
      <c r="J20" s="99" t="b">
        <f>Age_Sex_PY[[#This Row],[Total Spending After Applying Truncation at the Member Level]]+Age_Sex_PY[[#This Row],[Total Dollars Excluded from Spending After Applying Truncation at the Member Level]]=Age_Sex_PY[[#This Row],[Total Spending before Truncation is Applied]]</f>
        <v>1</v>
      </c>
    </row>
    <row r="21" spans="1:10" x14ac:dyDescent="0.3">
      <c r="A21" s="160"/>
      <c r="B21" s="91"/>
      <c r="C21" s="108"/>
      <c r="D21" s="161"/>
      <c r="E21" s="108"/>
      <c r="F21" s="108"/>
      <c r="G21" s="176"/>
      <c r="H21" s="161"/>
      <c r="I21" s="108"/>
      <c r="J21" s="99" t="b">
        <f>Age_Sex_PY[[#This Row],[Total Spending After Applying Truncation at the Member Level]]+Age_Sex_PY[[#This Row],[Total Dollars Excluded from Spending After Applying Truncation at the Member Level]]=Age_Sex_PY[[#This Row],[Total Spending before Truncation is Applied]]</f>
        <v>1</v>
      </c>
    </row>
    <row r="22" spans="1:10" x14ac:dyDescent="0.3">
      <c r="A22" s="160"/>
      <c r="B22" s="91"/>
      <c r="C22" s="108"/>
      <c r="D22" s="161"/>
      <c r="E22" s="108"/>
      <c r="F22" s="108"/>
      <c r="G22" s="176"/>
      <c r="H22" s="161"/>
      <c r="I22" s="108"/>
      <c r="J22" s="99" t="b">
        <f>Age_Sex_PY[[#This Row],[Total Spending After Applying Truncation at the Member Level]]+Age_Sex_PY[[#This Row],[Total Dollars Excluded from Spending After Applying Truncation at the Member Level]]=Age_Sex_PY[[#This Row],[Total Spending before Truncation is Applied]]</f>
        <v>1</v>
      </c>
    </row>
    <row r="23" spans="1:10" x14ac:dyDescent="0.3">
      <c r="A23" s="160"/>
      <c r="B23" s="91"/>
      <c r="C23" s="108"/>
      <c r="D23" s="161"/>
      <c r="E23" s="108"/>
      <c r="F23" s="108"/>
      <c r="G23" s="176"/>
      <c r="H23" s="161"/>
      <c r="I23" s="108"/>
      <c r="J23" s="99" t="b">
        <f>Age_Sex_PY[[#This Row],[Total Spending After Applying Truncation at the Member Level]]+Age_Sex_PY[[#This Row],[Total Dollars Excluded from Spending After Applying Truncation at the Member Level]]=Age_Sex_PY[[#This Row],[Total Spending before Truncation is Applied]]</f>
        <v>1</v>
      </c>
    </row>
    <row r="24" spans="1:10" x14ac:dyDescent="0.3">
      <c r="A24" s="160"/>
      <c r="B24" s="91"/>
      <c r="C24" s="108"/>
      <c r="D24" s="161"/>
      <c r="E24" s="108"/>
      <c r="F24" s="108"/>
      <c r="G24" s="176"/>
      <c r="H24" s="161"/>
      <c r="I24" s="108"/>
      <c r="J24" s="99" t="b">
        <f>Age_Sex_PY[[#This Row],[Total Spending After Applying Truncation at the Member Level]]+Age_Sex_PY[[#This Row],[Total Dollars Excluded from Spending After Applying Truncation at the Member Level]]=Age_Sex_PY[[#This Row],[Total Spending before Truncation is Applied]]</f>
        <v>1</v>
      </c>
    </row>
    <row r="25" spans="1:10" x14ac:dyDescent="0.3">
      <c r="A25" s="160"/>
      <c r="B25" s="91"/>
      <c r="C25" s="108"/>
      <c r="D25" s="161"/>
      <c r="E25" s="108"/>
      <c r="F25" s="108"/>
      <c r="G25" s="176"/>
      <c r="H25" s="161"/>
      <c r="I25" s="108"/>
      <c r="J25" s="99" t="b">
        <f>Age_Sex_PY[[#This Row],[Total Spending After Applying Truncation at the Member Level]]+Age_Sex_PY[[#This Row],[Total Dollars Excluded from Spending After Applying Truncation at the Member Level]]=Age_Sex_PY[[#This Row],[Total Spending before Truncation is Applied]]</f>
        <v>1</v>
      </c>
    </row>
    <row r="26" spans="1:10" x14ac:dyDescent="0.3">
      <c r="A26" s="160"/>
      <c r="B26" s="91"/>
      <c r="C26" s="108"/>
      <c r="D26" s="161"/>
      <c r="E26" s="108"/>
      <c r="F26" s="108"/>
      <c r="G26" s="176"/>
      <c r="H26" s="161"/>
      <c r="I26" s="108"/>
      <c r="J26" s="99" t="b">
        <f>Age_Sex_PY[[#This Row],[Total Spending After Applying Truncation at the Member Level]]+Age_Sex_PY[[#This Row],[Total Dollars Excluded from Spending After Applying Truncation at the Member Level]]=Age_Sex_PY[[#This Row],[Total Spending before Truncation is Applied]]</f>
        <v>1</v>
      </c>
    </row>
    <row r="27" spans="1:10" x14ac:dyDescent="0.3">
      <c r="A27" s="160"/>
      <c r="B27" s="91"/>
      <c r="C27" s="108"/>
      <c r="D27" s="161"/>
      <c r="E27" s="108"/>
      <c r="F27" s="108"/>
      <c r="G27" s="176"/>
      <c r="H27" s="161"/>
      <c r="I27" s="108"/>
      <c r="J27" s="99" t="b">
        <f>Age_Sex_PY[[#This Row],[Total Spending After Applying Truncation at the Member Level]]+Age_Sex_PY[[#This Row],[Total Dollars Excluded from Spending After Applying Truncation at the Member Level]]=Age_Sex_PY[[#This Row],[Total Spending before Truncation is Applied]]</f>
        <v>1</v>
      </c>
    </row>
    <row r="28" spans="1:10" x14ac:dyDescent="0.3">
      <c r="A28" s="160"/>
      <c r="B28" s="91"/>
      <c r="C28" s="108"/>
      <c r="D28" s="161"/>
      <c r="E28" s="108"/>
      <c r="F28" s="108"/>
      <c r="G28" s="176"/>
      <c r="H28" s="161"/>
      <c r="I28" s="108"/>
      <c r="J28" s="99" t="b">
        <f>Age_Sex_PY[[#This Row],[Total Spending After Applying Truncation at the Member Level]]+Age_Sex_PY[[#This Row],[Total Dollars Excluded from Spending After Applying Truncation at the Member Level]]=Age_Sex_PY[[#This Row],[Total Spending before Truncation is Applied]]</f>
        <v>1</v>
      </c>
    </row>
    <row r="29" spans="1:10" x14ac:dyDescent="0.3">
      <c r="A29" s="160"/>
      <c r="B29" s="91"/>
      <c r="C29" s="108"/>
      <c r="D29" s="161"/>
      <c r="E29" s="108"/>
      <c r="F29" s="108"/>
      <c r="G29" s="176"/>
      <c r="H29" s="161"/>
      <c r="I29" s="108"/>
      <c r="J29" s="99" t="b">
        <f>Age_Sex_PY[[#This Row],[Total Spending After Applying Truncation at the Member Level]]+Age_Sex_PY[[#This Row],[Total Dollars Excluded from Spending After Applying Truncation at the Member Level]]=Age_Sex_PY[[#This Row],[Total Spending before Truncation is Applied]]</f>
        <v>1</v>
      </c>
    </row>
    <row r="30" spans="1:10" x14ac:dyDescent="0.3">
      <c r="A30" s="160"/>
      <c r="B30" s="91"/>
      <c r="C30" s="108"/>
      <c r="D30" s="161"/>
      <c r="E30" s="108"/>
      <c r="F30" s="108"/>
      <c r="G30" s="176"/>
      <c r="H30" s="161"/>
      <c r="I30" s="108"/>
      <c r="J30" s="99" t="b">
        <f>Age_Sex_PY[[#This Row],[Total Spending After Applying Truncation at the Member Level]]+Age_Sex_PY[[#This Row],[Total Dollars Excluded from Spending After Applying Truncation at the Member Level]]=Age_Sex_PY[[#This Row],[Total Spending before Truncation is Applied]]</f>
        <v>1</v>
      </c>
    </row>
    <row r="31" spans="1:10" x14ac:dyDescent="0.3">
      <c r="A31" s="160"/>
      <c r="B31" s="91"/>
      <c r="C31" s="108"/>
      <c r="D31" s="161"/>
      <c r="E31" s="108"/>
      <c r="F31" s="108"/>
      <c r="G31" s="176"/>
      <c r="H31" s="161"/>
      <c r="I31" s="108"/>
      <c r="J31" s="99" t="b">
        <f>Age_Sex_PY[[#This Row],[Total Spending After Applying Truncation at the Member Level]]+Age_Sex_PY[[#This Row],[Total Dollars Excluded from Spending After Applying Truncation at the Member Level]]=Age_Sex_PY[[#This Row],[Total Spending before Truncation is Applied]]</f>
        <v>1</v>
      </c>
    </row>
    <row r="32" spans="1:10" x14ac:dyDescent="0.3">
      <c r="A32" s="160"/>
      <c r="B32" s="91"/>
      <c r="C32" s="108"/>
      <c r="D32" s="161"/>
      <c r="E32" s="108"/>
      <c r="F32" s="108"/>
      <c r="G32" s="176"/>
      <c r="H32" s="161"/>
      <c r="I32" s="108"/>
      <c r="J32" s="99" t="b">
        <f>Age_Sex_PY[[#This Row],[Total Spending After Applying Truncation at the Member Level]]+Age_Sex_PY[[#This Row],[Total Dollars Excluded from Spending After Applying Truncation at the Member Level]]=Age_Sex_PY[[#This Row],[Total Spending before Truncation is Applied]]</f>
        <v>1</v>
      </c>
    </row>
    <row r="33" spans="1:10" x14ac:dyDescent="0.3">
      <c r="A33" s="160"/>
      <c r="B33" s="91"/>
      <c r="C33" s="108"/>
      <c r="D33" s="161"/>
      <c r="E33" s="108"/>
      <c r="F33" s="108"/>
      <c r="G33" s="176"/>
      <c r="H33" s="161"/>
      <c r="I33" s="108"/>
      <c r="J33" s="99" t="b">
        <f>Age_Sex_PY[[#This Row],[Total Spending After Applying Truncation at the Member Level]]+Age_Sex_PY[[#This Row],[Total Dollars Excluded from Spending After Applying Truncation at the Member Level]]=Age_Sex_PY[[#This Row],[Total Spending before Truncation is Applied]]</f>
        <v>1</v>
      </c>
    </row>
    <row r="34" spans="1:10" x14ac:dyDescent="0.3">
      <c r="A34" s="160"/>
      <c r="B34" s="91"/>
      <c r="C34" s="108"/>
      <c r="D34" s="161"/>
      <c r="E34" s="108"/>
      <c r="F34" s="108"/>
      <c r="G34" s="176"/>
      <c r="H34" s="161"/>
      <c r="I34" s="108"/>
      <c r="J34" s="99" t="b">
        <f>Age_Sex_PY[[#This Row],[Total Spending After Applying Truncation at the Member Level]]+Age_Sex_PY[[#This Row],[Total Dollars Excluded from Spending After Applying Truncation at the Member Level]]=Age_Sex_PY[[#This Row],[Total Spending before Truncation is Applied]]</f>
        <v>1</v>
      </c>
    </row>
    <row r="35" spans="1:10" x14ac:dyDescent="0.3">
      <c r="A35" s="160"/>
      <c r="B35" s="91"/>
      <c r="C35" s="108"/>
      <c r="D35" s="161"/>
      <c r="E35" s="108"/>
      <c r="F35" s="108"/>
      <c r="G35" s="176"/>
      <c r="H35" s="161"/>
      <c r="I35" s="108"/>
      <c r="J35" s="99" t="b">
        <f>Age_Sex_PY[[#This Row],[Total Spending After Applying Truncation at the Member Level]]+Age_Sex_PY[[#This Row],[Total Dollars Excluded from Spending After Applying Truncation at the Member Level]]=Age_Sex_PY[[#This Row],[Total Spending before Truncation is Applied]]</f>
        <v>1</v>
      </c>
    </row>
    <row r="36" spans="1:10" x14ac:dyDescent="0.3">
      <c r="A36" s="160"/>
      <c r="B36" s="91"/>
      <c r="C36" s="108"/>
      <c r="D36" s="161"/>
      <c r="E36" s="108"/>
      <c r="F36" s="108"/>
      <c r="G36" s="176"/>
      <c r="H36" s="161"/>
      <c r="I36" s="108"/>
      <c r="J36" s="99" t="b">
        <f>Age_Sex_PY[[#This Row],[Total Spending After Applying Truncation at the Member Level]]+Age_Sex_PY[[#This Row],[Total Dollars Excluded from Spending After Applying Truncation at the Member Level]]=Age_Sex_PY[[#This Row],[Total Spending before Truncation is Applied]]</f>
        <v>1</v>
      </c>
    </row>
    <row r="37" spans="1:10" x14ac:dyDescent="0.3">
      <c r="A37" s="160"/>
      <c r="B37" s="91"/>
      <c r="C37" s="108"/>
      <c r="D37" s="161"/>
      <c r="E37" s="108"/>
      <c r="F37" s="108"/>
      <c r="G37" s="176"/>
      <c r="H37" s="161"/>
      <c r="I37" s="108"/>
      <c r="J37" s="99" t="b">
        <f>Age_Sex_PY[[#This Row],[Total Spending After Applying Truncation at the Member Level]]+Age_Sex_PY[[#This Row],[Total Dollars Excluded from Spending After Applying Truncation at the Member Level]]=Age_Sex_PY[[#This Row],[Total Spending before Truncation is Applied]]</f>
        <v>1</v>
      </c>
    </row>
    <row r="38" spans="1:10" x14ac:dyDescent="0.3">
      <c r="A38" s="160"/>
      <c r="B38" s="91"/>
      <c r="C38" s="108"/>
      <c r="D38" s="161"/>
      <c r="E38" s="108"/>
      <c r="F38" s="108"/>
      <c r="G38" s="176"/>
      <c r="H38" s="161"/>
      <c r="I38" s="108"/>
      <c r="J38" s="99" t="b">
        <f>Age_Sex_PY[[#This Row],[Total Spending After Applying Truncation at the Member Level]]+Age_Sex_PY[[#This Row],[Total Dollars Excluded from Spending After Applying Truncation at the Member Level]]=Age_Sex_PY[[#This Row],[Total Spending before Truncation is Applied]]</f>
        <v>1</v>
      </c>
    </row>
    <row r="39" spans="1:10" x14ac:dyDescent="0.3">
      <c r="A39" s="123"/>
      <c r="B39" s="124"/>
      <c r="C39" s="125"/>
      <c r="D39" s="126"/>
      <c r="E39" s="127"/>
      <c r="F39" s="127"/>
      <c r="G39" s="177"/>
      <c r="H39" s="127"/>
      <c r="I39" s="127"/>
      <c r="J39" s="99" t="b">
        <f>Age_Sex_PY[[#This Row],[Total Spending After Applying Truncation at the Member Level]]+Age_Sex_PY[[#This Row],[Total Dollars Excluded from Spending After Applying Truncation at the Member Level]]=Age_Sex_PY[[#This Row],[Total Spending before Truncation is Applied]]</f>
        <v>1</v>
      </c>
    </row>
    <row r="40" spans="1:10" x14ac:dyDescent="0.3">
      <c r="A40" s="123"/>
      <c r="B40" s="124"/>
      <c r="C40" s="125"/>
      <c r="D40" s="126"/>
      <c r="E40" s="127"/>
      <c r="F40" s="127"/>
      <c r="G40" s="177"/>
      <c r="H40" s="127"/>
      <c r="I40" s="127"/>
      <c r="J40" s="99" t="b">
        <f>Age_Sex_PY[[#This Row],[Total Spending After Applying Truncation at the Member Level]]+Age_Sex_PY[[#This Row],[Total Dollars Excluded from Spending After Applying Truncation at the Member Level]]=Age_Sex_PY[[#This Row],[Total Spending before Truncation is Applied]]</f>
        <v>1</v>
      </c>
    </row>
    <row r="41" spans="1:10" x14ac:dyDescent="0.3">
      <c r="A41" s="123"/>
      <c r="B41" s="124"/>
      <c r="C41" s="125"/>
      <c r="D41" s="126"/>
      <c r="E41" s="127"/>
      <c r="F41" s="127"/>
      <c r="G41" s="177"/>
      <c r="H41" s="127"/>
      <c r="I41" s="127"/>
      <c r="J41" s="99" t="b">
        <f>Age_Sex_PY[[#This Row],[Total Spending After Applying Truncation at the Member Level]]+Age_Sex_PY[[#This Row],[Total Dollars Excluded from Spending After Applying Truncation at the Member Level]]=Age_Sex_PY[[#This Row],[Total Spending before Truncation is Applied]]</f>
        <v>1</v>
      </c>
    </row>
    <row r="42" spans="1:10" x14ac:dyDescent="0.3">
      <c r="A42" s="123"/>
      <c r="B42" s="124"/>
      <c r="C42" s="125"/>
      <c r="D42" s="126"/>
      <c r="E42" s="127"/>
      <c r="F42" s="127"/>
      <c r="G42" s="177"/>
      <c r="H42" s="127"/>
      <c r="I42" s="127"/>
      <c r="J42" s="99" t="b">
        <f>Age_Sex_PY[[#This Row],[Total Spending After Applying Truncation at the Member Level]]+Age_Sex_PY[[#This Row],[Total Dollars Excluded from Spending After Applying Truncation at the Member Level]]=Age_Sex_PY[[#This Row],[Total Spending before Truncation is Applied]]</f>
        <v>1</v>
      </c>
    </row>
  </sheetData>
  <sheetProtection sheet="1" insertRows="0" sort="0" autoFilter="0"/>
  <protectedRanges>
    <protectedRange sqref="A11:J42" name="Range1"/>
  </protectedRanges>
  <mergeCells count="1">
    <mergeCell ref="C4:D5"/>
  </mergeCells>
  <dataValidations count="6">
    <dataValidatio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42" xr:uid="{F6644A30-125E-4582-BDD2-1EADD2FD1B05}"/>
    <dataValidation type="decimal" operator="greaterThanOrEqual" allowBlank="1" showInputMessage="1" showErrorMessage="1" error="See Definitions tab._x000a_No negative values." prompt="See Definitions tab._x000a_No negative values._x000a_" sqref="F11:I42" xr:uid="{F184BFA5-48A4-4C4D-A6F1-BBDE22AE93FE}">
      <formula1>0</formula1>
    </dataValidation>
    <dataValidation allowBlank="1" showInputMessage="1" showErrorMessage="1" error="The number of unique members participating in a plan each month with a medical benefit, regardless of whether the member has any paid claims." prompt="1 = 0 to 1 year old_x000a_2 = 2 to 18 years old_x000a_3 = 19 to 39 years old_x000a_4 = 40 to 54 yeras old_x000a_5 = 55 to 64 years old_x000a_6 = 65 to 74 years old_x000a_7 = 75 to 84 years old_x000a_8 = 85+ years old" sqref="C11:C42" xr:uid="{12C07B65-D5BD-4B59-ADAD-0DC4AEC15775}"/>
    <dataValidation type="decimal" allowBlank="1" showInputMessage="1" showErrorMessage="1" error="See Definitions tab._x000a_No negative values. Number must be between ‘0.2’ and ‘10’." prompt="1 = Female_x000a_2 = Male" sqref="D11:D42" xr:uid="{B0C268AF-3194-4AC7-BC31-691AAE8283A4}">
      <formula1>0</formula1>
      <formula2>10</formula2>
    </dataValidation>
    <dataValidation type="whole" operator="equal" allowBlank="1" showInputMessage="1" showErrorMessage="1" error="For this submission, OSC will input “207” as the value for this field. " prompt="For this submission, OSC will input “207” as the value for this field. " sqref="A11:A42" xr:uid="{2F376E65-93D7-4393-921B-F77075537B39}">
      <formula1>207</formula1>
    </dataValidation>
    <dataValidation type="textLength" operator="equal" allowBlank="1" showInputMessage="1" showErrorMessage="1" error="Please input the insurance category being reported (see Reference Tables)" prompt="Insurance Category:_x000a_1 = Medicare Managed Care_x000a_3 = Commerical: Full-Claims" sqref="B11:B42" xr:uid="{402167E4-1558-49A1-8FF2-FF5C6DDA1745}">
      <formula1>1</formula1>
    </dataValidation>
  </dataValidation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BADF-DBFC-45E9-B2A5-1852BF621259}">
  <sheetPr>
    <tabColor theme="6"/>
  </sheetPr>
  <dimension ref="A1:G37"/>
  <sheetViews>
    <sheetView zoomScaleNormal="100" workbookViewId="0">
      <selection sqref="A1:G2"/>
    </sheetView>
  </sheetViews>
  <sheetFormatPr defaultRowHeight="14.4" x14ac:dyDescent="0.3"/>
  <cols>
    <col min="1" max="1" width="15.44140625" customWidth="1"/>
    <col min="2" max="2" width="97.5546875" customWidth="1"/>
    <col min="3" max="5" width="32.5546875" customWidth="1"/>
    <col min="6" max="6" width="31.44140625" customWidth="1"/>
  </cols>
  <sheetData>
    <row r="1" spans="1:7" x14ac:dyDescent="0.3">
      <c r="A1" s="221" t="s">
        <v>140</v>
      </c>
      <c r="B1" s="222"/>
      <c r="C1" s="222"/>
      <c r="D1" s="222"/>
      <c r="E1" s="222"/>
      <c r="F1" s="222"/>
      <c r="G1" s="223"/>
    </row>
    <row r="2" spans="1:7" x14ac:dyDescent="0.3">
      <c r="A2" s="224"/>
      <c r="B2" s="225"/>
      <c r="C2" s="225"/>
      <c r="D2" s="225"/>
      <c r="E2" s="225"/>
      <c r="F2" s="225"/>
      <c r="G2" s="226"/>
    </row>
    <row r="5" spans="1:7" x14ac:dyDescent="0.3">
      <c r="A5" s="1"/>
      <c r="B5" s="109" t="s">
        <v>141</v>
      </c>
      <c r="C5" s="110"/>
    </row>
    <row r="6" spans="1:7" x14ac:dyDescent="0.3">
      <c r="A6" s="23" t="s">
        <v>142</v>
      </c>
      <c r="B6" s="111"/>
      <c r="C6" s="4" t="s">
        <v>143</v>
      </c>
    </row>
    <row r="7" spans="1:7" x14ac:dyDescent="0.3">
      <c r="A7" s="23" t="s">
        <v>144</v>
      </c>
      <c r="B7" s="111"/>
      <c r="C7" s="4" t="s">
        <v>143</v>
      </c>
    </row>
    <row r="9" spans="1:7" x14ac:dyDescent="0.3">
      <c r="A9" s="4"/>
      <c r="B9" s="4" t="s">
        <v>145</v>
      </c>
    </row>
    <row r="10" spans="1:7" x14ac:dyDescent="0.3">
      <c r="B10" s="227" t="s">
        <v>8</v>
      </c>
      <c r="C10" s="228"/>
      <c r="D10" s="228"/>
      <c r="E10" s="229"/>
    </row>
    <row r="11" spans="1:7" x14ac:dyDescent="0.3">
      <c r="B11" s="112" t="s">
        <v>146</v>
      </c>
      <c r="C11" s="112" t="s">
        <v>243</v>
      </c>
      <c r="D11" s="112" t="s">
        <v>284</v>
      </c>
      <c r="E11" s="112" t="s">
        <v>147</v>
      </c>
    </row>
    <row r="12" spans="1:7" ht="28.8" x14ac:dyDescent="0.3">
      <c r="B12" s="114" t="s">
        <v>300</v>
      </c>
      <c r="C12" s="8"/>
      <c r="D12" s="8"/>
      <c r="E12" s="6"/>
    </row>
    <row r="13" spans="1:7" x14ac:dyDescent="0.3">
      <c r="B13" s="113" t="s">
        <v>148</v>
      </c>
      <c r="C13" s="8"/>
      <c r="D13" s="8"/>
      <c r="E13" s="6"/>
    </row>
    <row r="14" spans="1:7" x14ac:dyDescent="0.3">
      <c r="B14" s="113" t="s">
        <v>149</v>
      </c>
      <c r="C14" s="8"/>
      <c r="D14" s="8"/>
      <c r="E14" s="6"/>
    </row>
    <row r="15" spans="1:7" x14ac:dyDescent="0.3">
      <c r="B15" s="113" t="s">
        <v>150</v>
      </c>
      <c r="C15" s="8"/>
      <c r="D15" s="8"/>
      <c r="E15" s="6"/>
    </row>
    <row r="16" spans="1:7" x14ac:dyDescent="0.3">
      <c r="B16" s="113" t="s">
        <v>151</v>
      </c>
      <c r="C16" s="8"/>
      <c r="D16" s="8"/>
      <c r="E16" s="6"/>
    </row>
    <row r="17" spans="2:5" x14ac:dyDescent="0.3">
      <c r="B17" s="113" t="s">
        <v>152</v>
      </c>
      <c r="C17" s="8"/>
      <c r="D17" s="8"/>
      <c r="E17" s="6"/>
    </row>
    <row r="18" spans="2:5" x14ac:dyDescent="0.3">
      <c r="B18" s="113" t="s">
        <v>153</v>
      </c>
      <c r="C18" s="8"/>
      <c r="D18" s="8"/>
      <c r="E18" s="6"/>
    </row>
    <row r="19" spans="2:5" x14ac:dyDescent="0.3">
      <c r="B19" s="113" t="s">
        <v>154</v>
      </c>
      <c r="C19" s="8"/>
      <c r="D19" s="8"/>
      <c r="E19" s="6"/>
    </row>
    <row r="20" spans="2:5" x14ac:dyDescent="0.3">
      <c r="B20" s="113" t="s">
        <v>155</v>
      </c>
      <c r="C20" s="8"/>
      <c r="D20" s="8"/>
      <c r="E20" s="6"/>
    </row>
    <row r="21" spans="2:5" x14ac:dyDescent="0.3">
      <c r="B21" s="113" t="s">
        <v>156</v>
      </c>
      <c r="C21" s="8"/>
      <c r="D21" s="8"/>
      <c r="E21" s="6"/>
    </row>
    <row r="22" spans="2:5" x14ac:dyDescent="0.3">
      <c r="B22" s="114" t="s">
        <v>157</v>
      </c>
      <c r="C22" s="8"/>
      <c r="D22" s="8"/>
      <c r="E22" s="6"/>
    </row>
    <row r="23" spans="2:5" x14ac:dyDescent="0.3">
      <c r="B23" s="115" t="s">
        <v>158</v>
      </c>
      <c r="C23" s="8"/>
      <c r="D23" s="8"/>
      <c r="E23" s="6"/>
    </row>
    <row r="24" spans="2:5" x14ac:dyDescent="0.3">
      <c r="B24" s="113" t="s">
        <v>159</v>
      </c>
      <c r="C24" s="8"/>
      <c r="D24" s="8"/>
      <c r="E24" s="6"/>
    </row>
    <row r="25" spans="2:5" x14ac:dyDescent="0.3">
      <c r="B25" s="113" t="s">
        <v>259</v>
      </c>
      <c r="C25" s="8"/>
      <c r="D25" s="8"/>
      <c r="E25" s="6"/>
    </row>
    <row r="26" spans="2:5" x14ac:dyDescent="0.3">
      <c r="B26" s="113" t="s">
        <v>260</v>
      </c>
      <c r="C26" s="8"/>
      <c r="D26" s="8"/>
      <c r="E26" s="6"/>
    </row>
    <row r="27" spans="2:5" ht="28.8" x14ac:dyDescent="0.3">
      <c r="B27" s="115" t="s">
        <v>261</v>
      </c>
      <c r="C27" s="8"/>
      <c r="D27" s="8"/>
      <c r="E27" s="6"/>
    </row>
    <row r="28" spans="2:5" x14ac:dyDescent="0.3">
      <c r="B28" s="113" t="s">
        <v>160</v>
      </c>
      <c r="C28" s="8"/>
      <c r="D28" s="8"/>
      <c r="E28" s="6"/>
    </row>
    <row r="29" spans="2:5" x14ac:dyDescent="0.3">
      <c r="B29" s="113" t="s">
        <v>262</v>
      </c>
      <c r="C29" s="8"/>
      <c r="D29" s="8"/>
      <c r="E29" s="6"/>
    </row>
    <row r="30" spans="2:5" ht="28.8" x14ac:dyDescent="0.3">
      <c r="B30" s="114" t="s">
        <v>263</v>
      </c>
      <c r="C30" s="8"/>
      <c r="D30" s="8"/>
      <c r="E30" s="6"/>
    </row>
    <row r="31" spans="2:5" x14ac:dyDescent="0.3">
      <c r="B31" s="116" t="s">
        <v>161</v>
      </c>
      <c r="C31" s="8"/>
      <c r="D31" s="8"/>
      <c r="E31" s="6"/>
    </row>
    <row r="32" spans="2:5" ht="28.8" x14ac:dyDescent="0.3">
      <c r="B32" s="116" t="s">
        <v>162</v>
      </c>
      <c r="C32" s="8"/>
      <c r="D32" s="8"/>
      <c r="E32" s="6"/>
    </row>
    <row r="33" spans="2:5" x14ac:dyDescent="0.3">
      <c r="B33" s="116" t="s">
        <v>163</v>
      </c>
      <c r="C33" s="8"/>
      <c r="D33" s="8"/>
      <c r="E33" s="6"/>
    </row>
    <row r="34" spans="2:5" x14ac:dyDescent="0.3">
      <c r="B34" s="116" t="s">
        <v>164</v>
      </c>
      <c r="C34" s="8"/>
      <c r="D34" s="8"/>
      <c r="E34" s="6"/>
    </row>
    <row r="35" spans="2:5" ht="28.8" x14ac:dyDescent="0.3">
      <c r="B35" s="116" t="s">
        <v>165</v>
      </c>
      <c r="C35" s="8"/>
      <c r="D35" s="8"/>
      <c r="E35" s="6"/>
    </row>
    <row r="36" spans="2:5" ht="28.8" x14ac:dyDescent="0.3">
      <c r="B36" s="116" t="s">
        <v>340</v>
      </c>
      <c r="C36" s="8"/>
      <c r="D36" s="8"/>
      <c r="E36" s="6"/>
    </row>
    <row r="37" spans="2:5" x14ac:dyDescent="0.3">
      <c r="B37" s="113" t="s">
        <v>166</v>
      </c>
      <c r="C37" s="8"/>
      <c r="D37" s="8"/>
      <c r="E37" s="6"/>
    </row>
  </sheetData>
  <sheetProtection algorithmName="SHA-512" hashValue="mUUPAqK73WKWaoIbDfhSRv0F/dWan7YpWFiUu+xpIOz4Rw3G1cURxdm4ChyY/WvkOurHuw9GIaoqFN4uIBL40w==" saltValue="a/ex00eovHoq65XmOcGtKw==" spinCount="100000" sheet="1" objects="1" scenarios="1"/>
  <protectedRanges>
    <protectedRange sqref="B6:B7" name="Range2"/>
    <protectedRange sqref="C12:E35 C37:E37" name="Range1"/>
    <protectedRange sqref="C36:E36" name="Range2_1"/>
  </protectedRanges>
  <mergeCells count="2">
    <mergeCell ref="A1:G2"/>
    <mergeCell ref="B10:E10"/>
  </mergeCells>
  <dataValidations count="2">
    <dataValidation type="list" allowBlank="1" showInputMessage="1" showErrorMessage="1" error="Please select an option from the drop down list." prompt="Please select an option from the drop down list." sqref="C12:D21 C24:D35 C37:D37" xr:uid="{BDA5BD91-9DA7-4D6E-90FD-7A320FD02279}">
      <formula1>"Yes, No"</formula1>
    </dataValidation>
    <dataValidation type="list" allowBlank="1" showInputMessage="1" showErrorMessage="1" error="Please select an option from the drop down list." prompt="Please select an option from the drop down list." sqref="C36:D36" xr:uid="{C2A7623C-A150-40DD-A4F5-3540C3DCE2C3}">
      <formula1>"Yes, No, Not Applicable"</formula1>
    </dataValidation>
  </dataValidation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DBDB-19CE-40E3-A354-1700A62F6300}">
  <sheetPr>
    <tabColor theme="9"/>
  </sheetPr>
  <dimension ref="B2:J46"/>
  <sheetViews>
    <sheetView zoomScaleNormal="100" workbookViewId="0"/>
  </sheetViews>
  <sheetFormatPr defaultRowHeight="14.4" x14ac:dyDescent="0.3"/>
  <cols>
    <col min="1" max="1" width="3.88671875" customWidth="1"/>
    <col min="2" max="2" width="46.6640625" customWidth="1"/>
    <col min="3" max="6" width="17" customWidth="1"/>
    <col min="7" max="7" width="46.6640625" customWidth="1"/>
    <col min="8" max="10" width="17" customWidth="1"/>
    <col min="11" max="14" width="21.33203125" customWidth="1"/>
  </cols>
  <sheetData>
    <row r="2" spans="2:10" ht="18" x14ac:dyDescent="0.35">
      <c r="B2" s="66" t="s">
        <v>10</v>
      </c>
    </row>
    <row r="3" spans="2:10" ht="44.25" customHeight="1" x14ac:dyDescent="0.3">
      <c r="B3" s="230" t="s">
        <v>286</v>
      </c>
      <c r="C3" s="230"/>
      <c r="D3" s="230"/>
      <c r="E3" s="230"/>
      <c r="F3" s="230"/>
      <c r="G3" s="230"/>
      <c r="H3" s="230"/>
      <c r="I3" s="230"/>
      <c r="J3" s="230"/>
    </row>
    <row r="5" spans="2:10" ht="15.6" x14ac:dyDescent="0.3">
      <c r="B5" s="41" t="s">
        <v>167</v>
      </c>
    </row>
    <row r="6" spans="2:10" x14ac:dyDescent="0.3">
      <c r="B6" s="46" t="s">
        <v>168</v>
      </c>
      <c r="C6" s="47" t="s">
        <v>244</v>
      </c>
      <c r="D6" s="47" t="s">
        <v>285</v>
      </c>
      <c r="E6" s="48" t="s">
        <v>287</v>
      </c>
    </row>
    <row r="7" spans="2:10" x14ac:dyDescent="0.3">
      <c r="B7" s="44" t="s">
        <v>27</v>
      </c>
      <c r="C7" s="56">
        <f>SUMIF(TME_BY[[#All],[Insurance Category Code]],3,TME_BY[[#All],[Member Months]])</f>
        <v>0</v>
      </c>
      <c r="D7" s="56">
        <f>SUMIF(TME_PY[[#All],[Insurance Category Code]],3,TME_PY[[#All],[Member Months]])</f>
        <v>0</v>
      </c>
      <c r="E7" s="156" t="str">
        <f>IFERROR(MMbyMkt[[#This Row],[2024]]/MMbyMkt[[#This Row],[2023]]-1,"NA")</f>
        <v>NA</v>
      </c>
    </row>
    <row r="8" spans="2:10" x14ac:dyDescent="0.3">
      <c r="B8" s="44" t="s">
        <v>30</v>
      </c>
      <c r="C8" s="56">
        <f>SUMIF(TME_BY[[#All],[Insurance Category Code]],1,TME_BY[[#All],[Member Months]])</f>
        <v>0</v>
      </c>
      <c r="D8" s="56">
        <f>SUMIF(TME_PY[[#All],[Insurance Category Code]],1,TME_PY[[#All],[Member Months]])</f>
        <v>0</v>
      </c>
      <c r="E8" s="158" t="str">
        <f>IFERROR(MMbyMkt[[#This Row],[2024]]/MMbyMkt[[#This Row],[2023]]-1,"NA")</f>
        <v>NA</v>
      </c>
    </row>
    <row r="9" spans="2:10" x14ac:dyDescent="0.3">
      <c r="B9" s="49" t="s">
        <v>169</v>
      </c>
      <c r="C9" s="183">
        <f>SUM(C7:C8)</f>
        <v>0</v>
      </c>
      <c r="D9" s="183">
        <f>SUM(D7:D8)</f>
        <v>0</v>
      </c>
      <c r="E9" s="157" t="str">
        <f>IFERROR(MMbyMkt[[#This Row],[2024]]/MMbyMkt[[#This Row],[2023]]-1,"NA")</f>
        <v>NA</v>
      </c>
      <c r="F9" s="57"/>
    </row>
    <row r="11" spans="2:10" ht="15.6" x14ac:dyDescent="0.3">
      <c r="B11" s="41" t="s">
        <v>170</v>
      </c>
      <c r="F11" s="57"/>
      <c r="G11" s="41" t="s">
        <v>171</v>
      </c>
    </row>
    <row r="12" spans="2:10" x14ac:dyDescent="0.3">
      <c r="B12" s="46" t="s">
        <v>168</v>
      </c>
      <c r="C12" s="47" t="s">
        <v>244</v>
      </c>
      <c r="D12" s="48" t="s">
        <v>285</v>
      </c>
      <c r="E12" s="48" t="s">
        <v>287</v>
      </c>
      <c r="G12" s="46" t="s">
        <v>168</v>
      </c>
      <c r="H12" s="47" t="s">
        <v>244</v>
      </c>
      <c r="I12" s="48" t="s">
        <v>285</v>
      </c>
      <c r="J12" s="48" t="s">
        <v>287</v>
      </c>
    </row>
    <row r="13" spans="2:10" x14ac:dyDescent="0.3">
      <c r="B13" s="44" t="s">
        <v>27</v>
      </c>
      <c r="C13" s="132">
        <f>SUMIF(TME_BY[[#All],[Insurance Category Code]],3,TME_BY[[#All],[TOTAL Non-Truncated Unadjusted Claims Expenses]])</f>
        <v>0</v>
      </c>
      <c r="D13" s="132">
        <f>SUMIF(TME_PY[[#All],[Insurance Category Code]],3,TME_PY[[#All],[TOTAL Non-Truncated Unadjusted Claims Expenses]])</f>
        <v>0</v>
      </c>
      <c r="E13" s="156" t="str">
        <f>IFERROR(TMEbyMkt[[#This Row],[2024]]/TMEbyMkt[[#This Row],[2023]]-1,"NA")</f>
        <v>NA</v>
      </c>
      <c r="G13" s="44" t="s">
        <v>27</v>
      </c>
      <c r="H13" s="184" t="str">
        <f>IFERROR(TMEbyMkt[[#This Row],[2023]]/C7,"NA")</f>
        <v>NA</v>
      </c>
      <c r="I13" s="184" t="str">
        <f>IFERROR(TMEbyMkt[[#This Row],[2024]]/D7,"NA")</f>
        <v>NA</v>
      </c>
      <c r="J13" s="159" t="str">
        <f>IFERROR(TMEPMPMbyMkt[[#This Row],[2024]]/TMEPMPMbyMkt[[#This Row],[2023]]-1,"NA")</f>
        <v>NA</v>
      </c>
    </row>
    <row r="14" spans="2:10" x14ac:dyDescent="0.3">
      <c r="B14" s="44" t="s">
        <v>30</v>
      </c>
      <c r="C14" s="132">
        <f>SUMIF(TME_BY[[#All],[Insurance Category Code]],1,TME_BY[[#All],[TOTAL Non-Truncated Unadjusted Claims Expenses]])</f>
        <v>0</v>
      </c>
      <c r="D14" s="132">
        <f>SUMIF(TME_PY[[#All],[Insurance Category Code]],1,TME_PY[[#All],[TOTAL Non-Truncated Unadjusted Claims Expenses]])</f>
        <v>0</v>
      </c>
      <c r="E14" s="156" t="str">
        <f>IFERROR(TMEbyMkt[[#This Row],[2024]]/TMEbyMkt[[#This Row],[2023]]-1,"NA")</f>
        <v>NA</v>
      </c>
      <c r="G14" s="44" t="s">
        <v>30</v>
      </c>
      <c r="H14" s="184" t="str">
        <f>IFERROR(TMEbyMkt[[#This Row],[2023]]/C8,"NA")</f>
        <v>NA</v>
      </c>
      <c r="I14" s="184" t="str">
        <f>IFERROR(TMEbyMkt[[#This Row],[2024]]/D8,"NA")</f>
        <v>NA</v>
      </c>
      <c r="J14" s="159" t="str">
        <f>IFERROR(TMEPMPMbyMkt[[#This Row],[2024]]/TMEPMPMbyMkt[[#This Row],[2023]]-1,"NA")</f>
        <v>NA</v>
      </c>
    </row>
    <row r="15" spans="2:10" x14ac:dyDescent="0.3">
      <c r="B15" s="45" t="s">
        <v>172</v>
      </c>
      <c r="C15" s="155">
        <f>SUM(C13:C14)</f>
        <v>0</v>
      </c>
      <c r="D15" s="155">
        <f>SUM(D13:D14)</f>
        <v>0</v>
      </c>
      <c r="E15" s="157" t="str">
        <f>IFERROR(TMEbyMkt[[#This Row],[2024]]/TMEbyMkt[[#This Row],[2023]]-1,"NA")</f>
        <v>NA</v>
      </c>
      <c r="G15" s="45" t="s">
        <v>172</v>
      </c>
      <c r="H15" s="185" t="str">
        <f>IFERROR(TMEbyMkt[[#This Row],[2023]]/C9,"NA")</f>
        <v>NA</v>
      </c>
      <c r="I15" s="185" t="str">
        <f>IFERROR(TMEbyMkt[[#This Row],[2024]]/D9,"NA")</f>
        <v>NA</v>
      </c>
      <c r="J15" s="157" t="str">
        <f>IFERROR(TMEPMPMbyMkt[[#This Row],[2024]]/TMEPMPMbyMkt[[#This Row],[2023]]-1,"NA")</f>
        <v>NA</v>
      </c>
    </row>
    <row r="17" spans="2:10" ht="15.6" x14ac:dyDescent="0.3">
      <c r="B17" s="41" t="s">
        <v>173</v>
      </c>
      <c r="G17" s="41" t="s">
        <v>174</v>
      </c>
    </row>
    <row r="18" spans="2:10" x14ac:dyDescent="0.3">
      <c r="B18" s="46" t="s">
        <v>168</v>
      </c>
      <c r="C18" s="47" t="s">
        <v>244</v>
      </c>
      <c r="D18" s="48" t="s">
        <v>285</v>
      </c>
      <c r="E18" s="48" t="s">
        <v>287</v>
      </c>
      <c r="G18" s="46" t="s">
        <v>168</v>
      </c>
      <c r="H18" s="47" t="s">
        <v>244</v>
      </c>
      <c r="I18" s="48" t="s">
        <v>285</v>
      </c>
      <c r="J18" s="48" t="s">
        <v>287</v>
      </c>
    </row>
    <row r="19" spans="2:10" x14ac:dyDescent="0.3">
      <c r="B19" s="44" t="s">
        <v>27</v>
      </c>
      <c r="C19" s="132">
        <f>SUMIF(TME_BY[[#All],[Insurance Category Code]],3,TME_BY[[#All],[TOTAL Truncated Unadjusted Expenses (A22 + A23)]])</f>
        <v>0</v>
      </c>
      <c r="D19" s="132">
        <f>SUMIF(TME_PY[[#All],[Insurance Category Code]],3,TME_PY[[#All],[TOTAL Truncated Unadjusted Expenses (A22 + A23)]])</f>
        <v>0</v>
      </c>
      <c r="E19" s="156" t="str">
        <f>IFERROR(RATMEbyMkt[[#This Row],[2024]]/RATMEbyMkt[[#This Row],[2023]]-1,"NA")</f>
        <v>NA</v>
      </c>
      <c r="G19" s="44" t="s">
        <v>27</v>
      </c>
      <c r="H19" s="184" t="str">
        <f>IFERROR(RATMEbyMkt[[#This Row],[2023]]/C7,"NA")</f>
        <v>NA</v>
      </c>
      <c r="I19" s="184" t="str">
        <f>IFERROR(RATMEbyMkt[[#This Row],[2024]]/D7,"NA")</f>
        <v>NA</v>
      </c>
      <c r="J19" s="159" t="str">
        <f>IFERROR(RATMEPMPMbyMkt[[#This Row],[2024]]/RATMEPMPMbyMkt[[#This Row],[2023]]-1,"NA")</f>
        <v>NA</v>
      </c>
    </row>
    <row r="20" spans="2:10" x14ac:dyDescent="0.3">
      <c r="B20" s="44" t="s">
        <v>30</v>
      </c>
      <c r="C20" s="132">
        <f>SUMIF(TME_BY[[#All],[Insurance Category Code]],1,TME_BY[[#All],[TOTAL Truncated Unadjusted Expenses (A22 + A23)]])</f>
        <v>0</v>
      </c>
      <c r="D20" s="132">
        <f>SUMIF(TME_PY[[#All],[Insurance Category Code]],1,TME_PY[[#All],[TOTAL Truncated Unadjusted Expenses (A22 + A23)]])</f>
        <v>0</v>
      </c>
      <c r="E20" s="158" t="str">
        <f>IFERROR(RATMEbyMkt[[#This Row],[2024]]/RATMEbyMkt[[#This Row],[2023]]-1,"NA")</f>
        <v>NA</v>
      </c>
      <c r="G20" s="44" t="s">
        <v>30</v>
      </c>
      <c r="H20" s="184" t="str">
        <f>IFERROR(RATMEbyMkt[[#This Row],[2023]]/C8,"NA")</f>
        <v>NA</v>
      </c>
      <c r="I20" s="184" t="str">
        <f>IFERROR(RATMEbyMkt[[#This Row],[2024]]/D8,"NA")</f>
        <v>NA</v>
      </c>
      <c r="J20" s="159" t="str">
        <f>IFERROR(RATMEPMPMbyMkt[[#This Row],[2024]]/RATMEPMPMbyMkt[[#This Row],[2023]]-1,"NA")</f>
        <v>NA</v>
      </c>
    </row>
    <row r="21" spans="2:10" x14ac:dyDescent="0.3">
      <c r="B21" s="45" t="s">
        <v>175</v>
      </c>
      <c r="C21" s="155">
        <f>SUM(C19:C20)</f>
        <v>0</v>
      </c>
      <c r="D21" s="155">
        <f>SUM(D19:D20)</f>
        <v>0</v>
      </c>
      <c r="E21" s="157" t="str">
        <f>IFERROR(RATMEbyMkt[[#This Row],[2024]]/RATMEbyMkt[[#This Row],[2023]]-1,"NA")</f>
        <v>NA</v>
      </c>
      <c r="G21" s="45" t="s">
        <v>176</v>
      </c>
      <c r="H21" s="185" t="str">
        <f>IFERROR(RATMEbyMkt[[#This Row],[2023]]/C9,"NA")</f>
        <v>NA</v>
      </c>
      <c r="I21" s="185" t="str">
        <f>IFERROR(RATMEbyMkt[[#This Row],[2024]]/D9,"NA")</f>
        <v>NA</v>
      </c>
      <c r="J21" s="157" t="str">
        <f>IFERROR(RATMEPMPMbyMkt[[#This Row],[2024]]/RATMEPMPMbyMkt[[#This Row],[2023]]-1,"NA")</f>
        <v>NA</v>
      </c>
    </row>
    <row r="23" spans="2:10" ht="15.6" x14ac:dyDescent="0.3">
      <c r="B23" s="41" t="s">
        <v>177</v>
      </c>
      <c r="G23" s="41" t="s">
        <v>178</v>
      </c>
    </row>
    <row r="24" spans="2:10" x14ac:dyDescent="0.3">
      <c r="B24" s="42" t="s">
        <v>179</v>
      </c>
      <c r="G24" s="42" t="s">
        <v>264</v>
      </c>
    </row>
    <row r="25" spans="2:10" x14ac:dyDescent="0.3">
      <c r="B25" s="50" t="s">
        <v>180</v>
      </c>
      <c r="C25" s="51" t="s">
        <v>244</v>
      </c>
      <c r="D25" s="51" t="s">
        <v>285</v>
      </c>
      <c r="E25" s="52" t="s">
        <v>287</v>
      </c>
      <c r="G25" s="53" t="s">
        <v>180</v>
      </c>
      <c r="H25" s="54" t="s">
        <v>244</v>
      </c>
      <c r="I25" s="55" t="s">
        <v>285</v>
      </c>
      <c r="J25" s="55" t="s">
        <v>287</v>
      </c>
    </row>
    <row r="26" spans="2:10" x14ac:dyDescent="0.3">
      <c r="B26" s="43" t="s">
        <v>123</v>
      </c>
      <c r="C26" s="186">
        <f>SUMIF(TME_BY[[#All],[Insurance Category Code]],3,TME_BY[[#All],[Member Months]])</f>
        <v>0</v>
      </c>
      <c r="D26" s="186">
        <f>SUMIF(TME_PY[[#All],[Insurance Category Code]],3,TME_PY[[#All],[Member Months]])</f>
        <v>0</v>
      </c>
      <c r="E26" s="159" t="str">
        <f>IFERROR(ICC3TME[[#This Row],[2024]]/ICC3TME[[#This Row],[2023]]-1,"NA")</f>
        <v>NA</v>
      </c>
      <c r="G26" s="193" t="s">
        <v>123</v>
      </c>
      <c r="H26" s="186">
        <f>SUMIF(TME_BY[[#All],[Insurance Category Code]],1,TME_BY[[#All],[Member Months]])</f>
        <v>0</v>
      </c>
      <c r="I26" s="186">
        <f>SUMIF(TME_PY[[#All],[Insurance Category Code]],1,TME_PY[[#All],[Member Months]])</f>
        <v>0</v>
      </c>
      <c r="J26" s="191" t="str">
        <f>IFERROR(ICC1TME[[#This Row],[2024]]/ICC1TME[[#This Row],[2023]]-1,"NA")</f>
        <v>NA</v>
      </c>
    </row>
    <row r="27" spans="2:10" x14ac:dyDescent="0.3">
      <c r="B27" s="43" t="s">
        <v>52</v>
      </c>
      <c r="C27" s="187" t="str">
        <f>IFERROR((SUMIF(TME_BY[[#All],[Insurance Category Code]],3,TME_BY[[#All],[Claims: Hospital Inpatient]]))/C26,"NA")</f>
        <v>NA</v>
      </c>
      <c r="D27" s="187" t="str">
        <f>IFERROR((SUMIF(TME_PY[[#All],[Insurance Category Code]],3,TME_PY[[#All],[Claims: Hospital Inpatient]]))/D26,"NA")</f>
        <v>NA</v>
      </c>
      <c r="E27" s="159" t="str">
        <f>IFERROR(ICC3TME[[#This Row],[2024]]/ICC3TME[[#This Row],[2023]]-1,"NA")</f>
        <v>NA</v>
      </c>
      <c r="G27" s="193" t="s">
        <v>52</v>
      </c>
      <c r="H27" s="187" t="str">
        <f>IFERROR((SUMIF(TME_BY[[#All],[Insurance Category Code]],1,TME_BY[[#All],[Claims: Hospital Inpatient]]))/H26,"NA")</f>
        <v>NA</v>
      </c>
      <c r="I27" s="187" t="str">
        <f>IFERROR((SUMIF(TME_PY[[#All],[Insurance Category Code]],1,TME_PY[[#All],[Claims: Hospital Inpatient]]))/I26,"NA")</f>
        <v>NA</v>
      </c>
      <c r="J27" s="191" t="str">
        <f>IFERROR(ICC1TME[[#This Row],[2024]]/ICC1TME[[#This Row],[2023]]-1,"NA")</f>
        <v>NA</v>
      </c>
    </row>
    <row r="28" spans="2:10" x14ac:dyDescent="0.3">
      <c r="B28" s="43" t="s">
        <v>53</v>
      </c>
      <c r="C28" s="187" t="str">
        <f>IFERROR((SUMIF(TME_BY[[#All],[Insurance Category Code]],3,TME_BY[[#All],[Claims: Hospital Outpatient]]))/C26,"NA")</f>
        <v>NA</v>
      </c>
      <c r="D28" s="187" t="str">
        <f>IFERROR((SUMIF(TME_PY[[#All],[Insurance Category Code]],3,TME_PY[[#All],[Claims: Hospital Outpatient]]))/D26,"NA")</f>
        <v>NA</v>
      </c>
      <c r="E28" s="159" t="str">
        <f>IFERROR(ICC3TME[[#This Row],[2024]]/ICC3TME[[#This Row],[2023]]-1,"NA")</f>
        <v>NA</v>
      </c>
      <c r="G28" s="193" t="s">
        <v>53</v>
      </c>
      <c r="H28" s="187" t="str">
        <f>IFERROR((SUMIF(TME_BY[[#All],[Insurance Category Code]],1,TME_BY[[#All],[Claims: Hospital Outpatient]]))/H26,"NA")</f>
        <v>NA</v>
      </c>
      <c r="I28" s="187" t="str">
        <f>IFERROR((SUMIF(TME_PY[[#All],[Insurance Category Code]],1,TME_PY[[#All],[Claims: Hospital Outpatient]]))/I26,"NA")</f>
        <v>NA</v>
      </c>
      <c r="J28" s="191" t="str">
        <f>IFERROR(ICC1TME[[#This Row],[2024]]/ICC1TME[[#This Row],[2023]]-1,"NA")</f>
        <v>NA</v>
      </c>
    </row>
    <row r="29" spans="2:10" x14ac:dyDescent="0.3">
      <c r="B29" s="43" t="s">
        <v>55</v>
      </c>
      <c r="C29" s="187" t="str">
        <f>IFERROR((SUMIF(TME_BY[[#All],[Insurance Category Code]],3,TME_BY[[#All],[Claims: Professional, Primary Care]]))/C26,"NA")</f>
        <v>NA</v>
      </c>
      <c r="D29" s="187" t="str">
        <f>IFERROR((SUMIF(TME_PY[[#All],[Insurance Category Code]],3,TME_PY[[#All],[Claims: Professional, Primary Care]]))/D26,"NA")</f>
        <v>NA</v>
      </c>
      <c r="E29" s="159" t="str">
        <f>IFERROR(ICC3TME[[#This Row],[2024]]/ICC3TME[[#This Row],[2023]]-1,"NA")</f>
        <v>NA</v>
      </c>
      <c r="G29" s="193" t="s">
        <v>55</v>
      </c>
      <c r="H29" s="187" t="str">
        <f>IFERROR((SUMIF(TME_BY[[#All],[Insurance Category Code]],1,TME_BY[[#All],[Claims: Professional, Primary Care]]))/H26,"NA")</f>
        <v>NA</v>
      </c>
      <c r="I29" s="187" t="str">
        <f>IFERROR((SUMIF(TME_PY[[#All],[Insurance Category Code]],1,TME_PY[[#All],[Claims: Professional, Primary Care]]))/I26,"NA")</f>
        <v>NA</v>
      </c>
      <c r="J29" s="191" t="str">
        <f>IFERROR(ICC1TME[[#This Row],[2024]]/ICC1TME[[#This Row],[2023]]-1,"NA")</f>
        <v>NA</v>
      </c>
    </row>
    <row r="30" spans="2:10" ht="28.8" x14ac:dyDescent="0.3">
      <c r="B30" s="43" t="s">
        <v>56</v>
      </c>
      <c r="C30" s="187" t="str">
        <f>IFERROR((SUMIF(TME_BY[[#All],[Insurance Category Code]],3,TME_BY[[#All],[Claims: Professional, Primary Care (for Monitoring Purposes)]]))/C26,"NA")</f>
        <v>NA</v>
      </c>
      <c r="D30" s="187" t="str">
        <f>IFERROR((SUMIF(TME_PY[[#All],[Insurance Category Code]],3,TME_PY[[#All],[Claims: Professional, Primary Care (for Monitoring Purposes)]]))/D26,"NA")</f>
        <v>NA</v>
      </c>
      <c r="E30" s="159" t="str">
        <f>IFERROR(ICC3TME[[#This Row],[2024]]/ICC3TME[[#This Row],[2023]]-1,"NA")</f>
        <v>NA</v>
      </c>
      <c r="G30" s="193" t="s">
        <v>56</v>
      </c>
      <c r="H30" s="187" t="str">
        <f>IFERROR((SUMIF(TME_BY[[#All],[Insurance Category Code]],1,TME_BY[[#All],[Claims: Professional, Primary Care (for Monitoring Purposes)]]))/H26,"NA")</f>
        <v>NA</v>
      </c>
      <c r="I30" s="187" t="str">
        <f>IFERROR((SUMIF(TME_PY[[#All],[Insurance Category Code]],1,TME_PY[[#All],[Claims: Professional, Primary Care (for Monitoring Purposes)]]))/I26,"NA")</f>
        <v>NA</v>
      </c>
      <c r="J30" s="191" t="str">
        <f>IFERROR(ICC1TME[[#This Row],[2024]]/ICC1TME[[#This Row],[2023]]-1,"NA")</f>
        <v>NA</v>
      </c>
    </row>
    <row r="31" spans="2:10" x14ac:dyDescent="0.3">
      <c r="B31" s="43" t="s">
        <v>57</v>
      </c>
      <c r="C31" s="187" t="str">
        <f>IFERROR((SUMIF(TME_BY[[#All],[Insurance Category Code]],3,TME_BY[[#All],[Claims: Professional, Specialty]]))/C26,"NA")</f>
        <v>NA</v>
      </c>
      <c r="D31" s="187" t="str">
        <f>IFERROR((SUMIF(TME_PY[[#All],[Insurance Category Code]],3,TME_PY[[#All],[Claims: Professional, Specialty]]))/D26,"NA")</f>
        <v>NA</v>
      </c>
      <c r="E31" s="159" t="str">
        <f>IFERROR(ICC3TME[[#This Row],[2024]]/ICC3TME[[#This Row],[2023]]-1,"NA")</f>
        <v>NA</v>
      </c>
      <c r="G31" s="193" t="s">
        <v>57</v>
      </c>
      <c r="H31" s="187" t="str">
        <f>IFERROR((SUMIF(TME_BY[[#All],[Insurance Category Code]],1,TME_BY[[#All],[Claims: Professional, Specialty]]))/H26,"NA")</f>
        <v>NA</v>
      </c>
      <c r="I31" s="187" t="str">
        <f>IFERROR((SUMIF(TME_PY[[#All],[Insurance Category Code]],1,TME_PY[[#All],[Claims: Professional, Specialty]]))/I26,"NA")</f>
        <v>NA</v>
      </c>
      <c r="J31" s="191" t="str">
        <f>IFERROR(ICC1TME[[#This Row],[2024]]/ICC1TME[[#This Row],[2023]]-1,"NA")</f>
        <v>NA</v>
      </c>
    </row>
    <row r="32" spans="2:10" x14ac:dyDescent="0.3">
      <c r="B32" s="43" t="s">
        <v>58</v>
      </c>
      <c r="C32" s="187" t="str">
        <f>IFERROR((SUMIF(TME_BY[[#All],[Insurance Category Code]],3,TME_BY[[#All],[Claims: Professional Other]]))/C26,"NA")</f>
        <v>NA</v>
      </c>
      <c r="D32" s="187" t="str">
        <f>IFERROR((SUMIF(TME_PY[[#All],[Insurance Category Code]],3,TME_PY[[#All],[Claims: Professional Other]]))/D26,"NA")</f>
        <v>NA</v>
      </c>
      <c r="E32" s="159" t="str">
        <f>IFERROR(ICC3TME[[#This Row],[2024]]/ICC3TME[[#This Row],[2023]]-1,"NA")</f>
        <v>NA</v>
      </c>
      <c r="G32" s="193" t="s">
        <v>58</v>
      </c>
      <c r="H32" s="187" t="str">
        <f>IFERROR((SUMIF(TME_BY[[#All],[Insurance Category Code]],1,TME_BY[[#All],[Claims: Professional Other]]))/H26,"NA")</f>
        <v>NA</v>
      </c>
      <c r="I32" s="187" t="str">
        <f>IFERROR((SUMIF(TME_PY[[#All],[Insurance Category Code]],1,TME_PY[[#All],[Claims: Professional Other]]))/I26,"NA")</f>
        <v>NA</v>
      </c>
      <c r="J32" s="191" t="str">
        <f>IFERROR(ICC1TME[[#This Row],[2024]]/ICC1TME[[#This Row],[2023]]-1,"NA")</f>
        <v>NA</v>
      </c>
    </row>
    <row r="33" spans="2:10" x14ac:dyDescent="0.3">
      <c r="B33" s="43" t="s">
        <v>181</v>
      </c>
      <c r="C33" s="187" t="str">
        <f>IFERROR((SUMIF(TME_BY[[#All],[Insurance Category Code]],3,TME_BY[[#All],[Claims: Pharmacy]]))/C27,"NA")</f>
        <v>NA</v>
      </c>
      <c r="D33" s="187" t="str">
        <f>IFERROR((SUMIF(TME_PY[[#All],[Insurance Category Code]],3,TME_PY[[#All],[Claims: Pharmacy]]))/D27,"NA")</f>
        <v>NA</v>
      </c>
      <c r="E33" s="159" t="str">
        <f>IFERROR(ICC3TME[[#This Row],[2024]]/ICC3TME[[#This Row],[2023]]-1,"NA")</f>
        <v>NA</v>
      </c>
      <c r="G33" s="193" t="s">
        <v>181</v>
      </c>
      <c r="H33" s="187" t="str">
        <f>IFERROR((SUMIF(TME_BY[[#All],[Insurance Category Code]],1,TME_BY[[#All],[Claims: Pharmacy]]))/H27,"NA")</f>
        <v>NA</v>
      </c>
      <c r="I33" s="187" t="str">
        <f>IFERROR((SUMIF(TME_PY[[#All],[Insurance Category Code]],1,TME_PY[[#All],[Claims: Pharmacy]]))/I27,"NA")</f>
        <v>NA</v>
      </c>
      <c r="J33" s="191" t="str">
        <f>IFERROR(ICC1TME[[#This Row],[2024]]/ICC1TME[[#This Row],[2023]]-1,"NA")</f>
        <v>NA</v>
      </c>
    </row>
    <row r="34" spans="2:10" x14ac:dyDescent="0.3">
      <c r="B34" s="43" t="s">
        <v>60</v>
      </c>
      <c r="C34" s="187" t="str">
        <f>IFERROR((SUMIF(TME_BY[[#All],[Insurance Category Code]],3,TME_BY[[#All],[Claims: Long-Term Care]]))/C28,"NA")</f>
        <v>NA</v>
      </c>
      <c r="D34" s="187" t="str">
        <f>IFERROR((SUMIF(TME_PY[[#All],[Insurance Category Code]],3,TME_PY[[#All],[Claims: Long-Term Care]]))/D28,"NA")</f>
        <v>NA</v>
      </c>
      <c r="E34" s="159" t="str">
        <f>IFERROR(ICC3TME[[#This Row],[2024]]/ICC3TME[[#This Row],[2023]]-1,"NA")</f>
        <v>NA</v>
      </c>
      <c r="G34" s="193" t="s">
        <v>60</v>
      </c>
      <c r="H34" s="187" t="str">
        <f>IFERROR((SUMIF(TME_BY[[#All],[Insurance Category Code]],1,TME_BY[[#All],[Claims: Long-Term Care]]))/H28,"NA")</f>
        <v>NA</v>
      </c>
      <c r="I34" s="187" t="str">
        <f>IFERROR((SUMIF(TME_PY[[#All],[Insurance Category Code]],1,TME_PY[[#All],[Claims: Long-Term Care]]))/I28,"NA")</f>
        <v>NA</v>
      </c>
      <c r="J34" s="191" t="str">
        <f>IFERROR(ICC1TME[[#This Row],[2024]]/ICC1TME[[#This Row],[2023]]-1,"NA")</f>
        <v>NA</v>
      </c>
    </row>
    <row r="35" spans="2:10" x14ac:dyDescent="0.3">
      <c r="B35" s="43" t="s">
        <v>61</v>
      </c>
      <c r="C35" s="187" t="str">
        <f>IFERROR((SUMIF(TME_BY[[#All],[Insurance Category Code]],3,TME_BY[[#All],[Claims: Other]]))/C29,"NA")</f>
        <v>NA</v>
      </c>
      <c r="D35" s="187" t="str">
        <f>IFERROR((SUMIF(TME_PY[[#All],[Insurance Category Code]],3,TME_PY[[#All],[Claims: Other]]))/D29,"NA")</f>
        <v>NA</v>
      </c>
      <c r="E35" s="159" t="str">
        <f>IFERROR(ICC3TME[[#This Row],[2024]]/ICC3TME[[#This Row],[2023]]-1,"NA")</f>
        <v>NA</v>
      </c>
      <c r="G35" s="193" t="s">
        <v>61</v>
      </c>
      <c r="H35" s="187" t="str">
        <f>IFERROR((SUMIF(TME_BY[[#All],[Insurance Category Code]],1,TME_BY[[#All],[Claims: Other]]))/H29,"NA")</f>
        <v>NA</v>
      </c>
      <c r="I35" s="187" t="str">
        <f>IFERROR((SUMIF(TME_PY[[#All],[Insurance Category Code]],1,TME_PY[[#All],[Claims: Other]]))/I29,"NA")</f>
        <v>NA</v>
      </c>
      <c r="J35" s="191" t="str">
        <f>IFERROR(ICC1TME[[#This Row],[2024]]/ICC1TME[[#This Row],[2023]]-1,"NA")</f>
        <v>NA</v>
      </c>
    </row>
    <row r="36" spans="2:10" x14ac:dyDescent="0.3">
      <c r="B36" s="60" t="s">
        <v>182</v>
      </c>
      <c r="C36" s="188" t="str">
        <f>IFERROR((SUMIF(TME_BY[[#All],[Insurance Category Code]],3,TME_BY[[#All],[TOTAL Non-Truncated Unadjusted Claims Expenses]]))/C30,"NA")</f>
        <v>NA</v>
      </c>
      <c r="D36" s="188" t="str">
        <f>IFERROR((SUMIF(TME_PY[[#All],[Insurance Category Code]],3,TME_PY[[#All],[TOTAL Non-Truncated Unadjusted Claims Expenses]]))/D30,"NA")</f>
        <v>NA</v>
      </c>
      <c r="E36" s="196" t="str">
        <f>IFERROR(ICC3TME[[#This Row],[2024]]/ICC3TME[[#This Row],[2023]]-1,"NA")</f>
        <v>NA</v>
      </c>
      <c r="G36" s="194" t="s">
        <v>182</v>
      </c>
      <c r="H36" s="188" t="str">
        <f>IFERROR((SUMIF(TME_BY[[#All],[Insurance Category Code]],1,TME_BY[[#All],[TOTAL Non-Truncated Unadjusted Claims Expenses]]))/H30,"NA")</f>
        <v>NA</v>
      </c>
      <c r="I36" s="188" t="str">
        <f>IFERROR((SUMIF(TME_PY[[#All],[Insurance Category Code]],1,TME_PY[[#All],[TOTAL Non-Truncated Unadjusted Claims Expenses]]))/I30,"NA")</f>
        <v>NA</v>
      </c>
      <c r="J36" s="196" t="str">
        <f>IFERROR(ICC1TME[[#This Row],[2024]]/ICC1TME[[#This Row],[2023]]-1,"NA")</f>
        <v>NA</v>
      </c>
    </row>
    <row r="37" spans="2:10" x14ac:dyDescent="0.3">
      <c r="B37" s="60" t="s">
        <v>183</v>
      </c>
      <c r="C37" s="188" t="str">
        <f>IFERROR((SUMIF(TME_BY[[#All],[Insurance Category Code]],3,TME_BY[[#All],[TOTAL Truncated Unadjusted Claims Expenses (A21 -A19)]]))/C31,"NA")</f>
        <v>NA</v>
      </c>
      <c r="D37" s="188" t="str">
        <f>IFERROR((SUMIF(TME_PY[[#All],[Insurance Category Code]],3,TME_PY[[#All],[TOTAL Truncated Unadjusted Claims Expenses (A21 -A19)]]))/D31,"NA")</f>
        <v>NA</v>
      </c>
      <c r="E37" s="196" t="str">
        <f>IFERROR(ICC3TME[[#This Row],[2024]]/ICC3TME[[#This Row],[2023]]-1,"NA")</f>
        <v>NA</v>
      </c>
      <c r="G37" s="194" t="s">
        <v>183</v>
      </c>
      <c r="H37" s="188" t="str">
        <f>IFERROR((SUMIF(TME_BY[[#All],[Insurance Category Code]],1,TME_BY[[#All],[TOTAL Truncated Unadjusted Claims Expenses (A21 -A19)]]))/H31,"NA")</f>
        <v>NA</v>
      </c>
      <c r="I37" s="188" t="str">
        <f>IFERROR((SUMIF(TME_PY[[#All],[Insurance Category Code]],1,TME_PY[[#All],[TOTAL Truncated Unadjusted Claims Expenses (A21 -A19)]]))/I31,"NA")</f>
        <v>NA</v>
      </c>
      <c r="J37" s="196" t="str">
        <f>IFERROR(ICC1TME[[#This Row],[2024]]/ICC1TME[[#This Row],[2023]]-1,"NA")</f>
        <v>NA</v>
      </c>
    </row>
    <row r="38" spans="2:10" ht="28.8" x14ac:dyDescent="0.3">
      <c r="B38" s="43" t="s">
        <v>62</v>
      </c>
      <c r="C38" s="187" t="str">
        <f>IFERROR((SUMIF(TME_BY[[#All],[Insurance Category Code]],3,TME_BY[[#All],[Non-Claims: Payments to Support Population Health and Practice Infrastructure]]))/C32,"NA")</f>
        <v>NA</v>
      </c>
      <c r="D38" s="187" t="str">
        <f>IFERROR((SUMIF(TME_PY[[#All],[Insurance Category Code]],3,TME_PY[[#All],[Non-Claims: Payments to Support Population Health and Practice Infrastructure]]))/D32,"NA")</f>
        <v>NA</v>
      </c>
      <c r="E38" s="159" t="str">
        <f>IFERROR(ICC3TME[[#This Row],[2024]]/ICC3TME[[#This Row],[2023]]-1,"NA")</f>
        <v>NA</v>
      </c>
      <c r="G38" s="193" t="s">
        <v>62</v>
      </c>
      <c r="H38" s="187" t="str">
        <f>IFERROR((SUMIF(TME_BY[[#All],[Insurance Category Code]],1,TME_BY[[#All],[Non-Claims: Payments to Support Population Health and Practice Infrastructure]]))/H32,"NA")</f>
        <v>NA</v>
      </c>
      <c r="I38" s="187" t="str">
        <f>IFERROR((SUMIF(TME_PY[[#All],[Insurance Category Code]],1,TME_PY[[#All],[Non-Claims: Payments to Support Population Health and Practice Infrastructure]]))/I32,"NA")</f>
        <v>NA</v>
      </c>
      <c r="J38" s="191" t="str">
        <f>IFERROR(ICC1TME[[#This Row],[2024]]/ICC1TME[[#This Row],[2023]]-1,"NA")</f>
        <v>NA</v>
      </c>
    </row>
    <row r="39" spans="2:10" x14ac:dyDescent="0.3">
      <c r="B39" s="43" t="s">
        <v>302</v>
      </c>
      <c r="C39" s="187" t="str">
        <f>IFERROR((SUMIF(TME_BY[[#All],[Insurance Category Code]],3,TME_BY[[#All],[Non-Claims: Performance Payments]]))/C33,"NA")</f>
        <v>NA</v>
      </c>
      <c r="D39" s="187" t="str">
        <f>IFERROR((SUMIF(TME_PY[[#All],[Insurance Category Code]],3,TME_PY[[#All],[Non-Claims: Performance Payments]]))/D33,"NA")</f>
        <v>NA</v>
      </c>
      <c r="E39" s="159" t="str">
        <f>IFERROR(ICC3TME[[#This Row],[2024]]/ICC3TME[[#This Row],[2023]]-1,"NA")</f>
        <v>NA</v>
      </c>
      <c r="G39" s="193" t="s">
        <v>302</v>
      </c>
      <c r="H39" s="187" t="str">
        <f>IFERROR((SUMIF(TME_BY[[#All],[Insurance Category Code]],1,TME_BY[[#All],[Non-Claims: Performance Payments]]))/H33,"NA")</f>
        <v>NA</v>
      </c>
      <c r="I39" s="187" t="str">
        <f>IFERROR((SUMIF(TME_PY[[#All],[Insurance Category Code]],1,TME_PY[[#All],[Non-Claims: Performance Payments]]))/I33,"NA")</f>
        <v>NA</v>
      </c>
      <c r="J39" s="191" t="str">
        <f>IFERROR(ICC1TME[[#This Row],[2024]]/ICC1TME[[#This Row],[2023]]-1,"NA")</f>
        <v>NA</v>
      </c>
    </row>
    <row r="40" spans="2:10" ht="28.8" x14ac:dyDescent="0.3">
      <c r="B40" s="43" t="s">
        <v>303</v>
      </c>
      <c r="C40" s="187" t="str">
        <f>IFERROR((SUMIF(TME_BY[[#All],[Insurance Category Code]],3,TME_BY[[#All],[Non-Claims: Shared Savings and Shared Risk Settlements]]))/C34,"NA")</f>
        <v>NA</v>
      </c>
      <c r="D40" s="187" t="str">
        <f>IFERROR((SUMIF(TME_PY[[#All],[Insurance Category Code]],3,TME_PY[[#All],[Non-Claims: Shared Savings and Shared Risk Settlements]]))/D34,"NA")</f>
        <v>NA</v>
      </c>
      <c r="E40" s="159" t="str">
        <f>IFERROR(ICC3TME[[#This Row],[2024]]/ICC3TME[[#This Row],[2023]]-1,"NA")</f>
        <v>NA</v>
      </c>
      <c r="G40" s="193" t="s">
        <v>303</v>
      </c>
      <c r="H40" s="187" t="str">
        <f>IFERROR((SUMIF(TME_BY[[#All],[Insurance Category Code]],1,TME_BY[[#All],[Non-Claims: Shared Savings and Shared Risk Settlements]]))/H34,"NA")</f>
        <v>NA</v>
      </c>
      <c r="I40" s="187" t="str">
        <f>IFERROR((SUMIF(TME_PY[[#All],[Insurance Category Code]],1,TME_PY[[#All],[Non-Claims: Shared Savings and Shared Risk Settlements]]))/I34,"NA")</f>
        <v>NA</v>
      </c>
      <c r="J40" s="191" t="str">
        <f>IFERROR(ICC1TME[[#This Row],[2024]]/ICC1TME[[#This Row],[2023]]-1,"NA")</f>
        <v>NA</v>
      </c>
    </row>
    <row r="41" spans="2:10" x14ac:dyDescent="0.3">
      <c r="B41" s="43" t="s">
        <v>304</v>
      </c>
      <c r="C41" s="187" t="str">
        <f>IFERROR((SUMIF(TME_BY[[#All],[Insurance Category Code]],3,TME_BY[[#All],[Non-Claims: Capitation and Full Risk Payments]]))/C35,"NA")</f>
        <v>NA</v>
      </c>
      <c r="D41" s="187" t="str">
        <f>IFERROR((SUMIF(TME_PY[[#All],[Insurance Category Code]],3,TME_PY[[#All],[Non-Claims: Capitation and Full Risk Payments]]))/D35,"NA")</f>
        <v>NA</v>
      </c>
      <c r="E41" s="159" t="str">
        <f>IFERROR(ICC3TME[[#This Row],[2024]]/ICC3TME[[#This Row],[2023]]-1,"NA")</f>
        <v>NA</v>
      </c>
      <c r="G41" s="193" t="s">
        <v>304</v>
      </c>
      <c r="H41" s="187" t="str">
        <f>IFERROR((SUMIF(TME_BY[[#All],[Insurance Category Code]],1,TME_BY[[#All],[Non-Claims: Capitation and Full Risk Payments]]))/H35,"NA")</f>
        <v>NA</v>
      </c>
      <c r="I41" s="187" t="str">
        <f>IFERROR((SUMIF(TME_PY[[#All],[Insurance Category Code]],1,TME_PY[[#All],[Non-Claims: Capitation and Full Risk Payments]]))/I35,"NA")</f>
        <v>NA</v>
      </c>
      <c r="J41" s="191" t="str">
        <f>IFERROR(ICC1TME[[#This Row],[2024]]/ICC1TME[[#This Row],[2023]]-1,"NA")</f>
        <v>NA</v>
      </c>
    </row>
    <row r="42" spans="2:10" x14ac:dyDescent="0.3">
      <c r="B42" s="43" t="s">
        <v>63</v>
      </c>
      <c r="C42" s="187" t="str">
        <f>IFERROR((SUMIF(TME_BY[[#All],[Insurance Category Code]],3,TME_BY[[#All],[Non-Claims: Other]]))/C36,"NA")</f>
        <v>NA</v>
      </c>
      <c r="D42" s="187" t="str">
        <f>IFERROR((SUMIF(TME_PY[[#All],[Insurance Category Code]],3,TME_PY[[#All],[Non-Claims: Other]]))/D36,"NA")</f>
        <v>NA</v>
      </c>
      <c r="E42" s="159" t="str">
        <f>IFERROR(ICC3TME[[#This Row],[2024]]/ICC3TME[[#This Row],[2023]]-1,"NA")</f>
        <v>NA</v>
      </c>
      <c r="G42" s="193" t="s">
        <v>63</v>
      </c>
      <c r="H42" s="187" t="str">
        <f>IFERROR((SUMIF(TME_BY[[#All],[Insurance Category Code]],1,TME_BY[[#All],[Non-Claims: Other]]))/H36,"NA")</f>
        <v>NA</v>
      </c>
      <c r="I42" s="187" t="str">
        <f>IFERROR((SUMIF(TME_PY[[#All],[Insurance Category Code]],1,TME_PY[[#All],[Non-Claims: Other]]))/I36,"NA")</f>
        <v>NA</v>
      </c>
      <c r="J42" s="191" t="str">
        <f>IFERROR(ICC1TME[[#This Row],[2024]]/ICC1TME[[#This Row],[2023]]-1,"NA")</f>
        <v>NA</v>
      </c>
    </row>
    <row r="43" spans="2:10" ht="28.8" x14ac:dyDescent="0.3">
      <c r="B43" s="43" t="s">
        <v>64</v>
      </c>
      <c r="C43" s="187" t="str">
        <f>IFERROR((SUMIF(TME_BY[[#All],[Insurance Category Code]],3,TME_BY[[#All],[Non-Claims: Total Primary Care Non-Claims-Based Payments]]))/C37,"NA")</f>
        <v>NA</v>
      </c>
      <c r="D43" s="187" t="str">
        <f>IFERROR((SUMIF(TME_PY[[#All],[Insurance Category Code]],3,TME_PY[[#All],[Non-Claims: Total Primary Care Non-Claims-Based Payments]]))/D37,"NA")</f>
        <v>NA</v>
      </c>
      <c r="E43" s="159" t="str">
        <f>IFERROR(ICC3TME[[#This Row],[2024]]/ICC3TME[[#This Row],[2023]]-1,"NA")</f>
        <v>NA</v>
      </c>
      <c r="G43" s="193" t="s">
        <v>64</v>
      </c>
      <c r="H43" s="187" t="str">
        <f>IFERROR((SUMIF(TME_BY[[#All],[Insurance Category Code]],1,TME_BY[[#All],[Non-Claims: Total Primary Care Non-Claims-Based Payments]]))/H37,"NA")</f>
        <v>NA</v>
      </c>
      <c r="I43" s="187" t="str">
        <f>IFERROR((SUMIF(TME_PY[[#All],[Insurance Category Code]],1,TME_PY[[#All],[Non-Claims: Total Primary Care Non-Claims-Based Payments]]))/I37,"NA")</f>
        <v>NA</v>
      </c>
      <c r="J43" s="191" t="str">
        <f>IFERROR(ICC1TME[[#This Row],[2024]]/ICC1TME[[#This Row],[2023]]-1,"NA")</f>
        <v>NA</v>
      </c>
    </row>
    <row r="44" spans="2:10" x14ac:dyDescent="0.3">
      <c r="B44" s="60" t="s">
        <v>184</v>
      </c>
      <c r="C44" s="197" t="str">
        <f>IFERROR((SUMIF(TME_BY[[#All],[Insurance Category Code]],3,TME_BY[[#All],[TOTAL Non-Claims Expenses]]))/C38,"NA")</f>
        <v>NA</v>
      </c>
      <c r="D44" s="197" t="str">
        <f>IFERROR((SUMIF(TME_PY[[#All],[Insurance Category Code]],3,TME_PY[[#All],[TOTAL Non-Claims Expenses]]))/D38,"NA")</f>
        <v>NA</v>
      </c>
      <c r="E44" s="196" t="str">
        <f>IFERROR(ICC3TME[[#This Row],[2024]]/ICC3TME[[#This Row],[2023]]-1,"NA")</f>
        <v>NA</v>
      </c>
      <c r="G44" s="194" t="s">
        <v>184</v>
      </c>
      <c r="H44" s="197" t="str">
        <f>IFERROR((SUMIF(TME_BY[[#All],[Insurance Category Code]],1,TME_BY[[#All],[TOTAL Non-Claims Expenses]]))/H38,"NA")</f>
        <v>NA</v>
      </c>
      <c r="I44" s="197" t="str">
        <f>IFERROR((SUMIF(TME_PY[[#All],[Insurance Category Code]],1,TME_PY[[#All],[TOTAL Non-Claims Expenses]]))/I38,"NA")</f>
        <v>NA</v>
      </c>
      <c r="J44" s="196" t="str">
        <f>IFERROR(ICC1TME[[#This Row],[2024]]/ICC1TME[[#This Row],[2023]]-1,"NA")</f>
        <v>NA</v>
      </c>
    </row>
    <row r="45" spans="2:10" x14ac:dyDescent="0.3">
      <c r="B45" s="61" t="s">
        <v>185</v>
      </c>
      <c r="C45" s="189" t="str">
        <f>IFERROR((SUMIF(TME_BY[[#All],[Insurance Category Code]],3,TME_BY[[#All],[TOTAL Non-Truncated Unadjusted Expenses (A21 + A23)]]))/C39,"NA")</f>
        <v>NA</v>
      </c>
      <c r="D45" s="189" t="str">
        <f>IFERROR((SUMIF(TME_PY[[#All],[Insurance Category Code]],3,TME_PY[[#All],[TOTAL Non-Truncated Unadjusted Expenses (A21 + A23)]]))/D39,"NA")</f>
        <v>NA</v>
      </c>
      <c r="E45" s="190" t="str">
        <f>IFERROR(ICC3TME[[#This Row],[2024]]/ICC3TME[[#This Row],[2023]]-1,"NA")</f>
        <v>NA</v>
      </c>
      <c r="G45" s="195" t="s">
        <v>185</v>
      </c>
      <c r="H45" s="189" t="str">
        <f>IFERROR((SUMIF(TME_BY[[#All],[Insurance Category Code]],1,TME_BY[[#All],[TOTAL Non-Truncated Unadjusted Expenses (A21 + A23)]]))/H39,"NA")</f>
        <v>NA</v>
      </c>
      <c r="I45" s="189" t="str">
        <f>IFERROR((SUMIF(TME_PY[[#All],[Insurance Category Code]],1,TME_PY[[#All],[TOTAL Non-Truncated Unadjusted Expenses (A21 + A23)]]))/I39,"NA")</f>
        <v>NA</v>
      </c>
      <c r="J45" s="192" t="str">
        <f>IFERROR(ICC1TME[[#This Row],[2024]]/ICC1TME[[#This Row],[2023]]-1,"NA")</f>
        <v>NA</v>
      </c>
    </row>
    <row r="46" spans="2:10" x14ac:dyDescent="0.3">
      <c r="B46" s="61" t="s">
        <v>186</v>
      </c>
      <c r="C46" s="189" t="str">
        <f>IFERROR((SUMIF(TME_BY[[#All],[Insurance Category Code]],3,TME_BY[[#All],[TOTAL Truncated Unadjusted Expenses (A22 + A23)]]))/C40,"NA")</f>
        <v>NA</v>
      </c>
      <c r="D46" s="189" t="str">
        <f>IFERROR((SUMIF(TME_PY[[#All],[Insurance Category Code]],3,TME_PY[[#All],[TOTAL Truncated Unadjusted Expenses (A22 + A23)]]))/D40,"NA")</f>
        <v>NA</v>
      </c>
      <c r="E46" s="190" t="str">
        <f>IFERROR(ICC3TME[[#This Row],[2024]]/ICC3TME[[#This Row],[2023]]-1,"NA")</f>
        <v>NA</v>
      </c>
      <c r="G46" s="195" t="s">
        <v>186</v>
      </c>
      <c r="H46" s="189" t="str">
        <f>IFERROR((SUMIF(TME_BY[[#All],[Insurance Category Code]],1,TME_BY[[#All],[TOTAL Truncated Unadjusted Expenses (A22 + A23)]]))/H40,"NA")</f>
        <v>NA</v>
      </c>
      <c r="I46" s="189" t="str">
        <f>IFERROR((SUMIF(TME_PY[[#All],[Insurance Category Code]],1,TME_PY[[#All],[TOTAL Truncated Unadjusted Expenses (A22 + A23)]]))/I40,"NA")</f>
        <v>NA</v>
      </c>
      <c r="J46" s="192" t="str">
        <f>IFERROR(ICC1TME[[#This Row],[2024]]/ICC1TME[[#This Row],[2023]]-1,"NA")</f>
        <v>NA</v>
      </c>
    </row>
  </sheetData>
  <sheetProtection algorithmName="SHA-512" hashValue="AC2b3bxfoIz3Y107iD/OiAXk9IZO2FMdQrhlYRF9Wq9nPzBeQXx27dkhDAQ9FyjrmKBS0hMdT5OTUOv2/lEm7g==" saltValue="gG+dTVQ8xSLVf3+8+zDR7Q==" spinCount="100000" sheet="1" objects="1" scenarios="1"/>
  <mergeCells count="1">
    <mergeCell ref="B3:J3"/>
  </mergeCells>
  <phoneticPr fontId="20" type="noConversion"/>
  <pageMargins left="0.7" right="0.7" top="0.75" bottom="0.75" header="0.3" footer="0.3"/>
  <pageSetup orientation="portrait" horizontalDpi="1200" verticalDpi="1200" r:id="rId1"/>
  <tableParts count="7">
    <tablePart r:id="rId2"/>
    <tablePart r:id="rId3"/>
    <tablePart r:id="rId4"/>
    <tablePart r:id="rId5"/>
    <tablePart r:id="rId6"/>
    <tablePart r:id="rId7"/>
    <tablePart r:id="rId8"/>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C224-A80D-44FE-9EED-5BB50F41B4CA}">
  <sheetPr>
    <tabColor theme="9"/>
  </sheetPr>
  <dimension ref="B1:O106"/>
  <sheetViews>
    <sheetView zoomScale="85" zoomScaleNormal="85" workbookViewId="0"/>
  </sheetViews>
  <sheetFormatPr defaultRowHeight="14.4" x14ac:dyDescent="0.3"/>
  <cols>
    <col min="2" max="9" width="32.33203125" customWidth="1"/>
    <col min="10" max="10" width="29.44140625" customWidth="1"/>
    <col min="11" max="18" width="27.88671875" customWidth="1"/>
  </cols>
  <sheetData>
    <row r="1" spans="2:10" x14ac:dyDescent="0.3">
      <c r="B1" s="1" t="s">
        <v>187</v>
      </c>
      <c r="C1" s="20" t="s">
        <v>23</v>
      </c>
    </row>
    <row r="2" spans="2:10" ht="15" thickBot="1" x14ac:dyDescent="0.35">
      <c r="C2" s="21"/>
      <c r="D2" s="21"/>
    </row>
    <row r="3" spans="2:10" ht="21" x14ac:dyDescent="0.4">
      <c r="C3" s="148" t="s">
        <v>245</v>
      </c>
      <c r="D3" s="149" t="s">
        <v>288</v>
      </c>
    </row>
    <row r="4" spans="2:10" ht="57.6" x14ac:dyDescent="0.3">
      <c r="B4" s="138" t="s">
        <v>188</v>
      </c>
      <c r="C4" s="144">
        <f>COUNTIF(E31:E33, "&lt;&gt;Yes")+COUNTIF(G31:G33, "&lt;&gt;Yes")+COUNTIF(I31:I33, "&lt;&gt;Yes")</f>
        <v>0</v>
      </c>
      <c r="D4" s="145">
        <f>COUNTIF(E39:E41, "&lt;&gt;Yes")+COUNTIF(G39:G41, "&lt;&gt;Yes")+COUNTIF(I39:I41, "&lt;&gt;Yes")</f>
        <v>0</v>
      </c>
    </row>
    <row r="5" spans="2:10" ht="43.2" x14ac:dyDescent="0.3">
      <c r="B5" s="137" t="s">
        <v>189</v>
      </c>
      <c r="C5" s="144">
        <f>COUNTIF(H47:M48, "&lt;&gt;*TRUE*")+COUNTIF(N47:O48, "&lt;&gt;TRUE")</f>
        <v>0</v>
      </c>
      <c r="D5" s="145">
        <f>COUNTIF(H53:M54, "&lt;&gt;*TRUE*")+COUNTIF(N53:O54, "&lt;&gt;TRUE")</f>
        <v>0</v>
      </c>
    </row>
    <row r="6" spans="2:10" ht="43.8" thickBot="1" x14ac:dyDescent="0.35">
      <c r="B6" s="136" t="s">
        <v>190</v>
      </c>
      <c r="C6" s="146">
        <f>COUNTIF(E60:E61, "&lt;&gt;Yes")</f>
        <v>0</v>
      </c>
      <c r="D6" s="147">
        <f>COUNTIF(H60:H61, "&lt;&gt;Yes")</f>
        <v>0</v>
      </c>
    </row>
    <row r="7" spans="2:10" ht="5.4" customHeight="1" thickBot="1" x14ac:dyDescent="0.35">
      <c r="B7" s="150"/>
      <c r="C7" s="151"/>
      <c r="D7" s="151"/>
    </row>
    <row r="8" spans="2:10" ht="43.8" thickBot="1" x14ac:dyDescent="0.35">
      <c r="C8" s="153" t="s">
        <v>297</v>
      </c>
      <c r="D8" s="152">
        <f>COUNTIF(K39:K41, "&gt;10%")</f>
        <v>0</v>
      </c>
    </row>
    <row r="9" spans="2:10" x14ac:dyDescent="0.3">
      <c r="C9" s="21"/>
      <c r="D9" s="21"/>
    </row>
    <row r="10" spans="2:10" x14ac:dyDescent="0.3">
      <c r="B10" s="12" t="s">
        <v>191</v>
      </c>
    </row>
    <row r="11" spans="2:10" x14ac:dyDescent="0.3">
      <c r="B11" s="3" t="s">
        <v>192</v>
      </c>
      <c r="C11" s="3">
        <v>2023</v>
      </c>
      <c r="D11" s="3">
        <v>2024</v>
      </c>
    </row>
    <row r="12" spans="2:10" x14ac:dyDescent="0.3">
      <c r="B12" s="6" t="s">
        <v>90</v>
      </c>
      <c r="C12" s="63">
        <f>'HD-TME - 2024'!B11</f>
        <v>0</v>
      </c>
      <c r="D12" s="63">
        <f>'HD-TME - 2024'!B11</f>
        <v>0</v>
      </c>
    </row>
    <row r="13" spans="2:10" x14ac:dyDescent="0.3">
      <c r="B13" s="6" t="s">
        <v>91</v>
      </c>
      <c r="C13" s="63">
        <f>'HD-TME - 2024'!C11</f>
        <v>0</v>
      </c>
      <c r="D13" s="63">
        <f>'HD-TME - 2024'!C11</f>
        <v>0</v>
      </c>
    </row>
    <row r="16" spans="2:10" x14ac:dyDescent="0.3">
      <c r="B16" s="12" t="s">
        <v>193</v>
      </c>
      <c r="J16" s="12"/>
    </row>
    <row r="17" spans="2:9" x14ac:dyDescent="0.3">
      <c r="B17" s="22" t="s">
        <v>194</v>
      </c>
    </row>
    <row r="18" spans="2:9" ht="28.8" x14ac:dyDescent="0.3">
      <c r="B18" s="3" t="s">
        <v>24</v>
      </c>
      <c r="C18" s="3" t="s">
        <v>246</v>
      </c>
      <c r="D18" s="120" t="s">
        <v>247</v>
      </c>
      <c r="E18" s="3" t="s">
        <v>289</v>
      </c>
      <c r="F18" s="120" t="s">
        <v>290</v>
      </c>
      <c r="G18" s="118" t="s">
        <v>298</v>
      </c>
    </row>
    <row r="19" spans="2:9" x14ac:dyDescent="0.3">
      <c r="B19" s="2">
        <v>1</v>
      </c>
      <c r="C19" s="24" t="str">
        <f>IF(VLOOKUP($C$1,ExpectedICC[#All],2,FALSE)=0,"No","Yes")</f>
        <v>Yes</v>
      </c>
      <c r="D19" s="24" t="str">
        <f>IF(COUNTIF(TME_BY[[#All],[Insurance Category Code]],B19)=0,"No","Yes")</f>
        <v>No</v>
      </c>
      <c r="E19" s="24" t="str">
        <f>IF(VLOOKUP($C$1,ExpectedICC[#All],2,FALSE)=0,"No","Yes")</f>
        <v>Yes</v>
      </c>
      <c r="F19" s="24" t="str">
        <f>IF(COUNTIF(TME_PY[[#All],[Insurance Category Code]],B19)=0,"No","Yes")</f>
        <v>No</v>
      </c>
      <c r="G19" s="2" t="str">
        <f t="shared" ref="G19:G25" si="0">IF(D19=F19,"Yes","No")</f>
        <v>Yes</v>
      </c>
    </row>
    <row r="20" spans="2:9" x14ac:dyDescent="0.3">
      <c r="B20" s="2">
        <v>2</v>
      </c>
      <c r="C20" s="24" t="str">
        <f>IF(VLOOKUP($C$1,ExpectedICC[#All],3,FALSE)=0,"No","Yes")</f>
        <v>No</v>
      </c>
      <c r="D20" s="24" t="str">
        <f>IF(COUNTIF(TME_BY[[#All],[Insurance Category Code]],B20)=0,"No","Yes")</f>
        <v>No</v>
      </c>
      <c r="E20" s="24" t="str">
        <f>IF(VLOOKUP($C$1,ExpectedICC[#All],3,FALSE)=0,"No","Yes")</f>
        <v>No</v>
      </c>
      <c r="F20" s="24" t="str">
        <f>IF(COUNTIF(TME_PY[[#All],[Insurance Category Code]],B20)=0,"No","Yes")</f>
        <v>No</v>
      </c>
      <c r="G20" s="2" t="str">
        <f t="shared" si="0"/>
        <v>Yes</v>
      </c>
    </row>
    <row r="21" spans="2:9" x14ac:dyDescent="0.3">
      <c r="B21" s="2">
        <v>3</v>
      </c>
      <c r="C21" s="24" t="str">
        <f>IF(VLOOKUP($C$1,ExpectedICC[#All],4,FALSE)=0,"No","Yes")</f>
        <v>Yes</v>
      </c>
      <c r="D21" s="24" t="str">
        <f>IF(COUNTIF(TME_BY[[#All],[Insurance Category Code]],B21)=0,"No","Yes")</f>
        <v>No</v>
      </c>
      <c r="E21" s="24" t="str">
        <f>IF(VLOOKUP($C$1,ExpectedICC[#All],4,FALSE)=0,"No","Yes")</f>
        <v>Yes</v>
      </c>
      <c r="F21" s="24" t="str">
        <f>IF(COUNTIF(TME_PY[[#All],[Insurance Category Code]],B21)=0,"No","Yes")</f>
        <v>No</v>
      </c>
      <c r="G21" s="2" t="str">
        <f t="shared" si="0"/>
        <v>Yes</v>
      </c>
    </row>
    <row r="22" spans="2:9" x14ac:dyDescent="0.3">
      <c r="B22" s="2">
        <v>4</v>
      </c>
      <c r="C22" s="24" t="str">
        <f>IF(VLOOKUP($C$1,ExpectedICC[#All],5,FALSE)=0,"No","Yes")</f>
        <v>No</v>
      </c>
      <c r="D22" s="24" t="str">
        <f>IF(COUNTIF(TME_BY[[#All],[Insurance Category Code]],B22)=0,"No","Yes")</f>
        <v>No</v>
      </c>
      <c r="E22" s="24" t="str">
        <f>IF(VLOOKUP($C$1,ExpectedICC[#All],5,FALSE)=0,"No","Yes")</f>
        <v>No</v>
      </c>
      <c r="F22" s="24" t="str">
        <f>IF(COUNTIF(TME_PY[[#All],[Insurance Category Code]],B22)=0,"No","Yes")</f>
        <v>No</v>
      </c>
      <c r="G22" s="2" t="str">
        <f t="shared" si="0"/>
        <v>Yes</v>
      </c>
    </row>
    <row r="23" spans="2:9" x14ac:dyDescent="0.3">
      <c r="B23" s="2">
        <v>5</v>
      </c>
      <c r="C23" s="24" t="str">
        <f>IF(VLOOKUP($C$1,ExpectedICC[#All],6,FALSE)=0,"No","Yes")</f>
        <v>No</v>
      </c>
      <c r="D23" s="24" t="str">
        <f>IF(COUNTIF(TME_BY[[#All],[Insurance Category Code]],B23)=0,"No","Yes")</f>
        <v>No</v>
      </c>
      <c r="E23" s="24" t="str">
        <f>IF(VLOOKUP($C$1,ExpectedICC[#All],6,FALSE)=0,"No","Yes")</f>
        <v>No</v>
      </c>
      <c r="F23" s="24" t="str">
        <f>IF(COUNTIF(TME_PY[[#All],[Insurance Category Code]],B23)=0,"No","Yes")</f>
        <v>No</v>
      </c>
      <c r="G23" s="2" t="str">
        <f t="shared" si="0"/>
        <v>Yes</v>
      </c>
    </row>
    <row r="24" spans="2:9" x14ac:dyDescent="0.3">
      <c r="B24" s="2">
        <v>6</v>
      </c>
      <c r="C24" s="24" t="str">
        <f>IF(VLOOKUP($C$1,ExpectedICC[#All],7,FALSE)=0,"No","Yes")</f>
        <v>No</v>
      </c>
      <c r="D24" s="24" t="str">
        <f>IF(COUNTIF(TME_BY[[#All],[Insurance Category Code]],B24)=0,"No","Yes")</f>
        <v>No</v>
      </c>
      <c r="E24" s="24" t="str">
        <f>IF(VLOOKUP($C$1,ExpectedICC[#All],7,FALSE)=0,"No","Yes")</f>
        <v>No</v>
      </c>
      <c r="F24" s="24" t="str">
        <f>IF(COUNTIF(TME_PY[[#All],[Insurance Category Code]],B24)=0,"No","Yes")</f>
        <v>No</v>
      </c>
      <c r="G24" s="2" t="str">
        <f t="shared" si="0"/>
        <v>Yes</v>
      </c>
    </row>
    <row r="25" spans="2:9" x14ac:dyDescent="0.3">
      <c r="B25" s="2">
        <v>7</v>
      </c>
      <c r="C25" s="24" t="str">
        <f>IF(VLOOKUP($C$1,ExpectedICC[#All],8,FALSE)=0,"Maybe","Yes")</f>
        <v>Maybe</v>
      </c>
      <c r="D25" s="24" t="str">
        <f>IF(COUNTIF('TME Record - 2024'!B:B,B25)=0,"No","Yes")</f>
        <v>No</v>
      </c>
      <c r="E25" s="24" t="str">
        <f>IF(VLOOKUP($C$1,ExpectedICC[#All],8,FALSE)=0,"Maybe","Yes")</f>
        <v>Maybe</v>
      </c>
      <c r="F25" s="24" t="str">
        <f>IF(COUNTIF('TME Record - 2024'!F:F,#REF!)=0,"No","Yes")</f>
        <v>No</v>
      </c>
      <c r="G25" s="2" t="str">
        <f t="shared" si="0"/>
        <v>Yes</v>
      </c>
    </row>
    <row r="28" spans="2:9" x14ac:dyDescent="0.3">
      <c r="B28" s="12" t="s">
        <v>248</v>
      </c>
    </row>
    <row r="29" spans="2:9" x14ac:dyDescent="0.3">
      <c r="B29" s="22" t="s">
        <v>195</v>
      </c>
    </row>
    <row r="30" spans="2:9" ht="43.2" x14ac:dyDescent="0.3">
      <c r="B30" s="3" t="s">
        <v>24</v>
      </c>
      <c r="C30" s="3" t="s">
        <v>196</v>
      </c>
      <c r="D30" s="3" t="s">
        <v>197</v>
      </c>
      <c r="E30" s="119" t="s">
        <v>198</v>
      </c>
      <c r="F30" s="3" t="s">
        <v>199</v>
      </c>
      <c r="G30" s="119" t="s">
        <v>200</v>
      </c>
      <c r="H30" s="3" t="s">
        <v>201</v>
      </c>
      <c r="I30" s="119" t="s">
        <v>202</v>
      </c>
    </row>
    <row r="31" spans="2:9" x14ac:dyDescent="0.3">
      <c r="B31" s="2" t="s">
        <v>169</v>
      </c>
      <c r="C31" s="13">
        <f>SUM(C32, C33)</f>
        <v>0</v>
      </c>
      <c r="D31" s="13">
        <f>SUM(LOB_ENROLL[[#All],[2024 Member Months]])</f>
        <v>0</v>
      </c>
      <c r="E31" s="13" t="str">
        <f>IF(C31=D31,"Yes",ABS(C31-D31))</f>
        <v>Yes</v>
      </c>
      <c r="F31" s="13">
        <f>SUM(F32, F33)</f>
        <v>0</v>
      </c>
      <c r="G31" s="13" t="str">
        <f>IF(C31=F31,"Yes",ABS(C31-F31))</f>
        <v>Yes</v>
      </c>
      <c r="H31" s="13">
        <f>SUMIF(SD_BY[[#All],[OSC Org ID]], 207, SD_BY[[#All],[Member Months]])</f>
        <v>0</v>
      </c>
      <c r="I31" s="13" t="str">
        <f>IF(C31=H31,"Yes",ABS(C31-H31))</f>
        <v>Yes</v>
      </c>
    </row>
    <row r="32" spans="2:9" x14ac:dyDescent="0.3">
      <c r="B32" s="2">
        <v>1</v>
      </c>
      <c r="C32" s="13">
        <f>SUMIF(TME_BY[[#All],[Insurance Category Code]], B32, TME_BY[[#All],[Member Months]])</f>
        <v>0</v>
      </c>
      <c r="D32" s="13">
        <f>SUMIF(LOB_ENROLL[[#All],[Line of Business Category Code]], 906, LOB_ENROLL[[#All],[2024 Member Months]])</f>
        <v>0</v>
      </c>
      <c r="E32" s="13" t="str">
        <f t="shared" ref="E32:E33" si="1">IF(C32=D32,"Yes",ABS(C32-D32))</f>
        <v>Yes</v>
      </c>
      <c r="F32" s="13">
        <f>SUMIF(Age_Sex_BY[[#All],[Insurance Category Code]],B32,Age_Sex_BY[[#All],[Total Member Months by Age/Sex Band]])</f>
        <v>0</v>
      </c>
      <c r="G32" s="13" t="str">
        <f t="shared" ref="G32:G33" si="2">IF(C32=F32,"Yes",ABS(C32-F32))</f>
        <v>Yes</v>
      </c>
      <c r="H32" s="13">
        <f>SUMIF(SD_BY[[#All],[Market ID]], 1, SD_BY[[#All],[Member Months]])</f>
        <v>0</v>
      </c>
      <c r="I32" s="13" t="str">
        <f t="shared" ref="I32:I33" si="3">IF(C32=H32,"Yes",ABS(C32-H32))</f>
        <v>Yes</v>
      </c>
    </row>
    <row r="33" spans="2:15" x14ac:dyDescent="0.3">
      <c r="B33" s="2">
        <v>3</v>
      </c>
      <c r="C33" s="13">
        <f>SUMIF(TME_BY[[#All],[Insurance Category Code]], B33, TME_BY[[#All],[Member Months]])</f>
        <v>0</v>
      </c>
      <c r="D33" s="13">
        <f>SUMIF(LOB_ENROLL[[#All],[Line of Business Category Code]], 904, LOB_ENROLL[[#All],[2024 Member Months]])</f>
        <v>0</v>
      </c>
      <c r="E33" s="13" t="str">
        <f t="shared" si="1"/>
        <v>Yes</v>
      </c>
      <c r="F33" s="13">
        <f>SUMIF(Age_Sex_BY[[#All],[Insurance Category Code]],B33,Age_Sex_BY[[#All],[Total Member Months by Age/Sex Band]])</f>
        <v>0</v>
      </c>
      <c r="G33" s="13" t="str">
        <f t="shared" si="2"/>
        <v>Yes</v>
      </c>
      <c r="H33" s="13">
        <f>SUMIF(SD_BY[[#All],[Market ID]], 3, SD_BY[[#All],[Member Months]])</f>
        <v>0</v>
      </c>
      <c r="I33" s="13" t="str">
        <f t="shared" si="3"/>
        <v>Yes</v>
      </c>
    </row>
    <row r="36" spans="2:15" x14ac:dyDescent="0.3">
      <c r="B36" s="12" t="s">
        <v>291</v>
      </c>
    </row>
    <row r="37" spans="2:15" x14ac:dyDescent="0.3">
      <c r="B37" s="22" t="s">
        <v>195</v>
      </c>
    </row>
    <row r="38" spans="2:15" ht="43.2" x14ac:dyDescent="0.3">
      <c r="B38" s="3" t="s">
        <v>203</v>
      </c>
      <c r="C38" s="3" t="s">
        <v>196</v>
      </c>
      <c r="D38" s="3" t="s">
        <v>197</v>
      </c>
      <c r="E38" s="119" t="s">
        <v>198</v>
      </c>
      <c r="F38" s="3" t="s">
        <v>199</v>
      </c>
      <c r="G38" s="119" t="s">
        <v>204</v>
      </c>
      <c r="H38" s="3" t="s">
        <v>201</v>
      </c>
      <c r="I38" s="119" t="s">
        <v>202</v>
      </c>
      <c r="K38" s="6" t="s">
        <v>299</v>
      </c>
    </row>
    <row r="39" spans="2:15" x14ac:dyDescent="0.3">
      <c r="B39" s="2" t="s">
        <v>169</v>
      </c>
      <c r="C39" s="13">
        <f>SUM(C40, C41)</f>
        <v>0</v>
      </c>
      <c r="D39" s="13">
        <f>SUM(LOB_ENROLL[[#All],[2024 Member Months]])</f>
        <v>0</v>
      </c>
      <c r="E39" s="13" t="str">
        <f t="shared" ref="E39:E41" si="4">IF(C39=D39,"Yes",ABS(C39-D39))</f>
        <v>Yes</v>
      </c>
      <c r="F39" s="13">
        <f>SUM(F40,F41)</f>
        <v>0</v>
      </c>
      <c r="G39" s="13" t="str">
        <f t="shared" ref="G39:G41" si="5">IF(C39=F39,"Yes",ABS(C39-F39))</f>
        <v>Yes</v>
      </c>
      <c r="H39" s="13">
        <f>SUMIF(SD_PY[[#All],[OSC Org ID]], 207, SD_PY[[#All],[Member Months]])</f>
        <v>0</v>
      </c>
      <c r="I39" s="13" t="str">
        <f>IF(C39=H39,"Yes",ABS(C39-H39))</f>
        <v>Yes</v>
      </c>
      <c r="K39" s="133" t="e">
        <f>C39/C31-1</f>
        <v>#DIV/0!</v>
      </c>
    </row>
    <row r="40" spans="2:15" x14ac:dyDescent="0.3">
      <c r="B40" s="2">
        <v>1</v>
      </c>
      <c r="C40" s="13">
        <f>SUMIF(TME_PY[[#All],[Insurance Category Code]], B40, TME_PY[[#All],[Member Months]])</f>
        <v>0</v>
      </c>
      <c r="D40" s="13">
        <f>SUMIF(LOB_ENROLL[[#All],[Line of Business Category Code]], 906, LOB_ENROLL[[#All],[2024 Member Months]])</f>
        <v>0</v>
      </c>
      <c r="E40" s="13" t="str">
        <f t="shared" si="4"/>
        <v>Yes</v>
      </c>
      <c r="F40" s="13">
        <f>SUMIF(Age_Sex_PY[[#All],[Insurance Category Code]],B40,Age_Sex_PY[[#All],[Total Member Months by Age/Sex Band]])</f>
        <v>0</v>
      </c>
      <c r="G40" s="13" t="str">
        <f t="shared" si="5"/>
        <v>Yes</v>
      </c>
      <c r="H40" s="13">
        <f>SUMIF(SD_PY[[#All],[Market ID]], 1, SD_PY[[#All],[Member Months]])</f>
        <v>0</v>
      </c>
      <c r="I40" s="13" t="str">
        <f t="shared" ref="I40:I41" si="6">IF(C40=H40,"Yes",ABS(C40-H40))</f>
        <v>Yes</v>
      </c>
      <c r="K40" s="133" t="e">
        <f>C40/C32-1</f>
        <v>#DIV/0!</v>
      </c>
    </row>
    <row r="41" spans="2:15" x14ac:dyDescent="0.3">
      <c r="B41" s="2">
        <v>3</v>
      </c>
      <c r="C41" s="13">
        <f>SUMIF(TME_PY[[#All],[Insurance Category Code]], B41, TME_PY[[#All],[Member Months]])</f>
        <v>0</v>
      </c>
      <c r="D41" s="13">
        <f>SUMIF(LOB_ENROLL[[#All],[Line of Business Category Code]], 904, LOB_ENROLL[[#All],[2024 Member Months]])</f>
        <v>0</v>
      </c>
      <c r="E41" s="13" t="str">
        <f t="shared" si="4"/>
        <v>Yes</v>
      </c>
      <c r="F41" s="13">
        <f>SUMIF(Age_Sex_PY[[#All],[Insurance Category Code]],B41,Age_Sex_PY[[#All],[Total Member Months by Age/Sex Band]])</f>
        <v>0</v>
      </c>
      <c r="G41" s="13" t="str">
        <f t="shared" si="5"/>
        <v>Yes</v>
      </c>
      <c r="H41" s="13">
        <f>SUMIF(SD_PY[[#All],[Market ID]], 3, SD_PY[[#All],[Member Months]])</f>
        <v>0</v>
      </c>
      <c r="I41" s="13" t="str">
        <f t="shared" si="6"/>
        <v>Yes</v>
      </c>
      <c r="K41" s="133" t="e">
        <f>C41/C33-1</f>
        <v>#DIV/0!</v>
      </c>
    </row>
    <row r="44" spans="2:15" ht="18" x14ac:dyDescent="0.35">
      <c r="B44" s="128" t="s">
        <v>249</v>
      </c>
    </row>
    <row r="45" spans="2:15" ht="18" x14ac:dyDescent="0.35">
      <c r="C45" s="231" t="s">
        <v>250</v>
      </c>
      <c r="D45" s="232"/>
      <c r="E45" s="232"/>
      <c r="F45" s="232"/>
      <c r="G45" s="232"/>
      <c r="H45" s="233" t="s">
        <v>251</v>
      </c>
      <c r="I45" s="233"/>
      <c r="J45" s="233"/>
      <c r="K45" s="233"/>
      <c r="L45" s="233"/>
    </row>
    <row r="46" spans="2:15" ht="57.6" x14ac:dyDescent="0.3">
      <c r="B46" s="142" t="s">
        <v>24</v>
      </c>
      <c r="C46" s="129" t="s">
        <v>78</v>
      </c>
      <c r="D46" s="130" t="s">
        <v>138</v>
      </c>
      <c r="E46" s="130" t="s">
        <v>205</v>
      </c>
      <c r="F46" s="130" t="s">
        <v>137</v>
      </c>
      <c r="G46" s="130" t="s">
        <v>81</v>
      </c>
      <c r="H46" s="134" t="s">
        <v>123</v>
      </c>
      <c r="I46" s="134" t="s">
        <v>206</v>
      </c>
      <c r="J46" s="134" t="s">
        <v>207</v>
      </c>
      <c r="K46" s="134" t="s">
        <v>208</v>
      </c>
      <c r="L46" s="134" t="s">
        <v>209</v>
      </c>
      <c r="M46" s="131" t="s">
        <v>210</v>
      </c>
      <c r="N46" s="131" t="s">
        <v>211</v>
      </c>
      <c r="O46" s="131" t="s">
        <v>212</v>
      </c>
    </row>
    <row r="47" spans="2:15" x14ac:dyDescent="0.3">
      <c r="B47" s="143">
        <v>1</v>
      </c>
      <c r="C47" s="135">
        <f>ROUND(SUMIF(Age_Sex_BY[[#All],[Insurance Category Code]],B47, Age_Sex_BY[[#All],[Total Member Months by Age/Sex Band]]), 2)</f>
        <v>0</v>
      </c>
      <c r="D47" s="132">
        <f>ROUND(SUMIF(Age_Sex_BY[[#All],[Insurance Category Code]],B47, Age_Sex_BY[[#All],[Total Dollars Excluded from Spending After Applying Truncation at the Member Level]]), 2)</f>
        <v>0</v>
      </c>
      <c r="E47" s="6">
        <f>ROUND(SUMIF(Age_Sex_BY[[#All],[Insurance Category Code]],B47, Age_Sex_BY[[#All],[Count of Members whose Spending was Truncated]]),2)</f>
        <v>0</v>
      </c>
      <c r="F47" s="132">
        <f>ROUND(SUMIF(Age_Sex_BY[[#All],[Insurance Category Code]],B47, Age_Sex_BY[[#All],[Total Spending before Truncation is Applied]]), 2)</f>
        <v>0</v>
      </c>
      <c r="G47" s="132">
        <f>ROUND(SUMIF(Age_Sex_BY[[#All],[Insurance Category Code]],B47, Age_Sex_BY[[#All],[Total Spending After Applying Truncation at the Member Level]]),2)</f>
        <v>0</v>
      </c>
      <c r="H47" s="6" t="str">
        <f>IF(C47=ROUND(SUMIF(TME_BY[[#All],[Insurance Category Code]],B47, TME_BY[[#All],[Member Months]]),2), "TRUE", ROUND(C47-SUMIF(TME_BY[[#All],[Insurance Category Code]],B47, TME_BY[[#All],[Member Months]]), 2))</f>
        <v>TRUE</v>
      </c>
      <c r="I47" s="6" t="str">
        <f>IF(D47=SUMIF(TME_BY[[#All],[Insurance Category Code]],B47,TME_BY[[#All],[Total Claims Excluded because of Truncation]]), "TRUE", ROUND(D47-SUMIF(TME_BY[[#All],[Insurance Category Code]],B47,TME_BY[[#All],[Total Claims Excluded because of Truncation]]),2))</f>
        <v>TRUE</v>
      </c>
      <c r="J47" s="6" t="str">
        <f>IF(E47=SUMIF(TME_BY[[#All],[Insurance Category Code]],B47,TME_BY[[#All],[Count of Members with Claims Truncated]]), "TRUE", ROUND(E47-SUMIF(TME_BY[[#All],[Insurance Category Code]],B47,TME_BY[[#All],[Count of Members with Claims Truncated]]),2))</f>
        <v>TRUE</v>
      </c>
      <c r="K47" s="132" t="str">
        <f>IF(F47=SUMIF(TME_BY[[#All],[Insurance Category Code]],B47,TME_BY[[#All],[TOTAL Non-Truncated Unadjusted Claims Expenses]]), "TRUE", ROUND(F47-SUMIF(TME_BY[[#All],[Insurance Category Code]],B47,TME_BY[[#All],[TOTAL Non-Truncated Unadjusted Claims Expenses]]),2))</f>
        <v>TRUE</v>
      </c>
      <c r="L47" s="132" t="str">
        <f>IF(F47=SUMIF(TME_BY[[#All],[Insurance Category Code]],B47,TME_BY[[#All],[TOTAL Truncated Unadjusted Claims Expenses (A21 -A19)]]), "TRUE", ROUND(F47-SUMIF(TME_BY[[#All],[Insurance Category Code]],B47,TME_BY[[#All],[TOTAL Truncated Unadjusted Claims Expenses (A21 -A19)]]),2))</f>
        <v>TRUE</v>
      </c>
      <c r="M47" s="6" t="str">
        <f>IF(E47=0, "TRUE",IF((C47/12)&gt;E47,"TRUE",(C47/12)-E47))</f>
        <v>TRUE</v>
      </c>
      <c r="N47" s="6" t="b">
        <f>ROUND(SUMIF(TME_BY[[#All],[Insurance Category Code]], B47, TME_BY[[#All],[TOTAL Non-Truncated Unadjusted Claims Expenses]]),2)&gt;=ROUND(SUMIF(TME_BY[[#All],[Insurance Category Code]], B47, TME_BY[[#All],[TOTAL Truncated Unadjusted Claims Expenses (A21 -A19)]]), 2)</f>
        <v>1</v>
      </c>
      <c r="O47" s="6" t="b">
        <f>ROUND(SUMIF(TME_BY[[#All],[Insurance Category Code]], B47, TME_BY[[#All],[TOTAL Truncated Unadjusted Claims Expenses (A21 -A19)]])+SUMIF(TME_BY[[#All],[Insurance Category Code]],B47,TME_BY[[#All],[Total Claims Excluded because of Truncation]]), 2)=ROUND(SUMIF(TME_BY[[#All],[Insurance Category Code]],B47, TME_BY[[#All],[TOTAL Non-Truncated Unadjusted Claims Expenses]]),2)</f>
        <v>1</v>
      </c>
    </row>
    <row r="48" spans="2:15" x14ac:dyDescent="0.3">
      <c r="B48" s="143">
        <v>3</v>
      </c>
      <c r="C48" s="135">
        <f>ROUND(SUMIF(Age_Sex_BY[[#All],[Insurance Category Code]],B48, Age_Sex_BY[[#All],[Total Member Months by Age/Sex Band]]), 2)</f>
        <v>0</v>
      </c>
      <c r="D48" s="132">
        <f>ROUND(SUMIF(Age_Sex_BY[[#All],[Insurance Category Code]],B48, Age_Sex_BY[[#All],[Total Dollars Excluded from Spending After Applying Truncation at the Member Level]]), 2)</f>
        <v>0</v>
      </c>
      <c r="E48" s="6">
        <f>ROUND(SUMIF(Age_Sex_BY[[#All],[Insurance Category Code]],B48, Age_Sex_BY[[#All],[Count of Members whose Spending was Truncated]]),2)</f>
        <v>0</v>
      </c>
      <c r="F48" s="132">
        <f>ROUND(SUMIF(Age_Sex_BY[[#All],[Insurance Category Code]],B48, Age_Sex_BY[[#All],[Total Spending before Truncation is Applied]]), 2)</f>
        <v>0</v>
      </c>
      <c r="G48" s="132">
        <f>ROUND(SUMIF(Age_Sex_BY[[#All],[Insurance Category Code]],B48, Age_Sex_BY[[#All],[Total Spending After Applying Truncation at the Member Level]]),2)</f>
        <v>0</v>
      </c>
      <c r="H48" s="6" t="str">
        <f>IF(C48=ROUND(SUMIF(TME_BY[[#All],[Insurance Category Code]],B48, TME_BY[[#All],[Member Months]]),2), "TRUE", ROUND(C48-SUMIF(TME_BY[[#All],[Insurance Category Code]],B48, TME_BY[[#All],[Member Months]]), 2))</f>
        <v>TRUE</v>
      </c>
      <c r="I48" s="6" t="str">
        <f>IF(D48=SUMIF(TME_BY[[#All],[Insurance Category Code]],B48,TME_BY[[#All],[Total Claims Excluded because of Truncation]]), "TRUE", ROUND(D48-SUMIF(TME_BY[[#All],[Insurance Category Code]],B48,TME_BY[[#All],[Total Claims Excluded because of Truncation]]),2))</f>
        <v>TRUE</v>
      </c>
      <c r="J48" s="6" t="str">
        <f>IF(E48=SUMIF(TME_BY[[#All],[Insurance Category Code]],B48,TME_BY[[#All],[Count of Members with Claims Truncated]]), "TRUE", ROUND(E48-SUMIF(TME_BY[[#All],[Insurance Category Code]],B48,TME_BY[[#All],[Count of Members with Claims Truncated]]),2))</f>
        <v>TRUE</v>
      </c>
      <c r="K48" s="132" t="str">
        <f>IF(F48=SUMIF(TME_BY[[#All],[Insurance Category Code]],B48,TME_BY[[#All],[TOTAL Non-Truncated Unadjusted Claims Expenses]]), "TRUE", ROUND(F48-SUMIF(TME_BY[[#All],[Insurance Category Code]],B48,TME_BY[[#All],[TOTAL Non-Truncated Unadjusted Claims Expenses]]),2))</f>
        <v>TRUE</v>
      </c>
      <c r="L48" s="132" t="str">
        <f>IF(F48=SUMIF(TME_BY[[#All],[Insurance Category Code]],B48,TME_BY[[#All],[TOTAL Truncated Unadjusted Claims Expenses (A21 -A19)]]), "TRUE", ROUND(F48-SUMIF(TME_BY[[#All],[Insurance Category Code]],B48,TME_BY[[#All],[TOTAL Truncated Unadjusted Claims Expenses (A21 -A19)]]),2))</f>
        <v>TRUE</v>
      </c>
      <c r="M48" s="6" t="str">
        <f>IF(E48=0, "TRUE",IF((C48/12)&gt;E48,"TRUE",(C48/12)-E48))</f>
        <v>TRUE</v>
      </c>
      <c r="N48" s="6" t="b">
        <f>ROUND(SUMIF(TME_BY[[#All],[Insurance Category Code]], B48, TME_BY[[#All],[TOTAL Non-Truncated Unadjusted Claims Expenses]]),2)&gt;=ROUND(SUMIF(TME_BY[[#All],[Insurance Category Code]], B48, TME_BY[[#All],[TOTAL Truncated Unadjusted Claims Expenses (A21 -A19)]]), 2)</f>
        <v>1</v>
      </c>
      <c r="O48" s="6" t="b">
        <f>ROUND(SUMIF(TME_BY[[#All],[Insurance Category Code]], B48, TME_BY[[#All],[TOTAL Truncated Unadjusted Claims Expenses (A21 -A19)]])+SUMIF(TME_BY[[#All],[Insurance Category Code]],B48,TME_BY[[#All],[Total Claims Excluded because of Truncation]]), 2)=ROUND(SUMIF(TME_BY[[#All],[Insurance Category Code]],B48, TME_BY[[#All],[TOTAL Non-Truncated Unadjusted Claims Expenses]]),2)</f>
        <v>1</v>
      </c>
    </row>
    <row r="50" spans="2:15" ht="18" x14ac:dyDescent="0.35">
      <c r="B50" s="128" t="s">
        <v>292</v>
      </c>
    </row>
    <row r="51" spans="2:15" ht="18" x14ac:dyDescent="0.35">
      <c r="B51" s="128"/>
      <c r="C51" s="231" t="s">
        <v>293</v>
      </c>
      <c r="D51" s="232"/>
      <c r="E51" s="232"/>
      <c r="F51" s="232"/>
      <c r="G51" s="232"/>
      <c r="H51" s="234" t="s">
        <v>294</v>
      </c>
      <c r="I51" s="234"/>
      <c r="J51" s="234"/>
      <c r="K51" s="234"/>
      <c r="L51" s="234"/>
    </row>
    <row r="52" spans="2:15" ht="57.6" x14ac:dyDescent="0.3">
      <c r="B52" s="142" t="s">
        <v>24</v>
      </c>
      <c r="C52" s="129" t="s">
        <v>78</v>
      </c>
      <c r="D52" s="130" t="s">
        <v>138</v>
      </c>
      <c r="E52" s="130" t="s">
        <v>205</v>
      </c>
      <c r="F52" s="130" t="s">
        <v>137</v>
      </c>
      <c r="G52" s="130" t="s">
        <v>81</v>
      </c>
      <c r="H52" s="134" t="s">
        <v>123</v>
      </c>
      <c r="I52" s="134" t="s">
        <v>206</v>
      </c>
      <c r="J52" s="134" t="s">
        <v>207</v>
      </c>
      <c r="K52" s="134" t="s">
        <v>208</v>
      </c>
      <c r="L52" s="134" t="s">
        <v>209</v>
      </c>
      <c r="M52" s="131" t="s">
        <v>210</v>
      </c>
      <c r="N52" s="131" t="s">
        <v>211</v>
      </c>
      <c r="O52" s="131" t="s">
        <v>212</v>
      </c>
    </row>
    <row r="53" spans="2:15" x14ac:dyDescent="0.3">
      <c r="B53" s="143">
        <v>1</v>
      </c>
      <c r="C53" s="135">
        <f>ROUND(SUMIF(Age_Sex_PY[[#All],[Insurance Category Code]],B53, Age_Sex_PY[[#All],[Total Member Months by Age/Sex Band]]), 2)</f>
        <v>0</v>
      </c>
      <c r="D53" s="132">
        <f>ROUND(SUMIF(Age_Sex_PY[[#All],[Insurance Category Code]],B53, Age_Sex_PY[[#All],[Total Dollars Excluded from Spending After Applying Truncation at the Member Level]]), 2)</f>
        <v>0</v>
      </c>
      <c r="E53" s="6">
        <f>ROUND(SUMIF(Age_Sex_PY[[#All],[Insurance Category Code]],B53, Age_Sex_PY[[#All],[Count of Members whose Spending was Truncated]]),2)</f>
        <v>0</v>
      </c>
      <c r="F53" s="132">
        <f>ROUND(SUMIF(Age_Sex_PY[[#All],[Insurance Category Code]],B53, Age_Sex_PY[[#All],[Total Spending before Truncation is Applied]]), 2)</f>
        <v>0</v>
      </c>
      <c r="G53" s="132">
        <f>ROUND(SUMIF(Age_Sex_PY[[#All],[Insurance Category Code]],B53, Age_Sex_PY[[#All],[Total Spending After Applying Truncation at the Member Level]]),2)</f>
        <v>0</v>
      </c>
      <c r="H53" s="6" t="str">
        <f>IF(C53=ROUND(SUMIF(TME_PY[[#All],[Insurance Category Code]],B53, TME_PY[[#All],[Member Months]]),2), "TRUE", ROUND(C53-SUMIF(TME_PY[[#All],[Insurance Category Code]],B53, TME_PY[[#All],[Member Months]]), 2))</f>
        <v>TRUE</v>
      </c>
      <c r="I53" s="6" t="str">
        <f>IF(D53=SUMIF(TME_PY[[#All],[Insurance Category Code]],B53,TME_PY[[#All],[Total Claims Excluded because of Truncation]]), "TRUE", ROUND(D53-SUMIF(TME_PY[[#All],[Insurance Category Code]],B53,TME_PY[[#All],[Total Claims Excluded because of Truncation]]),2))</f>
        <v>TRUE</v>
      </c>
      <c r="J53" s="6" t="str">
        <f>IF(E53=SUMIF(TME_PY[[#All],[Insurance Category Code]],B53,TME_PY[[#All],[Count of Members with Claims Truncated]]), "TRUE", ROUND(E53-SUMIF(TME_PY[[#All],[Insurance Category Code]],B53,TME_PY[[#All],[Count of Members with Claims Truncated]]),2))</f>
        <v>TRUE</v>
      </c>
      <c r="K53" s="132" t="str">
        <f>IF(F53=SUMIF(TME_PY[[#All],[Insurance Category Code]],B53,TME_PY[[#All],[TOTAL Non-Truncated Unadjusted Claims Expenses]]), "TRUE", ROUND(F53-SUMIF(TME_PY[[#All],[Insurance Category Code]],B53,TME_PY[[#All],[TOTAL Non-Truncated Unadjusted Claims Expenses]]),2))</f>
        <v>TRUE</v>
      </c>
      <c r="L53" s="132" t="str">
        <f>IF(F53=SUMIF(TME_PY[[#All],[Insurance Category Code]],B53,TME_PY[[#All],[TOTAL Truncated Unadjusted Claims Expenses (A21 -A19)]]), "TRUE", ROUND(F53-SUMIF(TME_PY[[#All],[Insurance Category Code]],B53,TME_PY[[#All],[TOTAL Truncated Unadjusted Claims Expenses (A21 -A19)]]),2))</f>
        <v>TRUE</v>
      </c>
      <c r="M53" s="6" t="str">
        <f>IF(E53=0, "TRUE",IF((C53/12)&gt;E53,"TRUE",(C53/12)-E53))</f>
        <v>TRUE</v>
      </c>
      <c r="N53" s="6" t="b">
        <f>ROUND(SUMIF(TME_PY[[#All],[Insurance Category Code]], B53, TME_PY[[#All],[TOTAL Non-Truncated Unadjusted Claims Expenses]]),2)&gt;=ROUND(SUMIF(TME_PY[[#All],[Insurance Category Code]], B53, TME_PY[[#All],[TOTAL Truncated Unadjusted Claims Expenses (A21 -A19)]]), 2)</f>
        <v>1</v>
      </c>
      <c r="O53" s="6" t="b">
        <f>ROUND(SUMIF(TME_PY[[#All],[Insurance Category Code]], B53, TME_PY[[#All],[TOTAL Truncated Unadjusted Claims Expenses (A21 -A19)]])+SUMIF(TME_PY[[#All],[Insurance Category Code]],B53,TME_PY[[#All],[Total Claims Excluded because of Truncation]]), 2)=ROUND(SUMIF(TME_PY[[#All],[Insurance Category Code]],B53, TME_PY[[#All],[TOTAL Non-Truncated Unadjusted Claims Expenses]]),2)</f>
        <v>1</v>
      </c>
    </row>
    <row r="54" spans="2:15" x14ac:dyDescent="0.3">
      <c r="B54" s="143">
        <v>3</v>
      </c>
      <c r="C54" s="135">
        <f>ROUND(SUMIF(Age_Sex_PY[[#All],[Insurance Category Code]],B54, Age_Sex_PY[[#All],[Total Member Months by Age/Sex Band]]), 2)</f>
        <v>0</v>
      </c>
      <c r="D54" s="132">
        <f>ROUND(SUMIF(Age_Sex_PY[[#All],[Insurance Category Code]],B54, Age_Sex_PY[[#All],[Total Dollars Excluded from Spending After Applying Truncation at the Member Level]]), 2)</f>
        <v>0</v>
      </c>
      <c r="E54" s="6">
        <f>ROUND(SUMIF(Age_Sex_PY[[#All],[Insurance Category Code]],B54, Age_Sex_PY[[#All],[Count of Members whose Spending was Truncated]]),2)</f>
        <v>0</v>
      </c>
      <c r="F54" s="132">
        <f>ROUND(SUMIF(Age_Sex_PY[[#All],[Insurance Category Code]],B54, Age_Sex_PY[[#All],[Total Spending before Truncation is Applied]]), 2)</f>
        <v>0</v>
      </c>
      <c r="G54" s="132">
        <f>ROUND(SUMIF(Age_Sex_PY[[#All],[Insurance Category Code]],B54, Age_Sex_PY[[#All],[Total Spending After Applying Truncation at the Member Level]]),2)</f>
        <v>0</v>
      </c>
      <c r="H54" s="6" t="str">
        <f>IF(C54=ROUND(SUMIF(TME_PY[[#All],[Insurance Category Code]],B54, TME_PY[[#All],[Member Months]]),2), "TRUE", ROUND(C54-SUMIF(TME_PY[[#All],[Insurance Category Code]],B54, TME_PY[[#All],[Member Months]]), 2))</f>
        <v>TRUE</v>
      </c>
      <c r="I54" s="6" t="str">
        <f>IF(D54=SUMIF(TME_PY[[#All],[Insurance Category Code]],B54,TME_PY[[#All],[Total Claims Excluded because of Truncation]]), "TRUE", ROUND(D54-SUMIF(TME_PY[[#All],[Insurance Category Code]],B54,TME_PY[[#All],[Total Claims Excluded because of Truncation]]),2))</f>
        <v>TRUE</v>
      </c>
      <c r="J54" s="6" t="str">
        <f>IF(E54=SUMIF(TME_PY[[#All],[Insurance Category Code]],B54,TME_PY[[#All],[Count of Members with Claims Truncated]]), "TRUE", ROUND(E54-SUMIF(TME_PY[[#All],[Insurance Category Code]],B54,TME_PY[[#All],[Count of Members with Claims Truncated]]),2))</f>
        <v>TRUE</v>
      </c>
      <c r="K54" s="132" t="str">
        <f>IF(F54=SUMIF(TME_PY[[#All],[Insurance Category Code]],B54,TME_PY[[#All],[TOTAL Non-Truncated Unadjusted Claims Expenses]]), "TRUE", ROUND(F54-SUMIF(TME_PY[[#All],[Insurance Category Code]],B54,TME_PY[[#All],[TOTAL Non-Truncated Unadjusted Claims Expenses]]),2))</f>
        <v>TRUE</v>
      </c>
      <c r="L54" s="132" t="str">
        <f>IF(F54=SUMIF(TME_PY[[#All],[Insurance Category Code]],B54,TME_PY[[#All],[TOTAL Truncated Unadjusted Claims Expenses (A21 -A19)]]), "TRUE", ROUND(F54-SUMIF(TME_PY[[#All],[Insurance Category Code]],B54,TME_PY[[#All],[TOTAL Truncated Unadjusted Claims Expenses (A21 -A19)]]),2))</f>
        <v>TRUE</v>
      </c>
      <c r="M54" s="6" t="str">
        <f>IF(E54=0, "TRUE",IF((C54/12)&gt;E54,"TRUE",(C54/12)-E54))</f>
        <v>TRUE</v>
      </c>
      <c r="N54" s="6" t="b">
        <f>ROUND(SUMIF(TME_PY[[#All],[Insurance Category Code]], B54, TME_PY[[#All],[TOTAL Non-Truncated Unadjusted Claims Expenses]]),2)&gt;=ROUND(SUMIF(TME_PY[[#All],[Insurance Category Code]], B54, TME_PY[[#All],[TOTAL Truncated Unadjusted Claims Expenses (A21 -A19)]]), 2)</f>
        <v>1</v>
      </c>
      <c r="O54" s="6" t="b">
        <f>ROUND(SUMIF(TME_PY[[#All],[Insurance Category Code]], B54, TME_PY[[#All],[TOTAL Truncated Unadjusted Claims Expenses (A21 -A19)]])+SUMIF(TME_PY[[#All],[Insurance Category Code]],B54,TME_PY[[#All],[Total Claims Excluded because of Truncation]]), 2)=ROUND(SUMIF(TME_PY[[#All],[Insurance Category Code]],B54, TME_PY[[#All],[TOTAL Non-Truncated Unadjusted Claims Expenses]]),2)</f>
        <v>1</v>
      </c>
    </row>
    <row r="57" spans="2:15" ht="18" x14ac:dyDescent="0.35">
      <c r="B57" s="128" t="s">
        <v>213</v>
      </c>
    </row>
    <row r="58" spans="2:15" ht="18" x14ac:dyDescent="0.35">
      <c r="B58" s="128"/>
      <c r="C58" s="235">
        <v>2023</v>
      </c>
      <c r="D58" s="235"/>
      <c r="E58" s="235"/>
      <c r="F58" s="235">
        <v>2024</v>
      </c>
      <c r="G58" s="235"/>
      <c r="H58" s="235"/>
    </row>
    <row r="59" spans="2:15" ht="28.8" x14ac:dyDescent="0.3">
      <c r="B59" s="140" t="s">
        <v>24</v>
      </c>
      <c r="C59" s="5" t="s">
        <v>196</v>
      </c>
      <c r="D59" s="5" t="s">
        <v>201</v>
      </c>
      <c r="E59" s="139" t="s">
        <v>198</v>
      </c>
      <c r="F59" s="5" t="s">
        <v>196</v>
      </c>
      <c r="G59" s="5" t="s">
        <v>201</v>
      </c>
      <c r="H59" s="139" t="s">
        <v>198</v>
      </c>
    </row>
    <row r="60" spans="2:15" x14ac:dyDescent="0.3">
      <c r="B60" s="141">
        <v>1</v>
      </c>
      <c r="C60" s="132">
        <f>SUMIF(TME_BY[[#All],[Insurance Category Code]],B60, TME_BY[[#All],[TOTAL Truncated Unadjusted Claims Expenses (A21 -A19)]])</f>
        <v>0</v>
      </c>
      <c r="D60" s="132">
        <f>SUMIF(SD_BY[[#All],[Market ID]], B60, SD_BY[[#All],[Total Truncated Spending]])</f>
        <v>0</v>
      </c>
      <c r="E60" s="13" t="str">
        <f t="shared" ref="E60" si="7">IF(C60=D60,"Yes",ABS(C60-D60))</f>
        <v>Yes</v>
      </c>
      <c r="F60" s="132">
        <f>SUMIF(TME_PY[[#All],[Insurance Category Code]],B60, TME_PY[[#All],[TOTAL Truncated Unadjusted Claims Expenses (A21 -A19)]])</f>
        <v>0</v>
      </c>
      <c r="G60" s="132">
        <f>SUMIF(SD_PY[[#All],[Market ID]], B60, SD_PY[[#All],[Total Truncated Spending]])</f>
        <v>0</v>
      </c>
      <c r="H60" s="13" t="str">
        <f t="shared" ref="H60:H61" si="8">IF(F60=G60,"Yes",ABS(F60-G60))</f>
        <v>Yes</v>
      </c>
    </row>
    <row r="61" spans="2:15" x14ac:dyDescent="0.3">
      <c r="B61" s="141">
        <v>3</v>
      </c>
      <c r="C61" s="132">
        <f>SUMIF(TME_BY[[#All],[Insurance Category Code]],B61, TME_BY[[#All],[TOTAL Truncated Unadjusted Claims Expenses (A21 -A19)]])</f>
        <v>0</v>
      </c>
      <c r="D61" s="132">
        <f>SUMIF(SD_BY[[#All],[Market ID]], B61, SD_BY[[#All],[Total Truncated Spending]])</f>
        <v>0</v>
      </c>
      <c r="E61" s="13" t="str">
        <f>IF(C61=D61,"Yes",ABS(C61-D61))</f>
        <v>Yes</v>
      </c>
      <c r="F61" s="132">
        <f>SUMIF(TME_PY[[#All],[Insurance Category Code]],B61, TME_PY[[#All],[TOTAL Truncated Unadjusted Claims Expenses (A21 -A19)]])</f>
        <v>0</v>
      </c>
      <c r="G61" s="132">
        <f>SUMIF(SD_PY[[#All],[Market ID]], B61, SD_PY[[#All],[Total Truncated Spending]])</f>
        <v>0</v>
      </c>
      <c r="H61" s="13" t="str">
        <f t="shared" si="8"/>
        <v>Yes</v>
      </c>
    </row>
    <row r="63" spans="2:15" s="12" customFormat="1" ht="18" x14ac:dyDescent="0.35">
      <c r="B63" s="128" t="s">
        <v>252</v>
      </c>
    </row>
    <row r="64" spans="2:15" s="12" customFormat="1" x14ac:dyDescent="0.3">
      <c r="B64" s="22" t="s">
        <v>214</v>
      </c>
    </row>
    <row r="65" spans="2:13" s="12" customFormat="1" x14ac:dyDescent="0.3">
      <c r="B65" s="3" t="s">
        <v>24</v>
      </c>
      <c r="C65" s="3" t="s">
        <v>215</v>
      </c>
      <c r="D65" s="3" t="s">
        <v>52</v>
      </c>
      <c r="E65" s="3" t="s">
        <v>53</v>
      </c>
      <c r="F65" s="3" t="s">
        <v>55</v>
      </c>
      <c r="G65" s="3" t="s">
        <v>56</v>
      </c>
      <c r="H65" s="3" t="s">
        <v>57</v>
      </c>
      <c r="I65" s="3" t="s">
        <v>58</v>
      </c>
      <c r="J65" s="3" t="s">
        <v>59</v>
      </c>
      <c r="K65" s="3" t="s">
        <v>60</v>
      </c>
      <c r="L65" s="3" t="s">
        <v>61</v>
      </c>
      <c r="M65" s="3" t="s">
        <v>216</v>
      </c>
    </row>
    <row r="66" spans="2:13" s="12" customFormat="1" x14ac:dyDescent="0.3">
      <c r="B66" s="2">
        <v>1</v>
      </c>
      <c r="C66" s="121" t="str">
        <f>IF(C32&lt;&gt;0,(SUMIF(TME_BY[[#All],[Insurance Category Code]],B66, TME_BY[[#All],[TOTAL Non-Truncated Unadjusted Claims Expenses]]))/C32, "NA")</f>
        <v>NA</v>
      </c>
      <c r="D66" s="121" t="str">
        <f>IF(C32&lt;&gt;0,(SUMIF(TME_BY[[#All],[Insurance Category Code]],B66, TME_BY[[#All],[Claims: Hospital Inpatient]]))/C32, "NA")</f>
        <v>NA</v>
      </c>
      <c r="E66" s="121" t="str">
        <f>IF(C32&lt;&gt;0,(SUMIF(TME_BY[[#All],[Insurance Category Code]],B66, TME_BY[[#All],[Claims: Hospital Outpatient]]))/C32, "NA")</f>
        <v>NA</v>
      </c>
      <c r="F66" s="121" t="str">
        <f>IF(C32&lt;&gt;0,(SUMIF(TME_BY[[#All],[Insurance Category Code]],B66, TME_BY[[#All],[Claims: Professional, Primary Care]]))/C32, "NA")</f>
        <v>NA</v>
      </c>
      <c r="G66" s="121" t="str">
        <f>IF(C32&lt;&gt;0,(SUMIF(TME_BY[[#All],[Insurance Category Code]],B66, TME_BY[[#All],[Claims: Professional, Primary Care (for Monitoring Purposes)]]))/C32, "NA")</f>
        <v>NA</v>
      </c>
      <c r="H66" s="121" t="str">
        <f>IF(C32&lt;&gt;0,(SUMIF(TME_BY[[#All],[Insurance Category Code]],B66, TME_BY[[#All],[Claims: Professional, Specialty]]))/C32, "NA")</f>
        <v>NA</v>
      </c>
      <c r="I66" s="121" t="str">
        <f>IF(C32&lt;&gt;0,(SUMIF(TME_BY[[#All],[Insurance Category Code]],B66, TME_BY[[#All],[Claims: Professional Other]]))/C32, "NA")</f>
        <v>NA</v>
      </c>
      <c r="J66" s="121" t="str">
        <f>IF(C32&lt;&gt;0,(SUMIF(TME_BY[[#All],[Insurance Category Code]],B66, TME_BY[[#All],[Claims: Pharmacy]]))/C32, "NA")</f>
        <v>NA</v>
      </c>
      <c r="K66" s="121" t="str">
        <f>IF(C32&lt;&gt;0,(SUMIF(TME_BY[[#All],[Insurance Category Code]],B66, TME_BY[[#All],[Claims: Long-Term Care]]))/C32, "NA")</f>
        <v>NA</v>
      </c>
      <c r="L66" s="121" t="str">
        <f>IF(C32&lt;&gt;0,(SUMIF(TME_BY[[#All],[Insurance Category Code]],B66, TME_BY[[#All],[Claims: Other]]))/C32, "NA")</f>
        <v>NA</v>
      </c>
      <c r="M66" s="121" t="str">
        <f>IF(C32&lt;&gt;0,(SUMIF(TME_BY[[#All],[Insurance Category Code]],B66, TME_BY[[#All],[TOTAL Non-Claims Expenses]]))/C32, "NA")</f>
        <v>NA</v>
      </c>
    </row>
    <row r="67" spans="2:13" s="12" customFormat="1" x14ac:dyDescent="0.3">
      <c r="B67" s="2">
        <v>3</v>
      </c>
      <c r="C67" s="121" t="str">
        <f>IF(C33&lt;&gt;0,(SUMIF(TME_BY[[#All],[Insurance Category Code]],B67, TME_BY[[#All],[TOTAL Non-Truncated Unadjusted Claims Expenses]]))/C33, "NA")</f>
        <v>NA</v>
      </c>
      <c r="D67" s="121" t="str">
        <f>IF(C33&lt;&gt;0,(SUMIF(TME_BY[[#All],[Insurance Category Code]],B67, TME_BY[[#All],[Claims: Hospital Inpatient]]))/C33, "NA")</f>
        <v>NA</v>
      </c>
      <c r="E67" s="121" t="str">
        <f>IF(C33&lt;&gt;0,(SUMIF(TME_BY[[#All],[Insurance Category Code]],B67, TME_BY[[#All],[Claims: Hospital Outpatient]]))/C33, "NA")</f>
        <v>NA</v>
      </c>
      <c r="F67" s="121" t="str">
        <f>IF(C33&lt;&gt;0,(SUMIF(TME_BY[[#All],[Insurance Category Code]],B67, TME_BY[[#All],[Claims: Professional, Primary Care]]))/C33, "NA")</f>
        <v>NA</v>
      </c>
      <c r="G67" s="121" t="str">
        <f>IF(C33&lt;&gt;0,(SUMIF(TME_BY[[#All],[Insurance Category Code]],B67, TME_BY[[#All],[Claims: Professional, Primary Care (for Monitoring Purposes)]]))/C33, "NA")</f>
        <v>NA</v>
      </c>
      <c r="H67" s="121" t="str">
        <f>IF(C33&lt;&gt;0,(SUMIF(TME_BY[[#All],[Insurance Category Code]],B67, TME_BY[[#All],[Claims: Professional, Specialty]]))/C33, "NA")</f>
        <v>NA</v>
      </c>
      <c r="I67" s="121" t="str">
        <f>IF(C33&lt;&gt;0,(SUMIF(TME_BY[[#All],[Insurance Category Code]],B67, TME_BY[[#All],[Claims: Professional Other]]))/C33, "NA")</f>
        <v>NA</v>
      </c>
      <c r="J67" s="121" t="str">
        <f>IF(C33&lt;&gt;0,(SUMIF(TME_BY[[#All],[Insurance Category Code]],B67, TME_BY[[#All],[Claims: Pharmacy]]))/C33, "NA")</f>
        <v>NA</v>
      </c>
      <c r="K67" s="121" t="str">
        <f>IF(C33&lt;&gt;0,(SUMIF(TME_BY[[#All],[Insurance Category Code]],B67, TME_BY[[#All],[Claims: Long-Term Care]]))/C33, "NA")</f>
        <v>NA</v>
      </c>
      <c r="L67" s="121" t="str">
        <f>IF(C33&lt;&gt;0,(SUMIF(TME_BY[[#All],[Insurance Category Code]],B67, TME_BY[[#All],[Claims: Other]]))/C33, "NA")</f>
        <v>NA</v>
      </c>
      <c r="M67" s="121" t="str">
        <f>IF(C33&lt;&gt;0,(SUMIF(TME_BY[[#All],[Insurance Category Code]],B67, TME_BY[[#All],[TOTAL Non-Claims Expenses]]))/C33, "NA")</f>
        <v>NA</v>
      </c>
    </row>
    <row r="70" spans="2:13" s="12" customFormat="1" ht="18" x14ac:dyDescent="0.35">
      <c r="B70" s="128" t="s">
        <v>295</v>
      </c>
    </row>
    <row r="71" spans="2:13" s="12" customFormat="1" x14ac:dyDescent="0.3">
      <c r="B71" s="22" t="s">
        <v>214</v>
      </c>
    </row>
    <row r="72" spans="2:13" s="12" customFormat="1" x14ac:dyDescent="0.3">
      <c r="B72" s="3" t="s">
        <v>24</v>
      </c>
      <c r="C72" s="3" t="s">
        <v>215</v>
      </c>
      <c r="D72" s="3" t="s">
        <v>52</v>
      </c>
      <c r="E72" s="3" t="s">
        <v>53</v>
      </c>
      <c r="F72" s="3" t="s">
        <v>55</v>
      </c>
      <c r="G72" s="3" t="s">
        <v>56</v>
      </c>
      <c r="H72" s="3" t="s">
        <v>57</v>
      </c>
      <c r="I72" s="3" t="s">
        <v>58</v>
      </c>
      <c r="J72" s="3" t="s">
        <v>59</v>
      </c>
      <c r="K72" s="3" t="s">
        <v>60</v>
      </c>
      <c r="L72" s="3" t="s">
        <v>61</v>
      </c>
      <c r="M72" s="3" t="s">
        <v>216</v>
      </c>
    </row>
    <row r="73" spans="2:13" s="12" customFormat="1" x14ac:dyDescent="0.3">
      <c r="B73" s="2">
        <v>1</v>
      </c>
      <c r="C73" s="121" t="str">
        <f>IF(C40&lt;&gt;0,(SUMIF(TME_PY[[#All],[Insurance Category Code]],B73, TME_PY[[#All],[TOTAL Non-Truncated Unadjusted Claims Expenses]]))/C40, "NA")</f>
        <v>NA</v>
      </c>
      <c r="D73" s="121" t="str">
        <f>IF(C40&lt;&gt;0,(SUMIF(TME_PY[[#All],[Insurance Category Code]],B73, TME_PY[[#All],[Claims: Hospital Inpatient]]))/C40, "NA")</f>
        <v>NA</v>
      </c>
      <c r="E73" s="121" t="str">
        <f>IF(C40&lt;&gt;0,(SUMIF(TME_PY[[#All],[Insurance Category Code]],B73, TME_PY[[#All],[Claims: Hospital Outpatient]]))/C40, "NA")</f>
        <v>NA</v>
      </c>
      <c r="F73" s="121" t="str">
        <f>IF(C40&lt;&gt;0,(SUMIF(TME_PY[[#All],[Insurance Category Code]],B73, TME_PY[[#All],[Claims: Professional, Primary Care]]))/C40, "NA")</f>
        <v>NA</v>
      </c>
      <c r="G73" s="121" t="str">
        <f>IF(C40&lt;&gt;0,(SUMIF(TME_PY[[#All],[Insurance Category Code]],B73, TME_PY[[#All],[Claims: Professional, Primary Care (for Monitoring Purposes)]]))/C40, "NA")</f>
        <v>NA</v>
      </c>
      <c r="H73" s="121" t="str">
        <f>IF(C40&lt;&gt;0,(SUMIF(TME_PY[[#All],[Insurance Category Code]],B73, TME_PY[[#All],[Claims: Professional, Specialty]]))/C40, "NA")</f>
        <v>NA</v>
      </c>
      <c r="I73" s="121" t="str">
        <f>IF(C40&lt;&gt;0,(SUMIF(TME_PY[[#All],[Insurance Category Code]],B73, TME_PY[[#All],[Claims: Professional Other]]))/C40, "NA")</f>
        <v>NA</v>
      </c>
      <c r="J73" s="121" t="str">
        <f>IF(C40&lt;&gt;0,(SUMIF(TME_PY[[#All],[Insurance Category Code]],B73, TME_PY[[#All],[Claims: Pharmacy]]))/C40, "NA")</f>
        <v>NA</v>
      </c>
      <c r="K73" s="121" t="str">
        <f>IF(C40&lt;&gt;0,(SUMIF(TME_PY[[#All],[Insurance Category Code]],B73, TME_PY[[#All],[Claims: Long-Term Care]]))/C40, "NA")</f>
        <v>NA</v>
      </c>
      <c r="L73" s="121" t="str">
        <f>IF(C40&lt;&gt;0,(SUMIF(TME_PY[[#All],[Insurance Category Code]],B73, TME_PY[[#All],[Claims: Other]]))/C40, "NA")</f>
        <v>NA</v>
      </c>
      <c r="M73" s="121" t="str">
        <f>IF(C40&lt;&gt;0,(SUMIF(TME_PY[[#All],[Insurance Category Code]],B73, TME_PY[[#All],[TOTAL Non-Claims Expenses]]))/C40, "NA")</f>
        <v>NA</v>
      </c>
    </row>
    <row r="74" spans="2:13" s="12" customFormat="1" x14ac:dyDescent="0.3">
      <c r="B74" s="2">
        <v>3</v>
      </c>
      <c r="C74" s="121" t="str">
        <f>IF(C41&lt;&gt;0,(SUMIF(TME_PY[[#All],[Insurance Category Code]],B74, TME_PY[[#All],[TOTAL Non-Truncated Unadjusted Claims Expenses]]))/C41, "NA")</f>
        <v>NA</v>
      </c>
      <c r="D74" s="121" t="str">
        <f>IF(C41&lt;&gt;0,(SUMIF(TME_PY[[#All],[Insurance Category Code]],B74, TME_PY[[#All],[Claims: Hospital Inpatient]]))/C41, "NA")</f>
        <v>NA</v>
      </c>
      <c r="E74" s="121" t="str">
        <f>IF(C41&lt;&gt;0,(SUMIF(TME_PY[[#All],[Insurance Category Code]],B74, TME_PY[[#All],[Claims: Hospital Outpatient]]))/C41, "NA")</f>
        <v>NA</v>
      </c>
      <c r="F74" s="121" t="str">
        <f>IF(C41&lt;&gt;0,(SUMIF(TME_PY[[#All],[Insurance Category Code]],B74, TME_PY[[#All],[Claims: Professional, Primary Care]]))/C41, "NA")</f>
        <v>NA</v>
      </c>
      <c r="G74" s="121" t="str">
        <f>IF(C41&lt;&gt;0,(SUMIF(TME_PY[[#All],[Insurance Category Code]],B74, TME_PY[[#All],[Claims: Professional, Primary Care (for Monitoring Purposes)]]))/C41, "NA")</f>
        <v>NA</v>
      </c>
      <c r="H74" s="121" t="str">
        <f>IF(C41&lt;&gt;0,(SUMIF(TME_PY[[#All],[Insurance Category Code]],B74, TME_PY[[#All],[Claims: Professional, Specialty]]))/C41, "NA")</f>
        <v>NA</v>
      </c>
      <c r="I74" s="121" t="str">
        <f>IF(C41&lt;&gt;0,(SUMIF(TME_PY[[#All],[Insurance Category Code]],B74, TME_PY[[#All],[Claims: Professional Other]]))/C41, "NA")</f>
        <v>NA</v>
      </c>
      <c r="J74" s="121" t="str">
        <f>IF(C41&lt;&gt;0,(SUMIF(TME_PY[[#All],[Insurance Category Code]],B74, TME_PY[[#All],[Claims: Pharmacy]]))/C41, "NA")</f>
        <v>NA</v>
      </c>
      <c r="K74" s="121" t="str">
        <f>IF(C41&lt;&gt;0,(SUMIF(TME_PY[[#All],[Insurance Category Code]],B74, TME_PY[[#All],[Claims: Long-Term Care]]))/C41, "NA")</f>
        <v>NA</v>
      </c>
      <c r="L74" s="121" t="str">
        <f>IF(C41&lt;&gt;0,(SUMIF(TME_PY[[#All],[Insurance Category Code]],B74, TME_PY[[#All],[Claims: Other]]))/C41, "NA")</f>
        <v>NA</v>
      </c>
      <c r="M74" s="121" t="str">
        <f>IF(C41&lt;&gt;0,(SUMIF(TME_PY[[#All],[Insurance Category Code]],B74, TME_PY[[#All],[TOTAL Non-Claims Expenses]]))/C41, "NA")</f>
        <v>NA</v>
      </c>
    </row>
    <row r="78" spans="2:13" x14ac:dyDescent="0.3">
      <c r="B78" s="1" t="s">
        <v>217</v>
      </c>
    </row>
    <row r="79" spans="2:13" x14ac:dyDescent="0.3">
      <c r="B79" s="22" t="s">
        <v>218</v>
      </c>
    </row>
    <row r="80" spans="2:13" x14ac:dyDescent="0.3">
      <c r="B80" s="122" t="s">
        <v>219</v>
      </c>
      <c r="C80" s="5" t="s">
        <v>253</v>
      </c>
      <c r="D80" s="5" t="s">
        <v>220</v>
      </c>
      <c r="E80" s="5" t="s">
        <v>296</v>
      </c>
      <c r="F80" s="5" t="s">
        <v>220</v>
      </c>
    </row>
    <row r="81" spans="2:6" ht="57.6" x14ac:dyDescent="0.3">
      <c r="B81" s="7" t="s">
        <v>300</v>
      </c>
      <c r="C81" s="6">
        <f>'Mandatory Questions'!C12</f>
        <v>0</v>
      </c>
      <c r="D81" s="6" t="str">
        <f>IF(C81=VLOOKUP(B81,MandatoryQ[#All],2,FALSE),"Yes","No")</f>
        <v>No</v>
      </c>
      <c r="E81" s="6">
        <f>'Mandatory Questions'!D12</f>
        <v>0</v>
      </c>
      <c r="F81" s="6" t="str">
        <f>IF(E81=VLOOKUP(B81,MandatoryQ[#All],2,FALSE),"Yes","No")</f>
        <v>No</v>
      </c>
    </row>
    <row r="82" spans="2:6" ht="28.8" x14ac:dyDescent="0.3">
      <c r="B82" s="7" t="s">
        <v>148</v>
      </c>
      <c r="C82" s="6">
        <f>'Mandatory Questions'!C13</f>
        <v>0</v>
      </c>
      <c r="D82" s="6" t="str">
        <f>IF(C82=VLOOKUP(B82,MandatoryQ[#All],2,FALSE),"Yes","No")</f>
        <v>No</v>
      </c>
      <c r="E82" s="6">
        <f>'Mandatory Questions'!D13</f>
        <v>0</v>
      </c>
      <c r="F82" s="6" t="str">
        <f>IF(E82=VLOOKUP(B82,MandatoryQ[#All],2,FALSE),"Yes","No")</f>
        <v>No</v>
      </c>
    </row>
    <row r="83" spans="2:6" ht="43.2" x14ac:dyDescent="0.3">
      <c r="B83" s="7" t="s">
        <v>149</v>
      </c>
      <c r="C83" s="6">
        <f>'Mandatory Questions'!C14</f>
        <v>0</v>
      </c>
      <c r="D83" s="6" t="str">
        <f>IF(C83=VLOOKUP(B83,MandatoryQ[#All],2,FALSE),"Yes","No")</f>
        <v>No</v>
      </c>
      <c r="E83" s="6">
        <f>'Mandatory Questions'!D14</f>
        <v>0</v>
      </c>
      <c r="F83" s="6" t="str">
        <f>IF(E83=VLOOKUP(B83,MandatoryQ[#All],2,FALSE),"Yes","No")</f>
        <v>No</v>
      </c>
    </row>
    <row r="84" spans="2:6" ht="43.2" x14ac:dyDescent="0.3">
      <c r="B84" s="7" t="s">
        <v>150</v>
      </c>
      <c r="C84" s="6">
        <f>'Mandatory Questions'!C15</f>
        <v>0</v>
      </c>
      <c r="D84" s="6" t="str">
        <f>IF(C84=VLOOKUP(B84,MandatoryQ[#All],2,FALSE),"Yes","No")</f>
        <v>No</v>
      </c>
      <c r="E84" s="6">
        <f>'Mandatory Questions'!D15</f>
        <v>0</v>
      </c>
      <c r="F84" s="6" t="str">
        <f>IF(E84=VLOOKUP(B84,MandatoryQ[#All],2,FALSE),"Yes","No")</f>
        <v>No</v>
      </c>
    </row>
    <row r="85" spans="2:6" ht="43.2" x14ac:dyDescent="0.3">
      <c r="B85" s="7" t="s">
        <v>151</v>
      </c>
      <c r="C85" s="6">
        <f>'Mandatory Questions'!C16</f>
        <v>0</v>
      </c>
      <c r="D85" s="6" t="str">
        <f>IF(C85=VLOOKUP(B85,MandatoryQ[#All],2,FALSE),"Yes","No")</f>
        <v>No</v>
      </c>
      <c r="E85" s="6">
        <f>'Mandatory Questions'!D16</f>
        <v>0</v>
      </c>
      <c r="F85" s="6" t="str">
        <f>IF(E85=VLOOKUP(B85,MandatoryQ[#All],2,FALSE),"Yes","No")</f>
        <v>No</v>
      </c>
    </row>
    <row r="86" spans="2:6" ht="28.8" x14ac:dyDescent="0.3">
      <c r="B86" s="7" t="s">
        <v>152</v>
      </c>
      <c r="C86" s="6">
        <f>'Mandatory Questions'!C17</f>
        <v>0</v>
      </c>
      <c r="D86" s="6" t="str">
        <f>IF(C86=VLOOKUP(B86,MandatoryQ[#All],2,FALSE),"Yes","No")</f>
        <v>No</v>
      </c>
      <c r="E86" s="6">
        <f>'Mandatory Questions'!D17</f>
        <v>0</v>
      </c>
      <c r="F86" s="6" t="str">
        <f>IF(E86=VLOOKUP(B86,MandatoryQ[#All],2,FALSE),"Yes","No")</f>
        <v>No</v>
      </c>
    </row>
    <row r="87" spans="2:6" ht="43.2" x14ac:dyDescent="0.3">
      <c r="B87" s="7" t="s">
        <v>153</v>
      </c>
      <c r="C87" s="6">
        <f>'Mandatory Questions'!C18</f>
        <v>0</v>
      </c>
      <c r="D87" s="6" t="str">
        <f>IF(C87=VLOOKUP(B87,MandatoryQ[#All],2,FALSE),"Yes","No")</f>
        <v>No</v>
      </c>
      <c r="E87" s="6">
        <f>'Mandatory Questions'!D18</f>
        <v>0</v>
      </c>
      <c r="F87" s="6" t="str">
        <f>IF(E87=VLOOKUP(B87,MandatoryQ[#All],2,FALSE),"Yes","No")</f>
        <v>No</v>
      </c>
    </row>
    <row r="88" spans="2:6" ht="43.2" x14ac:dyDescent="0.3">
      <c r="B88" s="7" t="s">
        <v>154</v>
      </c>
      <c r="C88" s="6">
        <f>'Mandatory Questions'!C19</f>
        <v>0</v>
      </c>
      <c r="D88" s="6" t="str">
        <f>IF(C88=VLOOKUP(B88,MandatoryQ[#All],2,FALSE),"Yes","No")</f>
        <v>No</v>
      </c>
      <c r="E88" s="6">
        <f>'Mandatory Questions'!D19</f>
        <v>0</v>
      </c>
      <c r="F88" s="6" t="str">
        <f>IF(E88=VLOOKUP(B88,MandatoryQ[#All],2,FALSE),"Yes","No")</f>
        <v>No</v>
      </c>
    </row>
    <row r="89" spans="2:6" ht="43.2" x14ac:dyDescent="0.3">
      <c r="B89" s="7" t="s">
        <v>155</v>
      </c>
      <c r="C89" s="6">
        <f>'Mandatory Questions'!C20</f>
        <v>0</v>
      </c>
      <c r="D89" s="6" t="str">
        <f>IF(C89=VLOOKUP(B89,MandatoryQ[#All],2,FALSE),"Yes","No")</f>
        <v>No</v>
      </c>
      <c r="E89" s="6">
        <f>'Mandatory Questions'!D20</f>
        <v>0</v>
      </c>
      <c r="F89" s="6" t="str">
        <f>IF(E89=VLOOKUP(B89,MandatoryQ[#All],2,FALSE),"Yes","No")</f>
        <v>No</v>
      </c>
    </row>
    <row r="90" spans="2:6" ht="28.8" x14ac:dyDescent="0.3">
      <c r="B90" s="7" t="s">
        <v>156</v>
      </c>
      <c r="C90" s="6">
        <f>'Mandatory Questions'!C21</f>
        <v>0</v>
      </c>
      <c r="D90" s="6" t="str">
        <f>IF(C90=VLOOKUP(B90,MandatoryQ[#All],2,FALSE),"Yes","No")</f>
        <v>No</v>
      </c>
      <c r="E90" s="6">
        <f>'Mandatory Questions'!D21</f>
        <v>0</v>
      </c>
      <c r="F90" s="6" t="str">
        <f>IF(E90=VLOOKUP(B90,MandatoryQ[#All],2,FALSE),"Yes","No")</f>
        <v>No</v>
      </c>
    </row>
    <row r="91" spans="2:6" ht="43.2" x14ac:dyDescent="0.3">
      <c r="B91" s="7" t="s">
        <v>221</v>
      </c>
      <c r="C91" s="6">
        <f>'Mandatory Questions'!C22</f>
        <v>0</v>
      </c>
      <c r="D91" s="6" t="str">
        <f>IF(C91=VLOOKUP(B91,MandatoryQ[#All],2,FALSE),"Yes","No")</f>
        <v>No</v>
      </c>
      <c r="E91" s="6">
        <f>'Mandatory Questions'!D22</f>
        <v>0</v>
      </c>
      <c r="F91" s="6" t="str">
        <f>IF(E91=VLOOKUP(B91,MandatoryQ[#All],2,FALSE),"Yes","No")</f>
        <v>No</v>
      </c>
    </row>
    <row r="92" spans="2:6" ht="43.2" x14ac:dyDescent="0.3">
      <c r="B92" s="7" t="s">
        <v>158</v>
      </c>
      <c r="C92" s="6">
        <f>'Mandatory Questions'!C23</f>
        <v>0</v>
      </c>
      <c r="D92" s="6" t="str">
        <f>IF(C92=VLOOKUP(B92,MandatoryQ[#All],2,FALSE),"Yes","No")</f>
        <v>No</v>
      </c>
      <c r="E92" s="6">
        <f>'Mandatory Questions'!D23</f>
        <v>0</v>
      </c>
      <c r="F92" s="6" t="str">
        <f>IF(E92=VLOOKUP(B92,MandatoryQ[#All],2,FALSE),"Yes","No")</f>
        <v>No</v>
      </c>
    </row>
    <row r="93" spans="2:6" ht="28.8" x14ac:dyDescent="0.3">
      <c r="B93" s="7" t="s">
        <v>159</v>
      </c>
      <c r="C93" s="6">
        <f>'Mandatory Questions'!C24</f>
        <v>0</v>
      </c>
      <c r="D93" s="6" t="str">
        <f>IF(C93=VLOOKUP(B93,MandatoryQ[#All],2,FALSE),"Yes","No")</f>
        <v>Yes</v>
      </c>
      <c r="E93" s="6">
        <f>'Mandatory Questions'!D24</f>
        <v>0</v>
      </c>
      <c r="F93" s="6" t="str">
        <f>IF(E93=VLOOKUP(B93,MandatoryQ[#All],2,FALSE),"Yes","No")</f>
        <v>Yes</v>
      </c>
    </row>
    <row r="94" spans="2:6" ht="28.8" x14ac:dyDescent="0.3">
      <c r="B94" s="7" t="s">
        <v>259</v>
      </c>
      <c r="C94" s="6">
        <f>'Mandatory Questions'!C25</f>
        <v>0</v>
      </c>
      <c r="D94" s="6" t="str">
        <f>IF(C94=VLOOKUP(B94,MandatoryQ[#All],2,FALSE),"Yes","No")</f>
        <v>No</v>
      </c>
      <c r="E94" s="6">
        <f>'Mandatory Questions'!D25</f>
        <v>0</v>
      </c>
      <c r="F94" s="6" t="str">
        <f>IF(E94=VLOOKUP(B94,MandatoryQ[#All],2,FALSE),"Yes","No")</f>
        <v>No</v>
      </c>
    </row>
    <row r="95" spans="2:6" ht="28.8" x14ac:dyDescent="0.3">
      <c r="B95" s="7" t="s">
        <v>260</v>
      </c>
      <c r="C95" s="6">
        <f>'Mandatory Questions'!C26</f>
        <v>0</v>
      </c>
      <c r="D95" s="6" t="str">
        <f>IF(C95=VLOOKUP(B95,MandatoryQ[#All],2,FALSE),"Yes","No")</f>
        <v>No</v>
      </c>
      <c r="E95" s="6">
        <f>'Mandatory Questions'!D26</f>
        <v>0</v>
      </c>
      <c r="F95" s="6" t="str">
        <f>IF(E95=VLOOKUP(B95,MandatoryQ[#All],2,FALSE),"Yes","No")</f>
        <v>No</v>
      </c>
    </row>
    <row r="96" spans="2:6" ht="86.4" x14ac:dyDescent="0.3">
      <c r="B96" s="7" t="s">
        <v>261</v>
      </c>
      <c r="C96" s="6">
        <f>'Mandatory Questions'!C27</f>
        <v>0</v>
      </c>
      <c r="D96" s="6" t="str">
        <f>IF(C96=VLOOKUP(B96,MandatoryQ[#All],2,FALSE),"Yes","No")</f>
        <v>Yes</v>
      </c>
      <c r="E96" s="6">
        <f>'Mandatory Questions'!D27</f>
        <v>0</v>
      </c>
      <c r="F96" s="6" t="str">
        <f>IF(E96=VLOOKUP(B96,MandatoryQ[#All],2,FALSE),"Yes","No")</f>
        <v>Yes</v>
      </c>
    </row>
    <row r="97" spans="2:6" ht="28.8" x14ac:dyDescent="0.3">
      <c r="B97" s="7" t="s">
        <v>160</v>
      </c>
      <c r="C97" s="6">
        <f>'Mandatory Questions'!C28</f>
        <v>0</v>
      </c>
      <c r="D97" s="6" t="str">
        <f>IF(C97=VLOOKUP(B97,MandatoryQ[#All],2,FALSE),"Yes","No")</f>
        <v>No</v>
      </c>
      <c r="E97" s="6">
        <f>'Mandatory Questions'!D28</f>
        <v>0</v>
      </c>
      <c r="F97" s="6" t="str">
        <f>IF(E97=VLOOKUP(B97,MandatoryQ[#All],2,FALSE),"Yes","No")</f>
        <v>No</v>
      </c>
    </row>
    <row r="98" spans="2:6" ht="28.8" x14ac:dyDescent="0.3">
      <c r="B98" s="7" t="s">
        <v>262</v>
      </c>
      <c r="C98" s="6">
        <f>'Mandatory Questions'!C29</f>
        <v>0</v>
      </c>
      <c r="D98" s="6" t="str">
        <f>IF(C98=VLOOKUP(B98,MandatoryQ[#All],2,FALSE),"Yes","No")</f>
        <v>Yes</v>
      </c>
      <c r="E98" s="6">
        <f>'Mandatory Questions'!D29</f>
        <v>0</v>
      </c>
      <c r="F98" s="6" t="str">
        <f>IF(E98=VLOOKUP(B98,MandatoryQ[#All],2,FALSE),"Yes","No")</f>
        <v>Yes</v>
      </c>
    </row>
    <row r="99" spans="2:6" ht="57.6" x14ac:dyDescent="0.3">
      <c r="B99" s="7" t="s">
        <v>263</v>
      </c>
      <c r="C99" s="6">
        <f>'Mandatory Questions'!C30</f>
        <v>0</v>
      </c>
      <c r="D99" s="6" t="str">
        <f>IF(C99=VLOOKUP(B99,MandatoryQ[#All],2,FALSE),"Yes","No")</f>
        <v>Yes</v>
      </c>
      <c r="E99" s="6">
        <f>'Mandatory Questions'!D30</f>
        <v>0</v>
      </c>
      <c r="F99" s="6" t="str">
        <f>IF(E99=VLOOKUP(B99,MandatoryQ[#All],2,FALSE),"Yes","No")</f>
        <v>Yes</v>
      </c>
    </row>
    <row r="100" spans="2:6" ht="43.2" x14ac:dyDescent="0.3">
      <c r="B100" s="7" t="s">
        <v>161</v>
      </c>
      <c r="C100" s="6">
        <f>'Mandatory Questions'!C31</f>
        <v>0</v>
      </c>
      <c r="D100" s="6" t="str">
        <f>IF(C100=VLOOKUP(B100,MandatoryQ[#All],2,FALSE),"Yes","No")</f>
        <v>No</v>
      </c>
      <c r="E100" s="6">
        <f>'Mandatory Questions'!D31</f>
        <v>0</v>
      </c>
      <c r="F100" s="6" t="str">
        <f>IF(E100=VLOOKUP(B100,MandatoryQ[#All],2,FALSE),"Yes","No")</f>
        <v>No</v>
      </c>
    </row>
    <row r="101" spans="2:6" ht="72" x14ac:dyDescent="0.3">
      <c r="B101" s="7" t="s">
        <v>162</v>
      </c>
      <c r="C101" s="6">
        <f>'Mandatory Questions'!C32</f>
        <v>0</v>
      </c>
      <c r="D101" s="6" t="str">
        <f>IF(C101=VLOOKUP(B101,MandatoryQ[#All],2,FALSE),"Yes","No")</f>
        <v>No</v>
      </c>
      <c r="E101" s="6">
        <f>'Mandatory Questions'!D32</f>
        <v>0</v>
      </c>
      <c r="F101" s="6" t="str">
        <f>IF(E101=VLOOKUP(B101,MandatoryQ[#All],2,FALSE),"Yes","No")</f>
        <v>No</v>
      </c>
    </row>
    <row r="102" spans="2:6" ht="28.8" x14ac:dyDescent="0.3">
      <c r="B102" s="7" t="s">
        <v>163</v>
      </c>
      <c r="C102" s="6">
        <f>'Mandatory Questions'!C33</f>
        <v>0</v>
      </c>
      <c r="D102" s="6" t="str">
        <f>IF(C102=VLOOKUP(B102,MandatoryQ[#All],2,FALSE),"Yes","No")</f>
        <v>No</v>
      </c>
      <c r="E102" s="6">
        <f>'Mandatory Questions'!D33</f>
        <v>0</v>
      </c>
      <c r="F102" s="6" t="str">
        <f>IF(E102=VLOOKUP(B102,MandatoryQ[#All],2,FALSE),"Yes","No")</f>
        <v>No</v>
      </c>
    </row>
    <row r="103" spans="2:6" ht="43.2" x14ac:dyDescent="0.3">
      <c r="B103" s="7" t="s">
        <v>164</v>
      </c>
      <c r="C103" s="6">
        <f>'Mandatory Questions'!C34</f>
        <v>0</v>
      </c>
      <c r="D103" s="6" t="str">
        <f>IF(C103=VLOOKUP(B103,MandatoryQ[#All],2,FALSE),"Yes","No")</f>
        <v>No</v>
      </c>
      <c r="E103" s="6">
        <f>'Mandatory Questions'!D34</f>
        <v>0</v>
      </c>
      <c r="F103" s="6" t="str">
        <f>IF(E103=VLOOKUP(B103,MandatoryQ[#All],2,FALSE),"Yes","No")</f>
        <v>No</v>
      </c>
    </row>
    <row r="104" spans="2:6" ht="72" x14ac:dyDescent="0.3">
      <c r="B104" s="7" t="s">
        <v>165</v>
      </c>
      <c r="C104" s="6">
        <f>'Mandatory Questions'!C35</f>
        <v>0</v>
      </c>
      <c r="D104" s="6" t="str">
        <f>IF(C104=VLOOKUP(B104,MandatoryQ[#All],2,FALSE),"Yes","No")</f>
        <v>No</v>
      </c>
      <c r="E104" s="6">
        <f>'Mandatory Questions'!D35</f>
        <v>0</v>
      </c>
      <c r="F104" s="6" t="str">
        <f>IF(E104=VLOOKUP(B104,MandatoryQ[#All],2,FALSE),"Yes","No")</f>
        <v>No</v>
      </c>
    </row>
    <row r="105" spans="2:6" ht="100.8" x14ac:dyDescent="0.3">
      <c r="B105" s="7" t="s">
        <v>340</v>
      </c>
      <c r="C105" s="6">
        <f>'Mandatory Questions'!C36</f>
        <v>0</v>
      </c>
      <c r="D105" s="6" t="str">
        <f>IF(C105=VLOOKUP(B105,MandatoryQ[#All],2,FALSE),"Yes","No")</f>
        <v>No</v>
      </c>
      <c r="E105" s="6">
        <f>'Mandatory Questions'!D36</f>
        <v>0</v>
      </c>
      <c r="F105" s="6" t="str">
        <f>IF(E105=VLOOKUP(B105,MandatoryQ[#All],2,FALSE),"Yes","No")</f>
        <v>No</v>
      </c>
    </row>
    <row r="106" spans="2:6" ht="43.2" x14ac:dyDescent="0.3">
      <c r="B106" s="7" t="s">
        <v>166</v>
      </c>
      <c r="C106" s="6">
        <f>'Mandatory Questions'!C37</f>
        <v>0</v>
      </c>
      <c r="D106" s="6" t="str">
        <f>IF(C106=VLOOKUP(B106,MandatoryQ[#All],2,FALSE),"Yes","No")</f>
        <v>Yes</v>
      </c>
      <c r="E106" s="6">
        <f>'Mandatory Questions'!D37</f>
        <v>0</v>
      </c>
      <c r="F106" s="6" t="str">
        <f>IF(E106=VLOOKUP(B106,MandatoryQ[#All],2,FALSE),"Yes","No")</f>
        <v>Yes</v>
      </c>
    </row>
  </sheetData>
  <sheetProtection algorithmName="SHA-512" hashValue="oGCPKvy3yDPzgBcyTZimp+JZ/0EoiwVhzHFppKiC+wb8OpSw5f4gMCETK0flhjXaj62FQgqbA2OmarE3SHVtDA==" saltValue="LXIWh7NhRCJWK2NPQ3bHLA==" spinCount="100000" sheet="1" objects="1" scenarios="1"/>
  <mergeCells count="6">
    <mergeCell ref="C45:G45"/>
    <mergeCell ref="H45:L45"/>
    <mergeCell ref="C51:G51"/>
    <mergeCell ref="H51:L51"/>
    <mergeCell ref="C58:E58"/>
    <mergeCell ref="F58:H58"/>
  </mergeCells>
  <conditionalFormatting sqref="C81:C106 E81:E106">
    <cfRule type="cellIs" dxfId="29" priority="225" operator="equal">
      <formula>0</formula>
    </cfRule>
    <cfRule type="expression" dxfId="28" priority="226">
      <formula>D81="No"</formula>
    </cfRule>
    <cfRule type="expression" dxfId="27" priority="227">
      <formula>D81="Yes"</formula>
    </cfRule>
  </conditionalFormatting>
  <conditionalFormatting sqref="C4:D6">
    <cfRule type="cellIs" dxfId="26" priority="3" operator="greaterThan">
      <formula>0</formula>
    </cfRule>
    <cfRule type="cellIs" dxfId="25" priority="4" operator="equal">
      <formula>0</formula>
    </cfRule>
  </conditionalFormatting>
  <conditionalFormatting sqref="C66:M67 C73:M74">
    <cfRule type="cellIs" dxfId="24" priority="48" operator="lessThan">
      <formula>10</formula>
    </cfRule>
  </conditionalFormatting>
  <conditionalFormatting sqref="D8">
    <cfRule type="cellIs" dxfId="23" priority="1" operator="greaterThan">
      <formula>0</formula>
    </cfRule>
    <cfRule type="cellIs" dxfId="22" priority="2" operator="equal">
      <formula>0</formula>
    </cfRule>
  </conditionalFormatting>
  <conditionalFormatting sqref="D19:D24">
    <cfRule type="cellIs" dxfId="21" priority="114" operator="notEqual">
      <formula>C19</formula>
    </cfRule>
    <cfRule type="cellIs" dxfId="20" priority="115" operator="equal">
      <formula>C19</formula>
    </cfRule>
  </conditionalFormatting>
  <conditionalFormatting sqref="E31:E33 G31:G33 E39:E41 G39:G41">
    <cfRule type="cellIs" dxfId="19" priority="228" operator="equal">
      <formula>"Yes"</formula>
    </cfRule>
    <cfRule type="cellIs" dxfId="18" priority="229" operator="equal">
      <formula>"No"</formula>
    </cfRule>
  </conditionalFormatting>
  <conditionalFormatting sqref="E60:E61">
    <cfRule type="cellIs" dxfId="17" priority="9" operator="equal">
      <formula>"Yes"</formula>
    </cfRule>
    <cfRule type="cellIs" dxfId="16" priority="10" operator="notEqual">
      <formula>"Yes"</formula>
    </cfRule>
  </conditionalFormatting>
  <conditionalFormatting sqref="F19:F24">
    <cfRule type="cellIs" dxfId="15" priority="33" operator="notEqual">
      <formula>E19</formula>
    </cfRule>
    <cfRule type="cellIs" dxfId="14" priority="34" operator="equal">
      <formula>E19</formula>
    </cfRule>
  </conditionalFormatting>
  <conditionalFormatting sqref="F20:F24">
    <cfRule type="cellIs" dxfId="13" priority="23" operator="notEqual">
      <formula>E20</formula>
    </cfRule>
    <cfRule type="cellIs" dxfId="12" priority="24" operator="equal">
      <formula>E20</formula>
    </cfRule>
  </conditionalFormatting>
  <conditionalFormatting sqref="G19:G25">
    <cfRule type="containsText" dxfId="11" priority="116" operator="containsText" text="No">
      <formula>NOT(ISERROR(SEARCH("No",G19)))</formula>
    </cfRule>
    <cfRule type="containsText" dxfId="10" priority="117" operator="containsText" text="Yes">
      <formula>NOT(ISERROR(SEARCH("Yes",G19)))</formula>
    </cfRule>
  </conditionalFormatting>
  <conditionalFormatting sqref="H60:H61">
    <cfRule type="cellIs" dxfId="9" priority="5" operator="equal">
      <formula>"Yes"</formula>
    </cfRule>
    <cfRule type="cellIs" dxfId="8" priority="6" operator="notEqual">
      <formula>"Yes"</formula>
    </cfRule>
  </conditionalFormatting>
  <conditionalFormatting sqref="H47:O48">
    <cfRule type="notContainsText" dxfId="7" priority="17" operator="notContains" text="TRUE">
      <formula>ISERROR(SEARCH("TRUE",H47))</formula>
    </cfRule>
    <cfRule type="containsText" dxfId="6" priority="18" operator="containsText" text="TRUE">
      <formula>NOT(ISERROR(SEARCH("TRUE",H47)))</formula>
    </cfRule>
  </conditionalFormatting>
  <conditionalFormatting sqref="H53:O54">
    <cfRule type="notContainsText" dxfId="5" priority="15" operator="notContains" text="TRUE">
      <formula>ISERROR(SEARCH("TRUE",H53))</formula>
    </cfRule>
    <cfRule type="containsText" dxfId="4" priority="16" operator="containsText" text="TRUE">
      <formula>NOT(ISERROR(SEARCH("TRUE",H53)))</formula>
    </cfRule>
  </conditionalFormatting>
  <conditionalFormatting sqref="I31:I33">
    <cfRule type="cellIs" dxfId="3" priority="13" operator="equal">
      <formula>"Yes"</formula>
    </cfRule>
    <cfRule type="cellIs" dxfId="2" priority="14" operator="equal">
      <formula>"No"</formula>
    </cfRule>
  </conditionalFormatting>
  <conditionalFormatting sqref="I39:I41">
    <cfRule type="cellIs" dxfId="1" priority="11" operator="equal">
      <formula>"Yes"</formula>
    </cfRule>
    <cfRule type="cellIs" dxfId="0" priority="12" operator="equal">
      <formula>"No"</formula>
    </cfRule>
  </conditionalFormatting>
  <hyperlinks>
    <hyperlink ref="B5" location="TruncSpendAlign" display="Alignment of truncated and non-truncated spending Across the TME Record and Age/Sex tabs" xr:uid="{D772140B-EDE4-45FD-8E25-CA5C2B02E44C}"/>
    <hyperlink ref="B4" location="MMConsistency" display="Alignment of member months across the TME Record, Age/Sex, Line of Business, and Standard Deviation Tabs" xr:uid="{EFB343E6-B59A-43F2-BC5D-245324BC8BDE}"/>
    <hyperlink ref="C8" location="ChangeinMMs" display="Were there any significant changes in MMs from 2021-2022 as reported by OSC?" xr:uid="{D62D950A-F314-462F-8721-6E09352AFA43}"/>
    <hyperlink ref="B6" location="SDTruncSpending" display="Alignment of Truncated Spending by Market between TME Record and Standard Deviation tabs" xr:uid="{23F01B67-9F6E-4A5D-A21B-D8B0B33A1554}"/>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Please select an option from the drop down menu." prompt="Please select an option from the drop down menu." xr:uid="{70B49168-C8B3-40E8-A801-5504546A0FE6}">
          <x14:formula1>
            <xm:f>'Reference Tables'!$B$13:$B$13</xm:f>
          </x14:formula1>
          <xm:sqref>C1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C2D9-82C0-4BEE-BDEE-8854974E3553}">
  <dimension ref="A1:I49"/>
  <sheetViews>
    <sheetView zoomScaleNormal="100" workbookViewId="0">
      <selection activeCell="E48" sqref="E48"/>
    </sheetView>
  </sheetViews>
  <sheetFormatPr defaultRowHeight="14.4" x14ac:dyDescent="0.3"/>
  <cols>
    <col min="1" max="1" width="33" bestFit="1" customWidth="1"/>
    <col min="2" max="2" width="20.6640625" customWidth="1"/>
    <col min="3" max="3" width="20.109375" customWidth="1"/>
    <col min="4" max="4" width="26.109375" customWidth="1"/>
    <col min="5" max="5" width="23.33203125" customWidth="1"/>
    <col min="6" max="6" width="19" customWidth="1"/>
    <col min="7" max="7" width="19.109375" customWidth="1"/>
    <col min="8" max="8" width="34.109375" customWidth="1"/>
    <col min="9" max="9" width="42.5546875" customWidth="1"/>
  </cols>
  <sheetData>
    <row r="1" spans="1:9" x14ac:dyDescent="0.3">
      <c r="A1" s="29"/>
      <c r="B1" s="29"/>
      <c r="C1" s="29"/>
      <c r="D1" s="29"/>
      <c r="E1" s="29"/>
      <c r="F1" s="29"/>
      <c r="G1" s="29"/>
      <c r="H1" s="29"/>
      <c r="I1" s="29"/>
    </row>
    <row r="2" spans="1:9" x14ac:dyDescent="0.3">
      <c r="A2" s="30"/>
      <c r="B2" s="30"/>
      <c r="C2" s="29"/>
      <c r="D2" s="29"/>
      <c r="E2" s="29"/>
      <c r="F2" s="29"/>
      <c r="G2" s="29"/>
      <c r="H2" s="29"/>
      <c r="I2" s="29"/>
    </row>
    <row r="3" spans="1:9" x14ac:dyDescent="0.3">
      <c r="A3" s="31" t="s">
        <v>222</v>
      </c>
      <c r="B3" s="31">
        <v>1</v>
      </c>
      <c r="C3" s="31">
        <v>2</v>
      </c>
      <c r="D3" s="31">
        <v>3</v>
      </c>
      <c r="E3" s="31">
        <v>4</v>
      </c>
      <c r="F3" s="31">
        <v>5</v>
      </c>
      <c r="G3" s="31">
        <v>6</v>
      </c>
      <c r="H3" s="31">
        <v>7</v>
      </c>
      <c r="I3" s="29"/>
    </row>
    <row r="4" spans="1:9" ht="28.8" x14ac:dyDescent="0.3">
      <c r="A4" s="32" t="s">
        <v>187</v>
      </c>
      <c r="B4" s="33" t="s">
        <v>30</v>
      </c>
      <c r="C4" s="33" t="s">
        <v>223</v>
      </c>
      <c r="D4" s="33" t="s">
        <v>224</v>
      </c>
      <c r="E4" s="34" t="s">
        <v>225</v>
      </c>
      <c r="F4" s="35" t="s">
        <v>226</v>
      </c>
      <c r="G4" s="34" t="s">
        <v>227</v>
      </c>
      <c r="H4" s="34" t="s">
        <v>134</v>
      </c>
      <c r="I4" s="29"/>
    </row>
    <row r="5" spans="1:9" x14ac:dyDescent="0.3">
      <c r="A5" s="36" t="s">
        <v>228</v>
      </c>
      <c r="B5" s="78" t="s">
        <v>229</v>
      </c>
      <c r="C5" s="78"/>
      <c r="D5" s="78" t="s">
        <v>229</v>
      </c>
      <c r="E5" s="78" t="s">
        <v>229</v>
      </c>
      <c r="F5" s="78" t="s">
        <v>229</v>
      </c>
      <c r="G5" s="78"/>
      <c r="H5" s="78"/>
      <c r="I5" s="29"/>
    </row>
    <row r="6" spans="1:9" x14ac:dyDescent="0.3">
      <c r="A6" s="36" t="s">
        <v>230</v>
      </c>
      <c r="B6" s="78" t="s">
        <v>229</v>
      </c>
      <c r="C6" s="78"/>
      <c r="D6" s="78" t="s">
        <v>229</v>
      </c>
      <c r="E6" s="78" t="s">
        <v>229</v>
      </c>
      <c r="F6" s="78" t="s">
        <v>229</v>
      </c>
      <c r="G6" s="78"/>
      <c r="H6" s="78"/>
      <c r="I6" s="29"/>
    </row>
    <row r="7" spans="1:9" x14ac:dyDescent="0.3">
      <c r="A7" s="36" t="s">
        <v>231</v>
      </c>
      <c r="B7" s="78"/>
      <c r="C7" s="78"/>
      <c r="D7" s="78" t="s">
        <v>229</v>
      </c>
      <c r="E7" s="78" t="s">
        <v>229</v>
      </c>
      <c r="F7" s="78"/>
      <c r="G7" s="78"/>
      <c r="H7" s="78"/>
      <c r="I7" s="29"/>
    </row>
    <row r="8" spans="1:9" x14ac:dyDescent="0.3">
      <c r="A8" s="36" t="s">
        <v>232</v>
      </c>
      <c r="B8" s="78" t="s">
        <v>229</v>
      </c>
      <c r="C8" s="78"/>
      <c r="D8" s="78" t="s">
        <v>229</v>
      </c>
      <c r="E8" s="78" t="s">
        <v>229</v>
      </c>
      <c r="F8" s="78" t="s">
        <v>229</v>
      </c>
      <c r="G8" s="78"/>
      <c r="H8" s="78"/>
      <c r="I8" s="29"/>
    </row>
    <row r="9" spans="1:9" x14ac:dyDescent="0.3">
      <c r="A9" s="36" t="s">
        <v>233</v>
      </c>
      <c r="B9" s="78" t="s">
        <v>229</v>
      </c>
      <c r="C9" s="78"/>
      <c r="D9" s="79" t="s">
        <v>229</v>
      </c>
      <c r="E9" s="78" t="s">
        <v>229</v>
      </c>
      <c r="F9" s="78" t="s">
        <v>229</v>
      </c>
      <c r="G9" s="78"/>
      <c r="H9" s="78"/>
      <c r="I9" s="29"/>
    </row>
    <row r="10" spans="1:9" x14ac:dyDescent="0.3">
      <c r="A10" s="37" t="s">
        <v>23</v>
      </c>
      <c r="B10" s="79" t="s">
        <v>229</v>
      </c>
      <c r="C10" s="79"/>
      <c r="D10" s="79" t="s">
        <v>229</v>
      </c>
      <c r="E10" s="78"/>
      <c r="F10" s="78"/>
      <c r="G10" s="78"/>
      <c r="H10" s="78"/>
      <c r="I10" s="29"/>
    </row>
    <row r="11" spans="1:9" x14ac:dyDescent="0.3">
      <c r="A11" s="37" t="s">
        <v>234</v>
      </c>
      <c r="B11" s="79" t="s">
        <v>229</v>
      </c>
      <c r="C11" s="181"/>
      <c r="D11" s="180"/>
      <c r="E11" s="182"/>
      <c r="F11" s="79" t="s">
        <v>229</v>
      </c>
      <c r="G11" s="79"/>
      <c r="H11" s="79"/>
      <c r="I11" s="29"/>
    </row>
    <row r="12" spans="1:9" x14ac:dyDescent="0.3">
      <c r="A12" s="29"/>
      <c r="B12" s="29"/>
      <c r="C12" s="29"/>
      <c r="D12" s="29"/>
      <c r="E12" s="29"/>
      <c r="F12" s="29"/>
      <c r="G12" s="29"/>
      <c r="H12" s="29"/>
      <c r="I12" s="29"/>
    </row>
    <row r="13" spans="1:9" x14ac:dyDescent="0.3">
      <c r="A13" s="29"/>
      <c r="B13" s="29"/>
      <c r="C13" s="29"/>
      <c r="D13" s="29"/>
      <c r="E13" s="29"/>
      <c r="F13" s="29"/>
      <c r="G13" s="29"/>
      <c r="H13" s="29"/>
      <c r="I13" s="29"/>
    </row>
    <row r="14" spans="1:9" ht="57.6" x14ac:dyDescent="0.3">
      <c r="A14" s="38" t="s">
        <v>306</v>
      </c>
      <c r="B14" s="33" t="s">
        <v>235</v>
      </c>
      <c r="D14" s="38" t="s">
        <v>305</v>
      </c>
      <c r="E14" s="33" t="s">
        <v>235</v>
      </c>
    </row>
    <row r="15" spans="1:9" x14ac:dyDescent="0.3">
      <c r="A15" s="36" t="s">
        <v>228</v>
      </c>
      <c r="B15" s="78">
        <v>1418160</v>
      </c>
      <c r="D15" s="36" t="s">
        <v>228</v>
      </c>
      <c r="E15" s="94">
        <v>1710528</v>
      </c>
    </row>
    <row r="16" spans="1:9" x14ac:dyDescent="0.3">
      <c r="A16" s="36" t="s">
        <v>230</v>
      </c>
      <c r="B16" s="78">
        <v>561084</v>
      </c>
      <c r="D16" s="36" t="s">
        <v>230</v>
      </c>
      <c r="E16" s="94">
        <v>606336</v>
      </c>
    </row>
    <row r="17" spans="1:9" x14ac:dyDescent="0.3">
      <c r="A17" s="36" t="s">
        <v>231</v>
      </c>
      <c r="B17" s="78">
        <v>0</v>
      </c>
      <c r="D17" s="36" t="s">
        <v>231</v>
      </c>
      <c r="E17" s="94">
        <v>0</v>
      </c>
    </row>
    <row r="18" spans="1:9" x14ac:dyDescent="0.3">
      <c r="A18" s="36" t="s">
        <v>232</v>
      </c>
      <c r="B18" s="78">
        <v>444120</v>
      </c>
      <c r="D18" s="36" t="s">
        <v>232</v>
      </c>
      <c r="E18" s="94">
        <v>380052</v>
      </c>
    </row>
    <row r="19" spans="1:9" x14ac:dyDescent="0.3">
      <c r="A19" s="37" t="s">
        <v>233</v>
      </c>
      <c r="B19" s="79">
        <v>2031024</v>
      </c>
      <c r="D19" s="37" t="s">
        <v>233</v>
      </c>
      <c r="E19" s="95">
        <v>2098488</v>
      </c>
    </row>
    <row r="20" spans="1:9" x14ac:dyDescent="0.3">
      <c r="A20" s="37" t="s">
        <v>234</v>
      </c>
      <c r="B20" s="79">
        <v>169212</v>
      </c>
      <c r="D20" s="37" t="s">
        <v>234</v>
      </c>
      <c r="E20" s="95">
        <v>141252</v>
      </c>
    </row>
    <row r="21" spans="1:9" x14ac:dyDescent="0.3">
      <c r="A21" s="29"/>
      <c r="B21" s="29"/>
      <c r="D21" s="29"/>
      <c r="E21" s="29"/>
    </row>
    <row r="22" spans="1:9" x14ac:dyDescent="0.3">
      <c r="A22" s="29"/>
      <c r="B22" s="29"/>
      <c r="C22" s="29"/>
      <c r="D22" s="29"/>
      <c r="E22" s="39"/>
      <c r="F22" s="29"/>
      <c r="G22" s="29"/>
      <c r="H22" s="29"/>
      <c r="I22" s="29"/>
    </row>
    <row r="23" spans="1:9" x14ac:dyDescent="0.3">
      <c r="A23" s="59" t="s">
        <v>219</v>
      </c>
      <c r="B23" s="58" t="s">
        <v>236</v>
      </c>
      <c r="C23" s="29"/>
      <c r="F23" s="29"/>
      <c r="G23" s="29"/>
      <c r="H23" s="29"/>
      <c r="I23" s="29"/>
    </row>
    <row r="24" spans="1:9" ht="57.6" x14ac:dyDescent="0.3">
      <c r="A24" s="114" t="s">
        <v>300</v>
      </c>
      <c r="B24" s="117" t="s">
        <v>7</v>
      </c>
      <c r="C24" s="29"/>
      <c r="D24" s="29"/>
      <c r="E24" s="29"/>
      <c r="F24" s="29"/>
      <c r="G24" s="29"/>
      <c r="H24" s="29"/>
      <c r="I24" s="29"/>
    </row>
    <row r="25" spans="1:9" ht="28.8" x14ac:dyDescent="0.3">
      <c r="A25" s="114" t="s">
        <v>148</v>
      </c>
      <c r="B25" s="117" t="s">
        <v>7</v>
      </c>
      <c r="C25" s="29"/>
      <c r="D25" s="29"/>
      <c r="E25" s="29"/>
      <c r="F25" s="29"/>
      <c r="G25" s="29"/>
      <c r="H25" s="29"/>
      <c r="I25" s="29"/>
    </row>
    <row r="26" spans="1:9" ht="43.2" x14ac:dyDescent="0.3">
      <c r="A26" s="114" t="s">
        <v>149</v>
      </c>
      <c r="B26" s="117" t="s">
        <v>7</v>
      </c>
      <c r="C26" s="29"/>
      <c r="E26" s="29"/>
      <c r="F26" s="29"/>
      <c r="G26" s="29"/>
      <c r="H26" s="29"/>
      <c r="I26" s="29"/>
    </row>
    <row r="27" spans="1:9" ht="43.2" x14ac:dyDescent="0.3">
      <c r="A27" s="114" t="s">
        <v>150</v>
      </c>
      <c r="B27" s="117" t="s">
        <v>7</v>
      </c>
      <c r="C27" s="29"/>
      <c r="F27" s="29"/>
      <c r="G27" s="29"/>
      <c r="H27" s="29"/>
      <c r="I27" s="29"/>
    </row>
    <row r="28" spans="1:9" ht="43.2" x14ac:dyDescent="0.3">
      <c r="A28" s="114" t="s">
        <v>151</v>
      </c>
      <c r="B28" s="117" t="s">
        <v>7</v>
      </c>
    </row>
    <row r="29" spans="1:9" ht="28.8" x14ac:dyDescent="0.3">
      <c r="A29" s="114" t="s">
        <v>152</v>
      </c>
      <c r="B29" s="117" t="s">
        <v>7</v>
      </c>
    </row>
    <row r="30" spans="1:9" ht="43.2" x14ac:dyDescent="0.3">
      <c r="A30" s="114" t="s">
        <v>153</v>
      </c>
      <c r="B30" s="117" t="s">
        <v>7</v>
      </c>
    </row>
    <row r="31" spans="1:9" ht="43.2" x14ac:dyDescent="0.3">
      <c r="A31" s="114" t="s">
        <v>154</v>
      </c>
      <c r="B31" s="117" t="s">
        <v>7</v>
      </c>
    </row>
    <row r="32" spans="1:9" ht="43.2" x14ac:dyDescent="0.3">
      <c r="A32" s="114" t="s">
        <v>155</v>
      </c>
      <c r="B32" s="117" t="s">
        <v>7</v>
      </c>
    </row>
    <row r="33" spans="1:2" ht="28.8" x14ac:dyDescent="0.3">
      <c r="A33" s="114" t="s">
        <v>156</v>
      </c>
      <c r="B33" s="117" t="s">
        <v>7</v>
      </c>
    </row>
    <row r="34" spans="1:2" ht="43.2" x14ac:dyDescent="0.3">
      <c r="A34" s="115" t="s">
        <v>221</v>
      </c>
      <c r="B34" s="117" t="s">
        <v>237</v>
      </c>
    </row>
    <row r="35" spans="1:2" ht="43.2" x14ac:dyDescent="0.3">
      <c r="A35" s="114" t="s">
        <v>158</v>
      </c>
      <c r="B35" s="117" t="s">
        <v>237</v>
      </c>
    </row>
    <row r="36" spans="1:2" ht="28.8" x14ac:dyDescent="0.3">
      <c r="A36" s="114" t="s">
        <v>159</v>
      </c>
      <c r="B36" s="117"/>
    </row>
    <row r="37" spans="1:2" ht="28.8" x14ac:dyDescent="0.3">
      <c r="A37" s="114" t="s">
        <v>259</v>
      </c>
      <c r="B37" s="117" t="s">
        <v>5</v>
      </c>
    </row>
    <row r="38" spans="1:2" ht="28.8" x14ac:dyDescent="0.3">
      <c r="A38" s="114" t="s">
        <v>260</v>
      </c>
      <c r="B38" s="117" t="s">
        <v>7</v>
      </c>
    </row>
    <row r="39" spans="1:2" ht="86.4" x14ac:dyDescent="0.3">
      <c r="A39" s="115" t="s">
        <v>261</v>
      </c>
      <c r="B39" s="117"/>
    </row>
    <row r="40" spans="1:2" ht="28.8" x14ac:dyDescent="0.3">
      <c r="A40" s="114" t="s">
        <v>160</v>
      </c>
      <c r="B40" s="80" t="s">
        <v>7</v>
      </c>
    </row>
    <row r="41" spans="1:2" ht="28.8" x14ac:dyDescent="0.3">
      <c r="A41" s="114" t="s">
        <v>262</v>
      </c>
      <c r="B41" s="80"/>
    </row>
    <row r="42" spans="1:2" ht="57.6" x14ac:dyDescent="0.3">
      <c r="A42" s="114" t="s">
        <v>263</v>
      </c>
      <c r="B42" s="80"/>
    </row>
    <row r="43" spans="1:2" ht="43.2" x14ac:dyDescent="0.3">
      <c r="A43" s="116" t="s">
        <v>161</v>
      </c>
      <c r="B43" s="80" t="s">
        <v>7</v>
      </c>
    </row>
    <row r="44" spans="1:2" ht="57.6" x14ac:dyDescent="0.3">
      <c r="A44" s="116" t="s">
        <v>162</v>
      </c>
      <c r="B44" s="80" t="s">
        <v>7</v>
      </c>
    </row>
    <row r="45" spans="1:2" ht="28.8" x14ac:dyDescent="0.3">
      <c r="A45" s="116" t="s">
        <v>163</v>
      </c>
      <c r="B45" s="80" t="s">
        <v>7</v>
      </c>
    </row>
    <row r="46" spans="1:2" ht="43.2" x14ac:dyDescent="0.3">
      <c r="A46" s="116" t="s">
        <v>164</v>
      </c>
      <c r="B46" s="80" t="s">
        <v>7</v>
      </c>
    </row>
    <row r="47" spans="1:2" ht="72" x14ac:dyDescent="0.3">
      <c r="A47" s="116" t="s">
        <v>165</v>
      </c>
      <c r="B47" s="81" t="s">
        <v>7</v>
      </c>
    </row>
    <row r="48" spans="1:2" ht="86.4" x14ac:dyDescent="0.3">
      <c r="A48" s="116" t="s">
        <v>340</v>
      </c>
      <c r="B48" s="81" t="s">
        <v>301</v>
      </c>
    </row>
    <row r="49" spans="1:2" ht="43.2" x14ac:dyDescent="0.3">
      <c r="A49" s="114" t="s">
        <v>166</v>
      </c>
      <c r="B49" s="81"/>
    </row>
  </sheetData>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BD31-47B4-49E7-BCF5-08D2BB256923}">
  <sheetPr>
    <tabColor theme="0" tint="-0.249977111117893"/>
  </sheetPr>
  <dimension ref="A1:F47"/>
  <sheetViews>
    <sheetView zoomScaleNormal="100" workbookViewId="0">
      <selection activeCell="B14" sqref="B14"/>
    </sheetView>
  </sheetViews>
  <sheetFormatPr defaultRowHeight="14.4" x14ac:dyDescent="0.3"/>
  <cols>
    <col min="1" max="1" width="46.109375" style="15" customWidth="1"/>
    <col min="2" max="2" width="64.88671875" customWidth="1"/>
    <col min="5" max="5" width="13.109375" customWidth="1"/>
  </cols>
  <sheetData>
    <row r="1" spans="1:6" x14ac:dyDescent="0.3">
      <c r="A1" s="210" t="s">
        <v>12</v>
      </c>
      <c r="B1" s="210"/>
      <c r="C1" s="14"/>
      <c r="D1" s="14"/>
      <c r="E1" s="14"/>
    </row>
    <row r="2" spans="1:6" x14ac:dyDescent="0.3">
      <c r="A2" s="210"/>
      <c r="B2" s="210"/>
      <c r="C2" s="14"/>
      <c r="D2" s="14"/>
      <c r="E2" s="14"/>
    </row>
    <row r="3" spans="1:6" x14ac:dyDescent="0.3">
      <c r="A3"/>
    </row>
    <row r="4" spans="1:6" x14ac:dyDescent="0.3">
      <c r="A4" s="16" t="s">
        <v>13</v>
      </c>
      <c r="B4" s="16" t="s">
        <v>14</v>
      </c>
      <c r="C4" s="1"/>
      <c r="D4" s="1"/>
      <c r="E4" s="1"/>
    </row>
    <row r="5" spans="1:6" x14ac:dyDescent="0.3">
      <c r="A5" s="102">
        <v>44730</v>
      </c>
      <c r="B5" s="103" t="s">
        <v>15</v>
      </c>
    </row>
    <row r="6" spans="1:6" x14ac:dyDescent="0.3">
      <c r="A6" s="102">
        <v>45153</v>
      </c>
      <c r="B6" s="103" t="s">
        <v>16</v>
      </c>
    </row>
    <row r="7" spans="1:6" x14ac:dyDescent="0.3">
      <c r="A7" s="102">
        <v>45153</v>
      </c>
      <c r="B7" s="103" t="s">
        <v>17</v>
      </c>
    </row>
    <row r="8" spans="1:6" x14ac:dyDescent="0.3">
      <c r="A8" s="102">
        <v>45519</v>
      </c>
      <c r="B8" s="103" t="s">
        <v>18</v>
      </c>
    </row>
    <row r="9" spans="1:6" x14ac:dyDescent="0.3">
      <c r="A9" s="102">
        <v>45884</v>
      </c>
      <c r="B9" s="103" t="s">
        <v>19</v>
      </c>
    </row>
    <row r="10" spans="1:6" x14ac:dyDescent="0.3">
      <c r="A10" s="102">
        <v>46249</v>
      </c>
      <c r="B10" s="103" t="s">
        <v>20</v>
      </c>
    </row>
    <row r="11" spans="1:6" x14ac:dyDescent="0.3">
      <c r="A11"/>
    </row>
    <row r="12" spans="1:6" x14ac:dyDescent="0.3">
      <c r="A12" s="17" t="s">
        <v>21</v>
      </c>
      <c r="B12" s="17" t="s">
        <v>22</v>
      </c>
      <c r="C12" s="10"/>
      <c r="D12" s="1"/>
      <c r="E12" s="1"/>
    </row>
    <row r="13" spans="1:6" x14ac:dyDescent="0.3">
      <c r="A13" s="10">
        <v>207</v>
      </c>
      <c r="B13" s="18" t="s">
        <v>23</v>
      </c>
      <c r="C13" s="10"/>
    </row>
    <row r="15" spans="1:6" x14ac:dyDescent="0.3">
      <c r="A15" s="19" t="s">
        <v>24</v>
      </c>
      <c r="B15" s="17" t="s">
        <v>25</v>
      </c>
      <c r="C15" s="1"/>
      <c r="D15" s="1"/>
      <c r="E15" s="1"/>
      <c r="F15" s="1"/>
    </row>
    <row r="16" spans="1:6" x14ac:dyDescent="0.3">
      <c r="A16" s="15">
        <v>1</v>
      </c>
      <c r="B16" s="11" t="s">
        <v>26</v>
      </c>
    </row>
    <row r="17" spans="1:5" x14ac:dyDescent="0.3">
      <c r="A17" s="15">
        <v>3</v>
      </c>
      <c r="B17" s="11" t="s">
        <v>27</v>
      </c>
    </row>
    <row r="19" spans="1:5" x14ac:dyDescent="0.3">
      <c r="A19" s="19" t="s">
        <v>28</v>
      </c>
      <c r="B19" s="17" t="s">
        <v>25</v>
      </c>
      <c r="C19" s="1"/>
      <c r="D19" s="1"/>
      <c r="E19" s="1"/>
    </row>
    <row r="20" spans="1:5" x14ac:dyDescent="0.3">
      <c r="A20" s="15">
        <v>904</v>
      </c>
      <c r="B20" s="10" t="s">
        <v>29</v>
      </c>
    </row>
    <row r="21" spans="1:5" x14ac:dyDescent="0.3">
      <c r="A21" s="15">
        <v>906</v>
      </c>
      <c r="B21" s="10" t="s">
        <v>30</v>
      </c>
    </row>
    <row r="23" spans="1:5" x14ac:dyDescent="0.3">
      <c r="A23" s="104" t="s">
        <v>31</v>
      </c>
      <c r="B23" s="105" t="s">
        <v>25</v>
      </c>
    </row>
    <row r="24" spans="1:5" x14ac:dyDescent="0.3">
      <c r="A24" s="15">
        <v>1</v>
      </c>
      <c r="B24" s="15" t="s">
        <v>32</v>
      </c>
    </row>
    <row r="25" spans="1:5" x14ac:dyDescent="0.3">
      <c r="A25" s="15">
        <v>2</v>
      </c>
      <c r="B25" s="15" t="s">
        <v>33</v>
      </c>
    </row>
    <row r="26" spans="1:5" x14ac:dyDescent="0.3">
      <c r="A26" s="15">
        <v>3</v>
      </c>
      <c r="B26" s="15" t="s">
        <v>34</v>
      </c>
    </row>
    <row r="28" spans="1:5" x14ac:dyDescent="0.3">
      <c r="A28" s="104" t="s">
        <v>35</v>
      </c>
      <c r="B28" s="105" t="s">
        <v>25</v>
      </c>
    </row>
    <row r="29" spans="1:5" x14ac:dyDescent="0.3">
      <c r="A29" s="15">
        <v>1</v>
      </c>
      <c r="B29" s="15" t="s">
        <v>36</v>
      </c>
    </row>
    <row r="30" spans="1:5" x14ac:dyDescent="0.3">
      <c r="A30" s="15">
        <v>2</v>
      </c>
      <c r="B30" s="15" t="s">
        <v>37</v>
      </c>
    </row>
    <row r="31" spans="1:5" x14ac:dyDescent="0.3">
      <c r="A31" s="15">
        <v>3</v>
      </c>
      <c r="B31" s="15" t="s">
        <v>38</v>
      </c>
    </row>
    <row r="32" spans="1:5" x14ac:dyDescent="0.3">
      <c r="A32" s="15">
        <v>4</v>
      </c>
      <c r="B32" s="15" t="s">
        <v>39</v>
      </c>
    </row>
    <row r="33" spans="1:2" x14ac:dyDescent="0.3">
      <c r="A33" s="15">
        <v>5</v>
      </c>
      <c r="B33" s="15" t="s">
        <v>40</v>
      </c>
    </row>
    <row r="34" spans="1:2" x14ac:dyDescent="0.3">
      <c r="A34" s="15">
        <v>6</v>
      </c>
      <c r="B34" s="15" t="s">
        <v>41</v>
      </c>
    </row>
    <row r="35" spans="1:2" x14ac:dyDescent="0.3">
      <c r="A35" s="15">
        <v>7</v>
      </c>
      <c r="B35" s="15" t="s">
        <v>42</v>
      </c>
    </row>
    <row r="36" spans="1:2" x14ac:dyDescent="0.3">
      <c r="A36" s="15">
        <v>8</v>
      </c>
      <c r="B36" s="15" t="s">
        <v>43</v>
      </c>
    </row>
    <row r="38" spans="1:2" x14ac:dyDescent="0.3">
      <c r="A38" s="106" t="s">
        <v>44</v>
      </c>
      <c r="B38" s="105" t="s">
        <v>25</v>
      </c>
    </row>
    <row r="39" spans="1:2" x14ac:dyDescent="0.3">
      <c r="A39" s="107">
        <v>1</v>
      </c>
      <c r="B39" s="107" t="s">
        <v>45</v>
      </c>
    </row>
    <row r="40" spans="1:2" x14ac:dyDescent="0.3">
      <c r="A40" s="107">
        <v>2</v>
      </c>
      <c r="B40" s="107" t="s">
        <v>46</v>
      </c>
    </row>
    <row r="42" spans="1:2" x14ac:dyDescent="0.3">
      <c r="A42"/>
    </row>
    <row r="43" spans="1:2" x14ac:dyDescent="0.3">
      <c r="A43"/>
    </row>
    <row r="44" spans="1:2" x14ac:dyDescent="0.3">
      <c r="A44"/>
    </row>
    <row r="45" spans="1:2" x14ac:dyDescent="0.3">
      <c r="A45"/>
    </row>
    <row r="46" spans="1:2" x14ac:dyDescent="0.3">
      <c r="A46"/>
    </row>
    <row r="47" spans="1:2" x14ac:dyDescent="0.3">
      <c r="A47"/>
    </row>
  </sheetData>
  <sheetProtection algorithmName="SHA-512" hashValue="ewRnIso0imLE36iqEWbpFT56ZQE+o8Eb5+G3IbSHKDINiNz979Kzq/SNnTnfNrIMIS+fEH54KDUcl+o7CFrDtw==" saltValue="mJuIgVe2kuaZKYUZRkJRpQ==" spinCount="100000" sheet="1" objects="1" scenarios="1"/>
  <mergeCells count="1">
    <mergeCell ref="A1:B2"/>
  </mergeCells>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3D03-231A-4E1D-BD76-642205510FCE}">
  <sheetPr>
    <tabColor theme="0" tint="-0.249977111117893"/>
  </sheetPr>
  <dimension ref="A1:B58"/>
  <sheetViews>
    <sheetView zoomScaleNormal="100" workbookViewId="0"/>
  </sheetViews>
  <sheetFormatPr defaultRowHeight="14.4" x14ac:dyDescent="0.3"/>
  <cols>
    <col min="1" max="1" width="44.33203125" style="27" customWidth="1"/>
    <col min="2" max="2" width="101" style="26" customWidth="1"/>
  </cols>
  <sheetData>
    <row r="1" spans="1:2" x14ac:dyDescent="0.3">
      <c r="A1" s="25" t="s">
        <v>47</v>
      </c>
    </row>
    <row r="2" spans="1:2" x14ac:dyDescent="0.3">
      <c r="A2" s="40" t="s">
        <v>314</v>
      </c>
    </row>
    <row r="3" spans="1:2" x14ac:dyDescent="0.3">
      <c r="A3" s="28"/>
    </row>
    <row r="4" spans="1:2" x14ac:dyDescent="0.3">
      <c r="A4" s="25" t="s">
        <v>48</v>
      </c>
    </row>
    <row r="5" spans="1:2" x14ac:dyDescent="0.3">
      <c r="A5" s="85" t="s">
        <v>49</v>
      </c>
      <c r="B5" s="86" t="s">
        <v>25</v>
      </c>
    </row>
    <row r="6" spans="1:2" ht="57.6" x14ac:dyDescent="0.3">
      <c r="A6" s="83" t="s">
        <v>50</v>
      </c>
      <c r="B6" s="82" t="s">
        <v>331</v>
      </c>
    </row>
    <row r="7" spans="1:2" ht="374.4" x14ac:dyDescent="0.3">
      <c r="A7" s="83" t="s">
        <v>24</v>
      </c>
      <c r="B7" s="84" t="s">
        <v>339</v>
      </c>
    </row>
    <row r="8" spans="1:2" ht="72" x14ac:dyDescent="0.3">
      <c r="A8" s="83" t="s">
        <v>51</v>
      </c>
      <c r="B8" s="84" t="s">
        <v>315</v>
      </c>
    </row>
    <row r="9" spans="1:2" ht="100.8" x14ac:dyDescent="0.3">
      <c r="A9" s="83" t="s">
        <v>52</v>
      </c>
      <c r="B9" s="84" t="s">
        <v>316</v>
      </c>
    </row>
    <row r="10" spans="1:2" ht="57.6" x14ac:dyDescent="0.3">
      <c r="A10" s="83" t="s">
        <v>53</v>
      </c>
      <c r="B10" s="84" t="s">
        <v>54</v>
      </c>
    </row>
    <row r="11" spans="1:2" ht="230.4" x14ac:dyDescent="0.3">
      <c r="A11" s="83" t="s">
        <v>55</v>
      </c>
      <c r="B11" s="84" t="s">
        <v>312</v>
      </c>
    </row>
    <row r="12" spans="1:2" ht="295.5" customHeight="1" x14ac:dyDescent="0.3">
      <c r="A12" s="84" t="s">
        <v>56</v>
      </c>
      <c r="B12" s="84" t="s">
        <v>313</v>
      </c>
    </row>
    <row r="13" spans="1:2" ht="86.4" x14ac:dyDescent="0.3">
      <c r="A13" s="83" t="s">
        <v>57</v>
      </c>
      <c r="B13" s="84" t="s">
        <v>317</v>
      </c>
    </row>
    <row r="14" spans="1:2" ht="86.4" x14ac:dyDescent="0.3">
      <c r="A14" s="83" t="s">
        <v>58</v>
      </c>
      <c r="B14" s="84" t="s">
        <v>318</v>
      </c>
    </row>
    <row r="15" spans="1:2" ht="115.2" x14ac:dyDescent="0.3">
      <c r="A15" s="83" t="s">
        <v>59</v>
      </c>
      <c r="B15" s="84" t="s">
        <v>319</v>
      </c>
    </row>
    <row r="16" spans="1:2" ht="129.6" x14ac:dyDescent="0.3">
      <c r="A16" s="84" t="s">
        <v>60</v>
      </c>
      <c r="B16" s="84" t="s">
        <v>320</v>
      </c>
    </row>
    <row r="17" spans="1:2" ht="144" x14ac:dyDescent="0.3">
      <c r="A17" s="84" t="s">
        <v>61</v>
      </c>
      <c r="B17" s="84" t="s">
        <v>321</v>
      </c>
    </row>
    <row r="18" spans="1:2" ht="86.4" x14ac:dyDescent="0.3">
      <c r="A18" s="84" t="s">
        <v>62</v>
      </c>
      <c r="B18" s="84" t="s">
        <v>307</v>
      </c>
    </row>
    <row r="19" spans="1:2" ht="100.8" x14ac:dyDescent="0.3">
      <c r="A19" s="84" t="s">
        <v>302</v>
      </c>
      <c r="B19" s="84" t="s">
        <v>308</v>
      </c>
    </row>
    <row r="20" spans="1:2" ht="57.6" x14ac:dyDescent="0.3">
      <c r="A20" s="84" t="s">
        <v>303</v>
      </c>
      <c r="B20" s="84" t="s">
        <v>309</v>
      </c>
    </row>
    <row r="21" spans="1:2" ht="72" x14ac:dyDescent="0.3">
      <c r="A21" s="84" t="s">
        <v>304</v>
      </c>
      <c r="B21" s="84" t="s">
        <v>310</v>
      </c>
    </row>
    <row r="22" spans="1:2" ht="72" x14ac:dyDescent="0.3">
      <c r="A22" s="84" t="s">
        <v>63</v>
      </c>
      <c r="B22" s="84" t="s">
        <v>311</v>
      </c>
    </row>
    <row r="23" spans="1:2" ht="57.6" x14ac:dyDescent="0.3">
      <c r="A23" s="84" t="s">
        <v>64</v>
      </c>
      <c r="B23" s="84" t="s">
        <v>322</v>
      </c>
    </row>
    <row r="24" spans="1:2" ht="158.4" x14ac:dyDescent="0.3">
      <c r="A24" s="84" t="s">
        <v>65</v>
      </c>
      <c r="B24" s="84" t="s">
        <v>323</v>
      </c>
    </row>
    <row r="25" spans="1:2" ht="57.6" x14ac:dyDescent="0.3">
      <c r="A25" s="84" t="s">
        <v>66</v>
      </c>
      <c r="B25" s="84" t="s">
        <v>324</v>
      </c>
    </row>
    <row r="26" spans="1:2" x14ac:dyDescent="0.3">
      <c r="A26" s="26"/>
    </row>
    <row r="28" spans="1:2" x14ac:dyDescent="0.3">
      <c r="A28" s="25" t="s">
        <v>67</v>
      </c>
    </row>
    <row r="29" spans="1:2" x14ac:dyDescent="0.3">
      <c r="A29" s="85" t="s">
        <v>49</v>
      </c>
      <c r="B29" s="86" t="s">
        <v>25</v>
      </c>
    </row>
    <row r="30" spans="1:2" ht="57.6" x14ac:dyDescent="0.3">
      <c r="A30" s="83" t="s">
        <v>24</v>
      </c>
      <c r="B30" s="84" t="s">
        <v>325</v>
      </c>
    </row>
    <row r="31" spans="1:2" ht="72" x14ac:dyDescent="0.3">
      <c r="A31" s="83" t="s">
        <v>68</v>
      </c>
      <c r="B31" s="84" t="s">
        <v>326</v>
      </c>
    </row>
    <row r="32" spans="1:2" ht="360" x14ac:dyDescent="0.3">
      <c r="A32" s="83" t="s">
        <v>69</v>
      </c>
      <c r="B32" s="84" t="s">
        <v>327</v>
      </c>
    </row>
    <row r="34" spans="1:2" x14ac:dyDescent="0.3">
      <c r="A34" s="25" t="s">
        <v>70</v>
      </c>
    </row>
    <row r="35" spans="1:2" x14ac:dyDescent="0.3">
      <c r="A35" s="85" t="s">
        <v>49</v>
      </c>
      <c r="B35" s="86" t="s">
        <v>25</v>
      </c>
    </row>
    <row r="36" spans="1:2" ht="72" x14ac:dyDescent="0.3">
      <c r="A36" s="83" t="s">
        <v>28</v>
      </c>
      <c r="B36" s="84" t="s">
        <v>328</v>
      </c>
    </row>
    <row r="37" spans="1:2" ht="57.6" x14ac:dyDescent="0.3">
      <c r="A37" s="83" t="s">
        <v>51</v>
      </c>
      <c r="B37" s="84" t="s">
        <v>329</v>
      </c>
    </row>
    <row r="38" spans="1:2" ht="72" x14ac:dyDescent="0.3">
      <c r="A38" s="83" t="s">
        <v>71</v>
      </c>
      <c r="B38" s="84" t="s">
        <v>330</v>
      </c>
    </row>
    <row r="40" spans="1:2" x14ac:dyDescent="0.3">
      <c r="A40" s="25" t="s">
        <v>72</v>
      </c>
    </row>
    <row r="41" spans="1:2" x14ac:dyDescent="0.3">
      <c r="A41" s="85" t="s">
        <v>49</v>
      </c>
      <c r="B41" s="86" t="s">
        <v>25</v>
      </c>
    </row>
    <row r="42" spans="1:2" ht="57.6" x14ac:dyDescent="0.3">
      <c r="A42" s="83" t="s">
        <v>50</v>
      </c>
      <c r="B42" s="82" t="s">
        <v>331</v>
      </c>
    </row>
    <row r="43" spans="1:2" ht="43.2" x14ac:dyDescent="0.3">
      <c r="A43" s="83" t="s">
        <v>31</v>
      </c>
      <c r="B43" s="84" t="s">
        <v>332</v>
      </c>
    </row>
    <row r="44" spans="1:2" ht="57.6" x14ac:dyDescent="0.3">
      <c r="A44" s="83" t="s">
        <v>51</v>
      </c>
      <c r="B44" s="84" t="s">
        <v>329</v>
      </c>
    </row>
    <row r="45" spans="1:2" ht="201.6" x14ac:dyDescent="0.3">
      <c r="A45" s="83" t="s">
        <v>73</v>
      </c>
      <c r="B45" s="84" t="s">
        <v>333</v>
      </c>
    </row>
    <row r="46" spans="1:2" ht="187.2" x14ac:dyDescent="0.3">
      <c r="A46" s="83" t="s">
        <v>74</v>
      </c>
      <c r="B46" s="84" t="s">
        <v>75</v>
      </c>
    </row>
    <row r="48" spans="1:2" x14ac:dyDescent="0.3">
      <c r="A48" s="25" t="s">
        <v>76</v>
      </c>
    </row>
    <row r="49" spans="1:2" x14ac:dyDescent="0.3">
      <c r="A49" s="85" t="s">
        <v>49</v>
      </c>
      <c r="B49" s="86" t="s">
        <v>25</v>
      </c>
    </row>
    <row r="50" spans="1:2" ht="57.6" x14ac:dyDescent="0.3">
      <c r="A50" s="84" t="s">
        <v>35</v>
      </c>
      <c r="B50" s="82" t="s">
        <v>334</v>
      </c>
    </row>
    <row r="51" spans="1:2" ht="28.8" x14ac:dyDescent="0.3">
      <c r="A51" s="84" t="s">
        <v>77</v>
      </c>
      <c r="B51" s="82" t="s">
        <v>335</v>
      </c>
    </row>
    <row r="52" spans="1:2" ht="72" x14ac:dyDescent="0.3">
      <c r="A52" s="84" t="s">
        <v>78</v>
      </c>
      <c r="B52" s="82" t="s">
        <v>336</v>
      </c>
    </row>
    <row r="53" spans="1:2" ht="57.6" x14ac:dyDescent="0.3">
      <c r="A53" s="84" t="s">
        <v>79</v>
      </c>
      <c r="B53" s="82" t="s">
        <v>337</v>
      </c>
    </row>
    <row r="54" spans="1:2" ht="57.6" x14ac:dyDescent="0.3">
      <c r="A54" s="84" t="s">
        <v>80</v>
      </c>
      <c r="B54" s="82" t="s">
        <v>338</v>
      </c>
    </row>
    <row r="55" spans="1:2" ht="201.6" x14ac:dyDescent="0.3">
      <c r="A55" s="84" t="s">
        <v>81</v>
      </c>
      <c r="B55" s="84" t="s">
        <v>333</v>
      </c>
    </row>
    <row r="56" spans="1:2" ht="28.8" x14ac:dyDescent="0.3">
      <c r="A56" s="84" t="s">
        <v>82</v>
      </c>
      <c r="B56" s="82" t="s">
        <v>83</v>
      </c>
    </row>
    <row r="57" spans="1:2" x14ac:dyDescent="0.3">
      <c r="A57" s="26"/>
    </row>
    <row r="58" spans="1:2" x14ac:dyDescent="0.3">
      <c r="A58" s="26"/>
    </row>
  </sheetData>
  <sheetProtection algorithmName="SHA-512" hashValue="04Y5UlILn1k34yhJk4SqZFMhUqtgkLGHZYk0pdLCTniKioWcpdkaDpi8rDguSJ/9On377PXorCCSZWLVnONshg==" saltValue="90/eKbIfHQnmmvksvjjL1g==" spinCount="100000" sheet="1" objects="1" scenarios="1"/>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ECF5-31FF-434F-948F-823F9B0DCD5B}">
  <sheetPr>
    <tabColor theme="4"/>
  </sheetPr>
  <dimension ref="A1:F20"/>
  <sheetViews>
    <sheetView workbookViewId="0"/>
  </sheetViews>
  <sheetFormatPr defaultColWidth="9.109375" defaultRowHeight="14.4" x14ac:dyDescent="0.3"/>
  <cols>
    <col min="1" max="6" width="20.6640625" customWidth="1"/>
  </cols>
  <sheetData>
    <row r="1" spans="1:6" x14ac:dyDescent="0.3">
      <c r="A1" s="1" t="s">
        <v>84</v>
      </c>
    </row>
    <row r="2" spans="1:6" x14ac:dyDescent="0.3">
      <c r="A2" s="1" t="s">
        <v>238</v>
      </c>
    </row>
    <row r="4" spans="1:6" x14ac:dyDescent="0.3">
      <c r="A4" t="s">
        <v>85</v>
      </c>
      <c r="C4" s="211" t="s">
        <v>275</v>
      </c>
      <c r="D4" s="212"/>
      <c r="E4" s="212"/>
    </row>
    <row r="5" spans="1:6" x14ac:dyDescent="0.3">
      <c r="C5" s="212"/>
      <c r="D5" s="212"/>
      <c r="E5" s="212"/>
    </row>
    <row r="9" spans="1:6" x14ac:dyDescent="0.3">
      <c r="A9" s="2" t="s">
        <v>86</v>
      </c>
      <c r="B9" s="2" t="s">
        <v>87</v>
      </c>
      <c r="C9" s="2" t="s">
        <v>88</v>
      </c>
      <c r="D9" s="2" t="s">
        <v>89</v>
      </c>
    </row>
    <row r="10" spans="1:6" s="72" customFormat="1" x14ac:dyDescent="0.3">
      <c r="A10" s="70" t="s">
        <v>21</v>
      </c>
      <c r="B10" s="74" t="s">
        <v>90</v>
      </c>
      <c r="C10" s="74" t="s">
        <v>91</v>
      </c>
      <c r="D10" s="74" t="s">
        <v>92</v>
      </c>
    </row>
    <row r="11" spans="1:6" x14ac:dyDescent="0.3">
      <c r="A11" s="87">
        <v>207</v>
      </c>
      <c r="B11" s="88"/>
      <c r="C11" s="88"/>
      <c r="D11" s="89"/>
    </row>
    <row r="12" spans="1:6" x14ac:dyDescent="0.3">
      <c r="A12" s="9"/>
      <c r="B12" s="9"/>
      <c r="C12" s="9"/>
      <c r="D12" s="9"/>
      <c r="E12" s="9"/>
      <c r="F12" s="9"/>
    </row>
    <row r="20" spans="1:4" x14ac:dyDescent="0.3">
      <c r="A20" s="10"/>
      <c r="B20" s="75"/>
      <c r="C20" s="76"/>
      <c r="D20" s="77"/>
    </row>
  </sheetData>
  <sheetProtection algorithmName="SHA-512" hashValue="xtj7Gznwr54O5FOJLpVCwLOq8AVusKmDT8/M713xr33VWeB2P5fe3zVIY4ykypm5WXWJQ2kc0+D/uIV+P4mRjw==" saltValue="+uYx2RrAs/oSkGJBqgHR3g==" spinCount="100000" sheet="1" objects="1" scenarios="1"/>
  <protectedRanges>
    <protectedRange sqref="A11:D11" name="Range1"/>
  </protectedRanges>
  <mergeCells count="1">
    <mergeCell ref="C4:E5"/>
  </mergeCells>
  <dataValidations count="3">
    <dataValidation type="textLength" operator="lessThanOrEqual" allowBlank="1" showInputMessage="1" showErrorMessage="1" error="This is the start date period of the reported period in the submission file (based on date of service). _x000a_MMDDYYYY Or MM/DD/YYYY" prompt="This is the start date period of the reported period in the submission file (based on date of service). _x000a_MMDDYYYY Or MM/DD/YYYY" sqref="B11" xr:uid="{7D9EE8C0-5045-4C3B-B5D8-B4DFB9C24B8B}">
      <formula1>10</formula1>
    </dataValidation>
    <dataValidation operator="lessThanOrEqual" allowBlank="1" showInputMessage="1" showErrorMessage="1" error="OSC comments on TME data. (255 characters or less)." prompt="OSC comments on TME data. " sqref="D11" xr:uid="{DD1A168A-B903-418C-9457-258941FA7745}"/>
    <dataValidation type="textLength" operator="lessThanOrEqual" allowBlank="1" showInputMessage="1" showErrorMessage="1" error="This is the end date period of the reported period in the submission file. MMDDYYYY Or MM/DD/YYYY" prompt="This is the end date period of the reported period in the submission file (based on date of service)._x000a_MMDDYYYY Or MM/DD/YYYY" sqref="C11" xr:uid="{F2B9F1BC-C475-4AE0-BEBD-065E47DB028C}">
      <formula1>10</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E305-6010-44AC-AE9A-4A793FE00300}">
  <sheetPr>
    <tabColor theme="3"/>
  </sheetPr>
  <dimension ref="A1:F20"/>
  <sheetViews>
    <sheetView workbookViewId="0"/>
  </sheetViews>
  <sheetFormatPr defaultColWidth="9.109375" defaultRowHeight="14.4" x14ac:dyDescent="0.3"/>
  <cols>
    <col min="1" max="6" width="20.6640625" customWidth="1"/>
  </cols>
  <sheetData>
    <row r="1" spans="1:6" x14ac:dyDescent="0.3">
      <c r="A1" s="1" t="s">
        <v>84</v>
      </c>
    </row>
    <row r="2" spans="1:6" x14ac:dyDescent="0.3">
      <c r="A2" s="1" t="s">
        <v>278</v>
      </c>
    </row>
    <row r="4" spans="1:6" x14ac:dyDescent="0.3">
      <c r="A4" t="s">
        <v>85</v>
      </c>
      <c r="C4" s="213" t="s">
        <v>276</v>
      </c>
      <c r="D4" s="214"/>
      <c r="E4" s="214"/>
    </row>
    <row r="5" spans="1:6" x14ac:dyDescent="0.3">
      <c r="C5" s="214"/>
      <c r="D5" s="214"/>
      <c r="E5" s="214"/>
    </row>
    <row r="9" spans="1:6" x14ac:dyDescent="0.3">
      <c r="A9" s="2" t="s">
        <v>86</v>
      </c>
      <c r="B9" s="2" t="s">
        <v>87</v>
      </c>
      <c r="C9" s="2" t="s">
        <v>88</v>
      </c>
      <c r="D9" s="2" t="s">
        <v>89</v>
      </c>
    </row>
    <row r="10" spans="1:6" s="72" customFormat="1" x14ac:dyDescent="0.3">
      <c r="A10" s="70" t="s">
        <v>21</v>
      </c>
      <c r="B10" s="74" t="s">
        <v>90</v>
      </c>
      <c r="C10" s="74" t="s">
        <v>91</v>
      </c>
      <c r="D10" s="74" t="s">
        <v>92</v>
      </c>
    </row>
    <row r="11" spans="1:6" x14ac:dyDescent="0.3">
      <c r="A11" s="87">
        <v>207</v>
      </c>
      <c r="B11" s="88"/>
      <c r="C11" s="88"/>
      <c r="D11" s="89"/>
    </row>
    <row r="12" spans="1:6" x14ac:dyDescent="0.3">
      <c r="A12" s="9"/>
      <c r="B12" s="9"/>
      <c r="C12" s="9"/>
      <c r="D12" s="9"/>
      <c r="E12" s="9"/>
      <c r="F12" s="9"/>
    </row>
    <row r="20" spans="1:4" x14ac:dyDescent="0.3">
      <c r="A20" s="10"/>
      <c r="B20" s="75"/>
      <c r="C20" s="76"/>
      <c r="D20" s="77"/>
    </row>
  </sheetData>
  <sheetProtection algorithmName="SHA-512" hashValue="ABPyaLdpZYLzeFzwlrslMJ/EO2FiLO0p3Q9XcihVdNwCGI+EJYThRfFP8j43mLCm00TPlGCKkXWTUJNL2eJ7Gg==" saltValue="8vYy837pXFsSttvJb2rmLw==" spinCount="100000" sheet="1" objects="1" scenarios="1"/>
  <protectedRanges>
    <protectedRange sqref="A11:D11" name="Range1"/>
  </protectedRanges>
  <mergeCells count="1">
    <mergeCell ref="C4:E5"/>
  </mergeCells>
  <dataValidations count="3">
    <dataValidation operator="lessThanOrEqual" allowBlank="1" showInputMessage="1" showErrorMessage="1" error="OSC comments on TME data. (255 characters or less)." prompt="OSC comments on TME data. " sqref="D11" xr:uid="{FBC15E7E-7F92-4E68-BFA8-8B7BDD55E3F5}"/>
    <dataValidation type="textLength" operator="lessThanOrEqual" allowBlank="1" showInputMessage="1" showErrorMessage="1" error="This is the start date period of the reported period in the submission file (based on date of service). _x000a_MMDDYYYY Or MM/DD/YYYY" prompt="This is the start date period of the reported period in the submission file (based on date of service). _x000a_MMDDYYYY Or MM/DD/YYYY" sqref="B11" xr:uid="{A0F88EDB-9CE5-4DFE-96C3-D81E8F60F2DE}">
      <formula1>10</formula1>
    </dataValidation>
    <dataValidation type="textLength" operator="lessThanOrEqual" allowBlank="1" showInputMessage="1" showErrorMessage="1" error="This is the end date period of the reported period in the submission file. MMDDYYYY Or MM/DD/YYYY" prompt="This is the end date period of the reported period in the submission file (based on date of service)._x000a_MMDDYYYY Or MM/DD/YYYY" sqref="C11" xr:uid="{6FC1DF21-03F4-4BBC-A3B3-A1D488BB354B}">
      <formula1>10</formula1>
    </dataValidation>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DD11-BB77-4873-9227-2BF8C707FF6D}">
  <sheetPr>
    <tabColor theme="4"/>
  </sheetPr>
  <dimension ref="A1:AC12"/>
  <sheetViews>
    <sheetView zoomScaleNormal="100" workbookViewId="0"/>
  </sheetViews>
  <sheetFormatPr defaultColWidth="9.109375" defaultRowHeight="14.4" x14ac:dyDescent="0.3"/>
  <cols>
    <col min="1" max="12" width="17.6640625" customWidth="1"/>
    <col min="13" max="13" width="24.44140625" customWidth="1"/>
    <col min="14" max="29" width="17.6640625" customWidth="1"/>
  </cols>
  <sheetData>
    <row r="1" spans="1:29" x14ac:dyDescent="0.3">
      <c r="A1" s="1" t="s">
        <v>84</v>
      </c>
    </row>
    <row r="2" spans="1:29" ht="42" customHeight="1" x14ac:dyDescent="0.3">
      <c r="A2" s="1" t="s">
        <v>239</v>
      </c>
      <c r="G2" s="217" t="s">
        <v>93</v>
      </c>
      <c r="H2" s="217"/>
      <c r="J2" s="218" t="s">
        <v>94</v>
      </c>
      <c r="K2" s="218"/>
    </row>
    <row r="3" spans="1:29" x14ac:dyDescent="0.3">
      <c r="G3" s="215" t="str">
        <f>IF(AND(A11&lt;&gt;"", 'Data Validation'!C4&gt;0),"STOP - MISALIGNMENT IN MEMBER MONTHS WITH OTHER TABS FOR 2022 - CHECK DATA VALIDATION TAB.", "Good")</f>
        <v>Good</v>
      </c>
      <c r="H3" s="215"/>
      <c r="J3" s="216" t="str">
        <f>IF(AND(A11&lt;&gt;"", 'Data Validation'!C5&gt;0),"STOP - MISALIGNMENT IN TRUNCATED AND NON-TRUNCATED SPENDING WITH AGE/SEX TABS FOR 2022 - CHECK DATA VALIDATION TAB.", "Good")</f>
        <v>Good</v>
      </c>
      <c r="K3" s="216"/>
    </row>
    <row r="4" spans="1:29" x14ac:dyDescent="0.3">
      <c r="A4" t="s">
        <v>85</v>
      </c>
      <c r="C4" s="211" t="s">
        <v>275</v>
      </c>
      <c r="D4" s="212"/>
      <c r="E4" s="212"/>
      <c r="G4" s="215"/>
      <c r="H4" s="215"/>
      <c r="J4" s="216"/>
      <c r="K4" s="216"/>
    </row>
    <row r="5" spans="1:29" x14ac:dyDescent="0.3">
      <c r="A5" s="67" t="s">
        <v>95</v>
      </c>
      <c r="C5" s="212"/>
      <c r="D5" s="212"/>
      <c r="E5" s="212"/>
      <c r="G5" s="215"/>
      <c r="H5" s="215"/>
      <c r="J5" s="216"/>
      <c r="K5" s="216"/>
    </row>
    <row r="9" spans="1:29" x14ac:dyDescent="0.3">
      <c r="C9" s="198" t="s">
        <v>96</v>
      </c>
      <c r="D9" s="198" t="s">
        <v>97</v>
      </c>
      <c r="E9" s="198" t="s">
        <v>98</v>
      </c>
      <c r="F9" s="198" t="s">
        <v>99</v>
      </c>
      <c r="G9" s="198" t="s">
        <v>100</v>
      </c>
      <c r="H9" s="198" t="s">
        <v>101</v>
      </c>
      <c r="I9" s="198" t="s">
        <v>102</v>
      </c>
      <c r="J9" s="198" t="s">
        <v>103</v>
      </c>
      <c r="K9" s="198" t="s">
        <v>104</v>
      </c>
      <c r="L9" s="198" t="s">
        <v>105</v>
      </c>
      <c r="M9" s="198" t="s">
        <v>106</v>
      </c>
      <c r="N9" s="198" t="s">
        <v>107</v>
      </c>
      <c r="O9" s="198" t="s">
        <v>108</v>
      </c>
      <c r="P9" s="198" t="s">
        <v>109</v>
      </c>
      <c r="Q9" s="198" t="s">
        <v>110</v>
      </c>
      <c r="R9" s="198" t="s">
        <v>111</v>
      </c>
      <c r="S9" s="198" t="s">
        <v>112</v>
      </c>
      <c r="T9" s="198" t="s">
        <v>113</v>
      </c>
      <c r="U9" s="198" t="s">
        <v>114</v>
      </c>
      <c r="V9" s="199" t="s">
        <v>115</v>
      </c>
      <c r="W9" s="198" t="s">
        <v>116</v>
      </c>
      <c r="X9" s="198" t="s">
        <v>117</v>
      </c>
      <c r="Y9" s="199" t="s">
        <v>118</v>
      </c>
      <c r="Z9" s="199" t="s">
        <v>119</v>
      </c>
      <c r="AA9" s="198" t="s">
        <v>120</v>
      </c>
      <c r="AB9" s="198" t="s">
        <v>121</v>
      </c>
      <c r="AC9" s="198" t="s">
        <v>122</v>
      </c>
    </row>
    <row r="10" spans="1:29" ht="72" x14ac:dyDescent="0.3">
      <c r="A10" s="68" t="s">
        <v>21</v>
      </c>
      <c r="B10" s="69" t="s">
        <v>24</v>
      </c>
      <c r="C10" s="69" t="s">
        <v>123</v>
      </c>
      <c r="D10" s="69" t="s">
        <v>52</v>
      </c>
      <c r="E10" s="69" t="s">
        <v>53</v>
      </c>
      <c r="F10" s="69" t="s">
        <v>55</v>
      </c>
      <c r="G10" s="69" t="s">
        <v>56</v>
      </c>
      <c r="H10" s="69" t="s">
        <v>57</v>
      </c>
      <c r="I10" s="69" t="s">
        <v>58</v>
      </c>
      <c r="J10" s="69" t="s">
        <v>59</v>
      </c>
      <c r="K10" s="69" t="s">
        <v>60</v>
      </c>
      <c r="L10" s="69" t="s">
        <v>61</v>
      </c>
      <c r="M10" s="69" t="s">
        <v>62</v>
      </c>
      <c r="N10" s="69" t="s">
        <v>302</v>
      </c>
      <c r="O10" s="69" t="s">
        <v>303</v>
      </c>
      <c r="P10" s="69" t="s">
        <v>304</v>
      </c>
      <c r="Q10" s="69" t="s">
        <v>63</v>
      </c>
      <c r="R10" s="69" t="s">
        <v>64</v>
      </c>
      <c r="S10" s="69" t="s">
        <v>65</v>
      </c>
      <c r="T10" s="69" t="s">
        <v>66</v>
      </c>
      <c r="U10" s="168" t="s">
        <v>124</v>
      </c>
      <c r="V10" s="168" t="s">
        <v>125</v>
      </c>
      <c r="W10" s="168" t="s">
        <v>126</v>
      </c>
      <c r="X10" s="168" t="s">
        <v>127</v>
      </c>
      <c r="Y10" s="168" t="s">
        <v>258</v>
      </c>
      <c r="Z10" s="168" t="s">
        <v>128</v>
      </c>
      <c r="AA10" s="168" t="s">
        <v>129</v>
      </c>
      <c r="AB10" s="168" t="s">
        <v>130</v>
      </c>
      <c r="AC10" s="169" t="s">
        <v>131</v>
      </c>
    </row>
    <row r="11" spans="1:29" x14ac:dyDescent="0.3">
      <c r="A11" s="90"/>
      <c r="B11" s="91"/>
      <c r="C11" s="108"/>
      <c r="D11" s="92"/>
      <c r="E11" s="92"/>
      <c r="F11" s="92"/>
      <c r="G11" s="92"/>
      <c r="H11" s="92"/>
      <c r="I11" s="92"/>
      <c r="J11" s="92"/>
      <c r="K11" s="92"/>
      <c r="L11" s="92"/>
      <c r="M11" s="92"/>
      <c r="N11" s="200"/>
      <c r="O11" s="201"/>
      <c r="P11" s="92"/>
      <c r="Q11" s="92"/>
      <c r="R11" s="92"/>
      <c r="S11" s="92"/>
      <c r="T11" s="174"/>
      <c r="U11" s="166">
        <f>SUM(D11:F11)+SUM(H11:L11)</f>
        <v>0</v>
      </c>
      <c r="V11" s="166">
        <f>TME_BY[[#This Row],[TOTAL Non-Truncated Unadjusted Claims Expenses]]-TME_BY[[#This Row],[Total Claims Excluded because of Truncation]]</f>
        <v>0</v>
      </c>
      <c r="W11" s="166">
        <f>SUM(M11:Q11)</f>
        <v>0</v>
      </c>
      <c r="X11" s="166">
        <f>TME_BY[[#This Row],[TOTAL Non-Truncated Unadjusted Claims Expenses]]+TME_BY[[#This Row],[TOTAL Non-Claims Expenses]]</f>
        <v>0</v>
      </c>
      <c r="Y11" s="166">
        <f>TME_BY[[#This Row],[TOTAL Truncated Unadjusted Claims Expenses (A21 -A19)]]+TME_BY[[#This Row],[TOTAL Non-Claims Expenses]]</f>
        <v>0</v>
      </c>
      <c r="Z11" s="202">
        <f>IFERROR(TME_BY[[#This Row],[TOTAL Non-Truncated Unadjusted Expenses (A21 + A23)]]/TME_BY[[#This Row],[Member Months]],0)</f>
        <v>0</v>
      </c>
      <c r="AA11" s="202">
        <f>IFERROR(TME_BY[[#This Row],[TOTAL Truncated Unadjusted Expenses (A22 + A23)]]/TME_BY[[#This Row],[Member Months]],0)</f>
        <v>0</v>
      </c>
      <c r="AB11" s="172">
        <f>IFERROR(TME_BY[[#This Row],[Total Claims Excluded because of Truncation]]/TME_BY[[#This Row],[Count of Members with Claims Truncated]], 0)</f>
        <v>0</v>
      </c>
      <c r="AC11" s="203">
        <f>IFERROR(TME_BY[[#This Row],[Total Claims Excluded because of Truncation]]/TME_BY[[#This Row],[TOTAL Non-Truncated Unadjusted Claims Expenses]], 0)</f>
        <v>0</v>
      </c>
    </row>
    <row r="12" spans="1:29" x14ac:dyDescent="0.3">
      <c r="A12" s="204"/>
      <c r="B12" s="124"/>
      <c r="C12" s="125"/>
      <c r="D12" s="205"/>
      <c r="E12" s="205"/>
      <c r="F12" s="205"/>
      <c r="G12" s="205"/>
      <c r="H12" s="205"/>
      <c r="I12" s="205"/>
      <c r="J12" s="205"/>
      <c r="K12" s="205"/>
      <c r="L12" s="205"/>
      <c r="M12" s="205"/>
      <c r="N12" s="205"/>
      <c r="O12" s="205"/>
      <c r="P12" s="205"/>
      <c r="Q12" s="205"/>
      <c r="R12" s="205"/>
      <c r="S12" s="205"/>
      <c r="T12" s="206"/>
      <c r="U12" s="207">
        <f>SUM(D12:F12)+SUM(H12:L12)</f>
        <v>0</v>
      </c>
      <c r="V12" s="207">
        <f>TME_BY[[#This Row],[TOTAL Non-Truncated Unadjusted Claims Expenses]]-TME_BY[[#This Row],[Total Claims Excluded because of Truncation]]</f>
        <v>0</v>
      </c>
      <c r="W12" s="207">
        <f>SUM(M12:Q12)</f>
        <v>0</v>
      </c>
      <c r="X12" s="207">
        <f>TME_BY[[#This Row],[TOTAL Non-Truncated Unadjusted Claims Expenses]]+TME_BY[[#This Row],[TOTAL Non-Claims Expenses]]</f>
        <v>0</v>
      </c>
      <c r="Y12" s="207">
        <f>TME_BY[[#This Row],[TOTAL Truncated Unadjusted Claims Expenses (A21 -A19)]]+TME_BY[[#This Row],[TOTAL Non-Claims Expenses]]</f>
        <v>0</v>
      </c>
      <c r="Z12" s="207">
        <f>IFERROR(TME_BY[[#This Row],[TOTAL Non-Truncated Unadjusted Expenses (A21 + A23)]]/TME_BY[[#This Row],[Member Months]],0)</f>
        <v>0</v>
      </c>
      <c r="AA12" s="208">
        <f>IFERROR(TME_BY[[#This Row],[TOTAL Truncated Unadjusted Expenses (A22 + A23)]]/TME_BY[[#This Row],[Member Months]],0)</f>
        <v>0</v>
      </c>
      <c r="AB12" s="208">
        <f>IFERROR(TME_BY[[#This Row],[Total Claims Excluded because of Truncation]]/TME_BY[[#This Row],[Count of Members with Claims Truncated]], 0)</f>
        <v>0</v>
      </c>
      <c r="AC12" s="209">
        <f>IFERROR(TME_BY[[#This Row],[Total Claims Excluded because of Truncation]]/TME_BY[[#This Row],[TOTAL Non-Truncated Unadjusted Claims Expenses]], 0)</f>
        <v>0</v>
      </c>
    </row>
  </sheetData>
  <sheetProtection algorithmName="SHA-512" hashValue="kx/Udimi25t5avYy7igdoP1yiia+Duz9u410161cfbx+ENTebiMk11vYLQ8CUpb1EDJ4oscreJhUHU+35uLpcg==" saltValue="+QOFJGDVRkGPcCM3UJz7UQ==" spinCount="100000" sheet="1" objects="1" scenarios="1"/>
  <protectedRanges>
    <protectedRange sqref="A11:AC12" name="Range1"/>
  </protectedRanges>
  <mergeCells count="5">
    <mergeCell ref="G3:H5"/>
    <mergeCell ref="J3:K5"/>
    <mergeCell ref="G2:H2"/>
    <mergeCell ref="J2:K2"/>
    <mergeCell ref="C4:E5"/>
  </mergeCells>
  <conditionalFormatting sqref="G3:H5 J3:K5">
    <cfRule type="containsText" dxfId="43" priority="5" operator="containsText" text="STOP">
      <formula>NOT(ISERROR(SEARCH("STOP",G3)))</formula>
    </cfRule>
    <cfRule type="containsText" dxfId="42" priority="6" operator="containsText" text="Good">
      <formula>NOT(ISERROR(SEARCH("Good",G3)))</formula>
    </cfRule>
  </conditionalFormatting>
  <conditionalFormatting sqref="AB11:AB12">
    <cfRule type="cellIs" dxfId="41" priority="3" operator="greaterThanOrEqual">
      <formula>250000</formula>
    </cfRule>
  </conditionalFormatting>
  <conditionalFormatting sqref="AC11:AC12">
    <cfRule type="cellIs" dxfId="40" priority="1" operator="greaterThan">
      <formula>0.1</formula>
    </cfRule>
  </conditionalFormatting>
  <dataValidations count="5">
    <dataValidation type="decimal" operator="greaterThanOrEqual" allowBlank="1" showInputMessage="1" showErrorMessage="1" error="See Definitions tab._x000a_No negative values." prompt="See Definitions tab._x000a_No negative values._x000a_" sqref="N12 D11:M12" xr:uid="{02F8F858-12A9-4AE3-BF6D-4DB97B1246BB}">
      <formula1>0</formula1>
    </dataValidation>
    <dataValidation type="decimal" operator="greaterThanOrEqual" allowBlank="1" showInputMessage="1" showErrorMessage="1" error="See Definitions tab._x000a_No negative values." prompt="See Definitions tab._x000a_No negative values." sqref="P11:P12 O12 Q11:T12" xr:uid="{387341DA-5831-41BC-9FE8-1967F117EF42}">
      <formula1>0</formula1>
    </dataValidation>
    <dataValidation type="textLength" operator="equal" allowBlank="1" showInputMessage="1" showErrorMessage="1" error="Please input the insurance category being reported (see Reference Tables)" prompt="Insurance Category:_x000a_1 = Medicare Managed Care_x000a_3 = Commerical: Full-Claims" sqref="B11:B12" xr:uid="{2682AD54-2AB4-4107-BAC8-E254323F0C20}">
      <formula1>1</formula1>
    </dataValidation>
    <dataValidation type="whole" operator="equal" allowBlank="1" showInputMessage="1" showErrorMessage="1" error="For this submission, OSC will input “207” as the value for this field. " prompt="For this submission, OSC will input “207” as the value for this field. " sqref="A11:A12" xr:uid="{58857870-275F-4577-9FC0-7171FA587097}">
      <formula1>207</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C11:C12" xr:uid="{D1954563-B177-4067-B195-1B4FB3F1F3CE}">
      <formula1>0</formula1>
    </dataValidation>
  </dataValidations>
  <hyperlinks>
    <hyperlink ref="G2:H2" location="'Data Validation'!B4" display="Check for Member months" xr:uid="{9804B8C8-FB97-4F54-BF37-C3651CB6D0BE}"/>
    <hyperlink ref="J2:K2" location="'Data Validation'!B5" display="Check for Truncated and Non-Truncated Spending" xr:uid="{4ADB1679-F2B6-45DA-B82C-16F242BBA040}"/>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AB9B-D101-4863-8FEB-CA6EE7DA0A2F}">
  <sheetPr>
    <tabColor theme="3"/>
  </sheetPr>
  <dimension ref="A1:AC12"/>
  <sheetViews>
    <sheetView zoomScaleNormal="100" workbookViewId="0"/>
  </sheetViews>
  <sheetFormatPr defaultColWidth="9.109375" defaultRowHeight="14.4" x14ac:dyDescent="0.3"/>
  <cols>
    <col min="1" max="12" width="17.6640625" customWidth="1"/>
    <col min="13" max="13" width="24.44140625" customWidth="1"/>
    <col min="14" max="29" width="17.6640625" customWidth="1"/>
  </cols>
  <sheetData>
    <row r="1" spans="1:29" x14ac:dyDescent="0.3">
      <c r="A1" s="1" t="s">
        <v>84</v>
      </c>
    </row>
    <row r="2" spans="1:29" x14ac:dyDescent="0.3">
      <c r="A2" s="1" t="s">
        <v>277</v>
      </c>
      <c r="F2" s="217" t="s">
        <v>93</v>
      </c>
      <c r="G2" s="217"/>
      <c r="I2" s="218" t="s">
        <v>94</v>
      </c>
      <c r="J2" s="218"/>
    </row>
    <row r="3" spans="1:29" x14ac:dyDescent="0.3">
      <c r="F3" s="215" t="str">
        <f>IF(AND(A11&lt;&gt;"", 'Data Validation'!D4&gt;0),"STOP - MISALIGNMENT IN MEMBER MONTHS WITH OTHER TABS FOR 2023 - CHECK DATA VALIDATION TAB.", "Good")</f>
        <v>Good</v>
      </c>
      <c r="G3" s="215"/>
      <c r="I3" s="216" t="str">
        <f>IF(AND(A11&lt;&gt;"", 'Data Validation'!D5&gt;0),"STOP - MISALIGNMENT IN TRUNCATED AND NON-TRUNCATED SPENDING WITH AGE/SEX TABS FOR 2023 - CHECK DATA VALIDATION TAB.", "Good")</f>
        <v>Good</v>
      </c>
      <c r="J3" s="216"/>
    </row>
    <row r="4" spans="1:29" x14ac:dyDescent="0.3">
      <c r="A4" t="s">
        <v>85</v>
      </c>
      <c r="C4" s="213" t="s">
        <v>276</v>
      </c>
      <c r="D4" s="214"/>
      <c r="E4" s="214"/>
      <c r="F4" s="215"/>
      <c r="G4" s="215"/>
      <c r="I4" s="216"/>
      <c r="J4" s="216"/>
    </row>
    <row r="5" spans="1:29" x14ac:dyDescent="0.3">
      <c r="A5" s="67" t="s">
        <v>95</v>
      </c>
      <c r="C5" s="214"/>
      <c r="D5" s="214"/>
      <c r="E5" s="214"/>
      <c r="F5" s="215"/>
      <c r="G5" s="215"/>
      <c r="I5" s="216"/>
      <c r="J5" s="216"/>
    </row>
    <row r="9" spans="1:29" x14ac:dyDescent="0.3">
      <c r="C9" s="2" t="s">
        <v>96</v>
      </c>
      <c r="D9" s="2" t="s">
        <v>97</v>
      </c>
      <c r="E9" s="2" t="s">
        <v>98</v>
      </c>
      <c r="F9" s="2" t="s">
        <v>99</v>
      </c>
      <c r="G9" s="2" t="s">
        <v>100</v>
      </c>
      <c r="H9" s="2" t="s">
        <v>101</v>
      </c>
      <c r="I9" s="2" t="s">
        <v>102</v>
      </c>
      <c r="J9" s="2" t="s">
        <v>103</v>
      </c>
      <c r="K9" s="2" t="s">
        <v>104</v>
      </c>
      <c r="L9" s="2" t="s">
        <v>105</v>
      </c>
      <c r="M9" s="2" t="s">
        <v>106</v>
      </c>
      <c r="N9" s="2" t="s">
        <v>107</v>
      </c>
      <c r="O9" s="2" t="s">
        <v>108</v>
      </c>
      <c r="P9" s="2" t="s">
        <v>109</v>
      </c>
      <c r="Q9" s="2" t="s">
        <v>110</v>
      </c>
      <c r="R9" s="2" t="s">
        <v>111</v>
      </c>
      <c r="S9" s="2" t="s">
        <v>112</v>
      </c>
      <c r="T9" s="2" t="s">
        <v>113</v>
      </c>
      <c r="U9" s="2" t="s">
        <v>114</v>
      </c>
      <c r="V9" s="98" t="s">
        <v>115</v>
      </c>
      <c r="W9" s="2" t="s">
        <v>116</v>
      </c>
      <c r="X9" s="2" t="s">
        <v>117</v>
      </c>
      <c r="Y9" s="98" t="s">
        <v>118</v>
      </c>
      <c r="Z9" s="98" t="s">
        <v>119</v>
      </c>
      <c r="AA9" s="2" t="s">
        <v>120</v>
      </c>
      <c r="AB9" s="2" t="s">
        <v>121</v>
      </c>
      <c r="AC9" s="2" t="s">
        <v>122</v>
      </c>
    </row>
    <row r="10" spans="1:29" ht="72" x14ac:dyDescent="0.3">
      <c r="A10" s="68" t="s">
        <v>21</v>
      </c>
      <c r="B10" s="69" t="s">
        <v>24</v>
      </c>
      <c r="C10" s="69" t="s">
        <v>123</v>
      </c>
      <c r="D10" s="69" t="s">
        <v>52</v>
      </c>
      <c r="E10" s="69" t="s">
        <v>53</v>
      </c>
      <c r="F10" s="69" t="s">
        <v>55</v>
      </c>
      <c r="G10" s="69" t="s">
        <v>56</v>
      </c>
      <c r="H10" s="69" t="s">
        <v>57</v>
      </c>
      <c r="I10" s="69" t="s">
        <v>58</v>
      </c>
      <c r="J10" s="69" t="s">
        <v>59</v>
      </c>
      <c r="K10" s="69" t="s">
        <v>60</v>
      </c>
      <c r="L10" s="69" t="s">
        <v>61</v>
      </c>
      <c r="M10" s="69" t="s">
        <v>62</v>
      </c>
      <c r="N10" s="69" t="s">
        <v>302</v>
      </c>
      <c r="O10" s="69" t="s">
        <v>303</v>
      </c>
      <c r="P10" s="69" t="s">
        <v>304</v>
      </c>
      <c r="Q10" s="69" t="s">
        <v>63</v>
      </c>
      <c r="R10" s="69" t="s">
        <v>64</v>
      </c>
      <c r="S10" s="69" t="s">
        <v>65</v>
      </c>
      <c r="T10" s="69" t="s">
        <v>66</v>
      </c>
      <c r="U10" s="168" t="s">
        <v>124</v>
      </c>
      <c r="V10" s="168" t="s">
        <v>125</v>
      </c>
      <c r="W10" s="168" t="s">
        <v>126</v>
      </c>
      <c r="X10" s="168" t="s">
        <v>127</v>
      </c>
      <c r="Y10" s="168" t="s">
        <v>258</v>
      </c>
      <c r="Z10" s="168" t="s">
        <v>128</v>
      </c>
      <c r="AA10" s="169" t="s">
        <v>129</v>
      </c>
      <c r="AB10" s="171" t="s">
        <v>130</v>
      </c>
      <c r="AC10" s="171" t="s">
        <v>131</v>
      </c>
    </row>
    <row r="11" spans="1:29" x14ac:dyDescent="0.3">
      <c r="A11" s="90"/>
      <c r="B11" s="91"/>
      <c r="C11" s="108"/>
      <c r="D11" s="92"/>
      <c r="E11" s="92"/>
      <c r="F11" s="92"/>
      <c r="G11" s="92"/>
      <c r="H11" s="92"/>
      <c r="I11" s="92"/>
      <c r="J11" s="92"/>
      <c r="K11" s="92"/>
      <c r="L11" s="92"/>
      <c r="M11" s="92"/>
      <c r="N11" s="92"/>
      <c r="O11" s="92"/>
      <c r="P11" s="92"/>
      <c r="Q11" s="92"/>
      <c r="R11" s="92"/>
      <c r="S11" s="92"/>
      <c r="T11" s="174"/>
      <c r="U11" s="166">
        <f>SUM(D11:F11)+SUM(H11:L11)</f>
        <v>0</v>
      </c>
      <c r="V11" s="166">
        <f>TME_PY[[#This Row],[TOTAL Non-Truncated Unadjusted Claims Expenses]]-TME_PY[[#This Row],[Total Claims Excluded because of Truncation]]</f>
        <v>0</v>
      </c>
      <c r="W11" s="166">
        <f>SUM(M11:Q11)</f>
        <v>0</v>
      </c>
      <c r="X11" s="166">
        <f>TME_PY[[#This Row],[TOTAL Non-Truncated Unadjusted Claims Expenses]]+TME_PY[[#This Row],[TOTAL Non-Claims Expenses]]</f>
        <v>0</v>
      </c>
      <c r="Y11" s="166">
        <f>TME_PY[[#This Row],[TOTAL Truncated Unadjusted Claims Expenses (A21 -A19)]]+TME_PY[[#This Row],[TOTAL Non-Claims Expenses]]</f>
        <v>0</v>
      </c>
      <c r="Z11" s="167">
        <f>IFERROR(TME_PY[[#This Row],[TOTAL Non-Truncated Unadjusted Expenses (A21 + A23)]]/TME_PY[[#This Row],[Member Months]],0)</f>
        <v>0</v>
      </c>
      <c r="AA11" s="170">
        <f>IFERROR(TME_PY[[#This Row],[TOTAL Truncated Unadjusted Expenses (A22 + A23)]]/TME_PY[[#This Row],[Member Months]],0)</f>
        <v>0</v>
      </c>
      <c r="AB11" s="172">
        <f>IFERROR(TME_PY[[#This Row],[Total Claims Excluded because of Truncation]]/TME_PY[[#This Row],[Count of Members with Claims Truncated]], 0)</f>
        <v>0</v>
      </c>
      <c r="AC11" s="173">
        <f>IFERROR(TME_PY[[#This Row],[Total Claims Excluded because of Truncation]]/TME_PY[[#This Row],[TOTAL Non-Truncated Unadjusted Claims Expenses]], 0)</f>
        <v>0</v>
      </c>
    </row>
    <row r="12" spans="1:29" x14ac:dyDescent="0.3">
      <c r="A12" s="90"/>
      <c r="B12" s="91"/>
      <c r="C12" s="108"/>
      <c r="D12" s="92"/>
      <c r="E12" s="92"/>
      <c r="F12" s="92"/>
      <c r="G12" s="92"/>
      <c r="H12" s="92"/>
      <c r="I12" s="92"/>
      <c r="J12" s="92"/>
      <c r="K12" s="92"/>
      <c r="L12" s="92"/>
      <c r="M12" s="92"/>
      <c r="N12" s="92"/>
      <c r="O12" s="92"/>
      <c r="P12" s="92"/>
      <c r="Q12" s="92"/>
      <c r="R12" s="92"/>
      <c r="S12" s="92"/>
      <c r="T12" s="174"/>
      <c r="U12" s="93">
        <f>SUM(D12:F12)+SUM(H12:L12)</f>
        <v>0</v>
      </c>
      <c r="V12" s="93">
        <f>TME_PY[[#This Row],[TOTAL Non-Truncated Unadjusted Claims Expenses]]-TME_PY[[#This Row],[Total Claims Excluded because of Truncation]]</f>
        <v>0</v>
      </c>
      <c r="W12" s="93">
        <f>SUM(M12:Q12)</f>
        <v>0</v>
      </c>
      <c r="X12" s="93">
        <f>TME_PY[[#This Row],[TOTAL Non-Truncated Unadjusted Claims Expenses]]+TME_PY[[#This Row],[TOTAL Non-Claims Expenses]]</f>
        <v>0</v>
      </c>
      <c r="Y12" s="93">
        <f>TME_PY[[#This Row],[TOTAL Truncated Unadjusted Claims Expenses (A21 -A19)]]+TME_PY[[#This Row],[TOTAL Non-Claims Expenses]]</f>
        <v>0</v>
      </c>
      <c r="Z12" s="100">
        <f>IFERROR(TME_PY[[#This Row],[TOTAL Non-Truncated Unadjusted Expenses (A21 + A23)]]/TME_PY[[#This Row],[Member Months]],0)</f>
        <v>0</v>
      </c>
      <c r="AA12" s="99">
        <f>IFERROR(TME_PY[[#This Row],[TOTAL Truncated Unadjusted Expenses (A22 + A23)]]/TME_PY[[#This Row],[Member Months]],0)</f>
        <v>0</v>
      </c>
      <c r="AB12" s="172">
        <f>IFERROR(TME_PY[[#This Row],[Total Claims Excluded because of Truncation]]/TME_PY[[#This Row],[Count of Members with Claims Truncated]], 0)</f>
        <v>0</v>
      </c>
      <c r="AC12" s="173">
        <f>IFERROR(TME_PY[[#This Row],[Total Claims Excluded because of Truncation]]/TME_PY[[#This Row],[TOTAL Non-Truncated Unadjusted Claims Expenses]], 0)</f>
        <v>0</v>
      </c>
    </row>
  </sheetData>
  <sheetProtection algorithmName="SHA-512" hashValue="zwNr6hE+AIBgSFG8xr98mfGNqiA36w3kK8n8eqmF6E7tpL5TWXRMs8cUCEJfL/54QrfzDkdSScgafUKBPshF0g==" saltValue="qnxNhr3JaYC+WCqS0y2wCQ==" spinCount="100000" sheet="1" objects="1" scenarios="1"/>
  <protectedRanges>
    <protectedRange sqref="A11:AC12" name="Range1"/>
  </protectedRanges>
  <mergeCells count="5">
    <mergeCell ref="F2:G2"/>
    <mergeCell ref="F3:G5"/>
    <mergeCell ref="I2:J2"/>
    <mergeCell ref="I3:J5"/>
    <mergeCell ref="C4:E5"/>
  </mergeCells>
  <conditionalFormatting sqref="F3:G5">
    <cfRule type="containsText" dxfId="39" priority="5" operator="containsText" text="STOP">
      <formula>NOT(ISERROR(SEARCH("STOP",F3)))</formula>
    </cfRule>
    <cfRule type="containsText" dxfId="38" priority="6" operator="containsText" text="Good">
      <formula>NOT(ISERROR(SEARCH("Good",F3)))</formula>
    </cfRule>
  </conditionalFormatting>
  <conditionalFormatting sqref="I3:J5">
    <cfRule type="containsText" dxfId="37" priority="3" operator="containsText" text="STOP">
      <formula>NOT(ISERROR(SEARCH("STOP",I3)))</formula>
    </cfRule>
    <cfRule type="containsText" dxfId="36" priority="4" operator="containsText" text="Good">
      <formula>NOT(ISERROR(SEARCH("Good",I3)))</formula>
    </cfRule>
  </conditionalFormatting>
  <conditionalFormatting sqref="AB11:AB12">
    <cfRule type="cellIs" dxfId="35" priority="1" operator="greaterThanOrEqual">
      <formula>250000</formula>
    </cfRule>
  </conditionalFormatting>
  <conditionalFormatting sqref="AC11:AC12">
    <cfRule type="cellIs" dxfId="34" priority="2" operator="greaterThan">
      <formula>0.1</formula>
    </cfRule>
  </conditionalFormatting>
  <dataValidations count="5">
    <dataValidation type="whole" operator="equal" allowBlank="1" showInputMessage="1" showErrorMessage="1" error="For this submission, OSC will input “207” as the value for this field. " prompt="For this submission, OSC will input “207” as the value for this field. " sqref="A11:A12" xr:uid="{85DB644B-9DBF-4D6F-B0C8-2DEEBEAECBAE}">
      <formula1>207</formula1>
    </dataValidation>
    <dataValidation type="textLength" operator="equal" allowBlank="1" showInputMessage="1" showErrorMessage="1" error="Please input the insurance category being reported (see Reference Tables)" prompt="Insurance Category:_x000a_1 = Medicare Managed Care_x000a_3 = Commerical: Full-Claims" sqref="B11:B12" xr:uid="{36BBA444-2A2F-4C63-BF8A-D342B7CACC59}">
      <formula1>1</formula1>
    </dataValidation>
    <dataValidation type="decimal" operator="greaterThanOrEqual" allowBlank="1" showInputMessage="1" showErrorMessage="1" error="See Definitions tab._x000a_No negative values." prompt="See Definitions tab._x000a_No negative values." sqref="O11:T12" xr:uid="{91386783-CA47-468A-B4E1-113C8B774945}">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C11:C12" xr:uid="{C98DC364-00B2-4CF4-872F-9FECB8B69E1D}">
      <formula1>0</formula1>
    </dataValidation>
    <dataValidation type="decimal" operator="greaterThanOrEqual" allowBlank="1" showInputMessage="1" showErrorMessage="1" error="See Definitions tab._x000a_No negative values." prompt="See Definitions tab._x000a_No negative values._x000a_" sqref="D11:N12" xr:uid="{339E8224-006A-4B62-B7D6-5125525B8821}">
      <formula1>0</formula1>
    </dataValidation>
  </dataValidations>
  <hyperlinks>
    <hyperlink ref="F2:G2" location="'Data Validation'!B4" display="Check for Member months" xr:uid="{AC26ECD6-46FB-485C-B2B6-71266CB1AB48}"/>
    <hyperlink ref="I2:J2" location="'Data Validation'!B5" display="Check for Truncated and Non-Truncated Spending" xr:uid="{B3FCF197-363A-417E-B189-C6810459729D}"/>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8E82-40CA-4401-9133-71D39E02440C}">
  <sheetPr>
    <tabColor theme="8"/>
  </sheetPr>
  <dimension ref="A1:G12"/>
  <sheetViews>
    <sheetView zoomScaleNormal="100" workbookViewId="0"/>
  </sheetViews>
  <sheetFormatPr defaultColWidth="9.109375" defaultRowHeight="14.4" x14ac:dyDescent="0.3"/>
  <cols>
    <col min="1" max="1" width="33.109375" customWidth="1"/>
    <col min="2" max="4" width="19.33203125" customWidth="1"/>
  </cols>
  <sheetData>
    <row r="1" spans="1:7" x14ac:dyDescent="0.3">
      <c r="A1" s="1" t="s">
        <v>84</v>
      </c>
    </row>
    <row r="2" spans="1:7" x14ac:dyDescent="0.3">
      <c r="A2" s="1" t="s">
        <v>280</v>
      </c>
    </row>
    <row r="4" spans="1:7" ht="15" customHeight="1" x14ac:dyDescent="0.3">
      <c r="A4" t="s">
        <v>85</v>
      </c>
      <c r="D4" s="73"/>
      <c r="E4" s="73"/>
      <c r="F4" s="73"/>
      <c r="G4" s="73"/>
    </row>
    <row r="5" spans="1:7" ht="15" customHeight="1" x14ac:dyDescent="0.3">
      <c r="D5" s="73"/>
      <c r="E5" s="73"/>
      <c r="F5" s="73"/>
      <c r="G5" s="73"/>
    </row>
    <row r="6" spans="1:7" x14ac:dyDescent="0.3">
      <c r="A6" s="219" t="s">
        <v>279</v>
      </c>
      <c r="B6" s="219"/>
      <c r="C6" s="219"/>
      <c r="D6" s="73"/>
      <c r="E6" s="73"/>
      <c r="F6" s="73"/>
      <c r="G6" s="73"/>
    </row>
    <row r="7" spans="1:7" x14ac:dyDescent="0.3">
      <c r="A7" s="219"/>
      <c r="B7" s="219"/>
      <c r="C7" s="219"/>
      <c r="D7" s="73"/>
      <c r="E7" s="73"/>
      <c r="F7" s="73"/>
      <c r="G7" s="73"/>
    </row>
    <row r="8" spans="1:7" ht="40.5" customHeight="1" x14ac:dyDescent="0.3">
      <c r="D8" s="73"/>
      <c r="E8" s="73"/>
      <c r="F8" s="73"/>
      <c r="G8" s="73"/>
    </row>
    <row r="9" spans="1:7" x14ac:dyDescent="0.3">
      <c r="A9" s="2" t="s">
        <v>96</v>
      </c>
      <c r="B9" s="2" t="s">
        <v>97</v>
      </c>
      <c r="C9" s="2" t="s">
        <v>98</v>
      </c>
    </row>
    <row r="10" spans="1:7" s="72" customFormat="1" ht="28.8" x14ac:dyDescent="0.3">
      <c r="A10" s="70" t="s">
        <v>28</v>
      </c>
      <c r="B10" s="71" t="s">
        <v>240</v>
      </c>
      <c r="C10" s="74" t="s">
        <v>282</v>
      </c>
      <c r="D10"/>
    </row>
    <row r="11" spans="1:7" x14ac:dyDescent="0.3">
      <c r="A11" s="87"/>
      <c r="B11" s="175"/>
      <c r="C11" s="175"/>
    </row>
    <row r="12" spans="1:7" x14ac:dyDescent="0.3">
      <c r="A12" s="87"/>
      <c r="B12" s="175"/>
      <c r="C12" s="175"/>
    </row>
  </sheetData>
  <sheetProtection algorithmName="SHA-512" hashValue="tZx265p49KvZKNNHvAhD58l6Bz7O3dQ16cbgaFSNeyoJvJJghs6gVM0BzdrStGD87OyXueUv1Atn6QuLFsev0w==" saltValue="OlR7cA5kGnYIevvzxGL70g==" spinCount="100000" sheet="1" insertRows="0"/>
  <protectedRanges>
    <protectedRange sqref="A11:C12" name="Range1"/>
  </protectedRanges>
  <mergeCells count="1">
    <mergeCell ref="A6:C7"/>
  </mergeCells>
  <phoneticPr fontId="20" type="noConversion"/>
  <dataValidations xWindow="92" yWindow="487" count="2">
    <dataValidation type="whole" allowBlank="1" showInputMessage="1" showErrorMessage="1" error="904 = Self-insured_x000a_906 = Medicare managed care" prompt="904 = Self-insured_x000a_906 = Medicare managed care" sqref="A11:A12" xr:uid="{1ABE637D-11E4-4B76-AF03-F583BD21B886}">
      <formula1>901</formula1>
      <formula2>908</formula2>
    </dataValidation>
    <dataValidation type="decimal" operator="greaterThan" allowBlank="1" showInputMessage="1" showErrorMessage="1" error="See Definitions tab." prompt="See Definitions tab." sqref="B11:C12" xr:uid="{75CADAD1-BFB2-4912-A9C8-6A52B4BF2106}">
      <formula1>0</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898D-7E71-487B-BFF1-937794A4F8CE}">
  <sheetPr>
    <tabColor theme="4"/>
  </sheetPr>
  <dimension ref="A1:E13"/>
  <sheetViews>
    <sheetView workbookViewId="0"/>
  </sheetViews>
  <sheetFormatPr defaultColWidth="9.109375" defaultRowHeight="14.4" x14ac:dyDescent="0.3"/>
  <cols>
    <col min="1" max="1" width="35.6640625" customWidth="1"/>
    <col min="2" max="2" width="27.88671875" bestFit="1" customWidth="1"/>
    <col min="3" max="5" width="23" customWidth="1"/>
  </cols>
  <sheetData>
    <row r="1" spans="1:5" x14ac:dyDescent="0.3">
      <c r="A1" s="1" t="s">
        <v>84</v>
      </c>
      <c r="B1" s="1"/>
    </row>
    <row r="2" spans="1:5" x14ac:dyDescent="0.3">
      <c r="A2" s="1" t="s">
        <v>241</v>
      </c>
      <c r="B2" s="1"/>
      <c r="D2" s="218" t="s">
        <v>132</v>
      </c>
      <c r="E2" s="218"/>
    </row>
    <row r="3" spans="1:5" x14ac:dyDescent="0.3">
      <c r="D3" s="220" t="str">
        <f>IF(AND(A11&lt;&gt;"", 'Data Validation'!C6&gt;0), "STOP - Misalignment of truncated spending for 2022. Check Data Validation tab.", "Good")</f>
        <v>Good</v>
      </c>
      <c r="E3" s="220"/>
    </row>
    <row r="4" spans="1:5" x14ac:dyDescent="0.3">
      <c r="A4" t="s">
        <v>85</v>
      </c>
      <c r="D4" s="220"/>
      <c r="E4" s="220"/>
    </row>
    <row r="5" spans="1:5" x14ac:dyDescent="0.3">
      <c r="D5" s="220"/>
      <c r="E5" s="220"/>
    </row>
    <row r="6" spans="1:5" x14ac:dyDescent="0.3">
      <c r="B6" s="211" t="s">
        <v>275</v>
      </c>
      <c r="C6" s="211"/>
    </row>
    <row r="7" spans="1:5" x14ac:dyDescent="0.3">
      <c r="B7" s="211"/>
      <c r="C7" s="211"/>
    </row>
    <row r="8" spans="1:5" x14ac:dyDescent="0.3">
      <c r="B8" s="96" t="s">
        <v>133</v>
      </c>
    </row>
    <row r="9" spans="1:5" x14ac:dyDescent="0.3">
      <c r="B9" s="96" t="s">
        <v>134</v>
      </c>
      <c r="C9" s="2" t="s">
        <v>96</v>
      </c>
      <c r="D9" s="2" t="s">
        <v>97</v>
      </c>
      <c r="E9" s="2" t="s">
        <v>98</v>
      </c>
    </row>
    <row r="10" spans="1:5" s="72" customFormat="1" ht="28.8" x14ac:dyDescent="0.3">
      <c r="A10" s="68" t="s">
        <v>21</v>
      </c>
      <c r="B10" s="74" t="s">
        <v>135</v>
      </c>
      <c r="C10" s="71" t="s">
        <v>123</v>
      </c>
      <c r="D10" s="71" t="s">
        <v>73</v>
      </c>
      <c r="E10" s="71" t="s">
        <v>136</v>
      </c>
    </row>
    <row r="11" spans="1:5" x14ac:dyDescent="0.3">
      <c r="A11" s="90"/>
      <c r="B11" s="91"/>
      <c r="C11" s="101"/>
      <c r="D11" s="101"/>
      <c r="E11" s="101"/>
    </row>
    <row r="12" spans="1:5" x14ac:dyDescent="0.3">
      <c r="A12" s="90"/>
      <c r="B12" s="91"/>
      <c r="C12" s="101"/>
      <c r="D12" s="101"/>
      <c r="E12" s="101"/>
    </row>
    <row r="13" spans="1:5" x14ac:dyDescent="0.3">
      <c r="A13" s="97"/>
      <c r="B13" s="91"/>
      <c r="C13" s="101"/>
      <c r="D13" s="101"/>
      <c r="E13" s="101"/>
    </row>
  </sheetData>
  <sheetProtection algorithmName="SHA-512" hashValue="6c76viWaPiCJJtbfsSkzTKqGHE3bRe5knFA5QXypmt0/gfgcUfrQqfwz+3EG99ikNqBDY74OdtKFFCD0F1RObQ==" saltValue="sZGxWvhcrLJGd44UakxoWg==" spinCount="100000" sheet="1" insertRows="0"/>
  <protectedRanges>
    <protectedRange sqref="A11:E13" name="Range1"/>
  </protectedRanges>
  <mergeCells count="3">
    <mergeCell ref="D2:E2"/>
    <mergeCell ref="D3:E5"/>
    <mergeCell ref="B6:C7"/>
  </mergeCells>
  <conditionalFormatting sqref="D3:E5">
    <cfRule type="notContainsText" dxfId="33" priority="1" operator="notContains" text="Good">
      <formula>ISERROR(SEARCH("Good",D3))</formula>
    </cfRule>
    <cfRule type="containsText" dxfId="32" priority="2" operator="containsText" text="Good">
      <formula>NOT(ISERROR(SEARCH("Good",D3)))</formula>
    </cfRule>
  </conditionalFormatting>
  <dataValidations count="4">
    <dataValidation type="whole" operator="equal" allowBlank="1" showInputMessage="1" showErrorMessage="1" error="For this submission, OSC will input “207” as the value for this field. " prompt="For this submission, OSC will input “207” as the value for this field. " sqref="A11:A13" xr:uid="{B6B6183F-19BE-4D38-8AB2-0823931B10DB}">
      <formula1>207</formula1>
    </dataValidation>
    <dataValidation allowBlank="1" showInputMessage="1" showErrorMessage="1" error="See Definitions tab." prompt="See Definitions tab." sqref="D11:E13" xr:uid="{39C06143-6500-4D64-8438-81C0DFC5B120}"/>
    <dataValidation type="decimal" operator="greaterThan" allowBlank="1" showInputMessage="1" showErrorMessage="1" error="See Definitions tab." prompt="See Definitions tab." sqref="C11:C13" xr:uid="{6B4DB8ED-96AB-4D27-BF2E-29FB3EB8C1B2}">
      <formula1>0</formula1>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3" xr:uid="{718498DF-50F2-46DA-8B77-5BA6AC069F16}">
      <formula1>1</formula1>
      <formula2>3</formula2>
    </dataValidation>
  </dataValidations>
  <hyperlinks>
    <hyperlink ref="D2:E2" location="'Data Validation'!B6" display="Check for alignment of truncated spending by market" xr:uid="{CEDD770A-CD1E-4A39-9723-ED3B10417CCE}"/>
  </hyperlink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245194a285289a4ce3b897741a861f83">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5778dc79b8ea33854699f66598fdcf21"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72BC8B-BFF5-4C15-9C69-9329B096B366}">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customXml/itemProps2.xml><?xml version="1.0" encoding="utf-8"?>
<ds:datastoreItem xmlns:ds="http://schemas.openxmlformats.org/officeDocument/2006/customXml" ds:itemID="{2905D3B5-1811-4FE3-8AD6-B1E9EEA0A849}">
  <ds:schemaRefs>
    <ds:schemaRef ds:uri="http://schemas.microsoft.com/sharepoint/v3/contenttype/forms"/>
  </ds:schemaRefs>
</ds:datastoreItem>
</file>

<file path=customXml/itemProps3.xml><?xml version="1.0" encoding="utf-8"?>
<ds:datastoreItem xmlns:ds="http://schemas.openxmlformats.org/officeDocument/2006/customXml" ds:itemID="{A0758295-0C9C-434B-954B-9B55BC54C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Contents</vt:lpstr>
      <vt:lpstr>Reference Tables</vt:lpstr>
      <vt:lpstr>Definitions</vt:lpstr>
      <vt:lpstr>HD-TME - 2023</vt:lpstr>
      <vt:lpstr>HD-TME - 2024</vt:lpstr>
      <vt:lpstr>TME Record - 2023</vt:lpstr>
      <vt:lpstr>TME Record - 2024</vt:lpstr>
      <vt:lpstr>LOB Enrollment</vt:lpstr>
      <vt:lpstr>Standard Deviation - 2023</vt:lpstr>
      <vt:lpstr>Standard Deviation - 2024</vt:lpstr>
      <vt:lpstr>Age_Sex Factors - 2023</vt:lpstr>
      <vt:lpstr>Age_Sex Factors - 2024</vt:lpstr>
      <vt:lpstr>Mandatory Questions</vt:lpstr>
      <vt:lpstr>Validation by Market</vt:lpstr>
      <vt:lpstr>Data Validation</vt:lpstr>
      <vt:lpstr>Data Validation Backup</vt:lpstr>
      <vt:lpstr>ChangeinMMs</vt:lpstr>
      <vt:lpstr>MMConsistency</vt:lpstr>
      <vt:lpstr>SDTruncSpending</vt:lpstr>
      <vt:lpstr>TruncSpendAlign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Deepti</dc:creator>
  <cp:keywords/>
  <dc:description/>
  <cp:lastModifiedBy>Blodgett, Patricia</cp:lastModifiedBy>
  <cp:revision/>
  <dcterms:created xsi:type="dcterms:W3CDTF">2014-03-21T15:16:19Z</dcterms:created>
  <dcterms:modified xsi:type="dcterms:W3CDTF">2025-06-09T12:50:48Z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AuthorIds_UIVersion_1024">
    <vt:lpwstr>17</vt:lpwstr>
  </property>
  <property fmtid="{D5CDD505-2E9C-101B-9397-08002B2CF9AE}" pid="4" name="AuthorIds_UIVersion_2048">
    <vt:lpwstr>22</vt:lpwstr>
  </property>
  <property fmtid="{D5CDD505-2E9C-101B-9397-08002B2CF9AE}" pid="5" name="AuthorIds_UIVersion_512">
    <vt:lpwstr>17</vt:lpwstr>
  </property>
  <property fmtid="{D5CDD505-2E9C-101B-9397-08002B2CF9AE}" pid="6" name="MediaServiceImageTags">
    <vt:lpwstr/>
  </property>
</Properties>
</file>